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O:\BUDJET\2018\Рішення жовтень 2018 року\"/>
    </mc:Choice>
  </mc:AlternateContent>
  <xr:revisionPtr revIDLastSave="0" documentId="13_ncr:1_{0A091DE1-9F9A-4E4D-915B-78EB1CF65C20}" xr6:coauthVersionLast="36" xr6:coauthVersionMax="36" xr10:uidLastSave="{00000000-0000-0000-0000-000000000000}"/>
  <bookViews>
    <workbookView xWindow="0" yWindow="0" windowWidth="21570" windowHeight="8625" tabRatio="585" firstSheet="9" activeTab="14" xr2:uid="{00000000-000D-0000-FFFF-FFFF00000000}"/>
  </bookViews>
  <sheets>
    <sheet name="дод1" sheetId="105" r:id="rId1"/>
    <sheet name="dod2" sheetId="118" r:id="rId2"/>
    <sheet name="dod4" sheetId="107" r:id="rId3"/>
    <sheet name="dod5" sheetId="98" r:id="rId4"/>
    <sheet name="dod6" sheetId="108" r:id="rId5"/>
    <sheet name="dod7" sheetId="116" r:id="rId6"/>
    <sheet name="dod8" sheetId="104" r:id="rId7"/>
    <sheet name="dod3 Квітень+Комісії+Сесія" sheetId="119" r:id="rId8"/>
    <sheet name="РІЗНИЦЯ по додатковому ресурсу" sheetId="120" r:id="rId9"/>
    <sheet name="dod3 квітень чистий" sheetId="121" r:id="rId10"/>
    <sheet name="Різниця до чистого" sheetId="122" r:id="rId11"/>
    <sheet name="РІЗНИЦЯ ВСЬОГО" sheetId="123" r:id="rId12"/>
    <sheet name="dod3" sheetId="97" r:id="rId13"/>
    <sheet name="dod3 до МВК" sheetId="124" r:id="rId14"/>
    <sheet name="РІЗНИЦЯ ПІСЛЯ МВК" sheetId="126" r:id="rId15"/>
  </sheets>
  <externalReferences>
    <externalReference r:id="rId16"/>
    <externalReference r:id="rId17"/>
  </externalReferences>
  <definedNames>
    <definedName name="_GoBack" localSheetId="3">'dod5'!#REF!</definedName>
    <definedName name="_xlnm.Print_Titles" localSheetId="12">'dod3'!$11:$11</definedName>
    <definedName name="_xlnm.Print_Titles" localSheetId="13">'dod3 до МВК'!$11:$11</definedName>
    <definedName name="_xlnm.Print_Titles" localSheetId="9">'dod3 квітень чистий'!$11:$11</definedName>
    <definedName name="_xlnm.Print_Titles" localSheetId="7">'dod3 Квітень+Комісії+Сесія'!$11:$11</definedName>
    <definedName name="_xlnm.Print_Titles" localSheetId="11">'РІЗНИЦЯ ВСЬОГО'!$11:$11</definedName>
    <definedName name="_xlnm.Print_Titles" localSheetId="10">'Різниця до чистого'!$11:$11</definedName>
    <definedName name="_xlnm.Print_Titles" localSheetId="14">'РІЗНИЦЯ ПІСЛЯ МВК'!$11:$11</definedName>
    <definedName name="_xlnm.Print_Titles" localSheetId="8">'РІЗНИЦЯ по додатковому ресурсу'!$11:$11</definedName>
    <definedName name="_xlnm.Print_Area" localSheetId="1">'dod2'!$A$1:$F$37</definedName>
    <definedName name="_xlnm.Print_Area" localSheetId="12">'dod3'!$A$1:$P$209</definedName>
    <definedName name="_xlnm.Print_Area" localSheetId="13">'dod3 до МВК'!$A$1:$P$209</definedName>
    <definedName name="_xlnm.Print_Area" localSheetId="9">'dod3 квітень чистий'!$A$1:$P$194</definedName>
    <definedName name="_xlnm.Print_Area" localSheetId="7">'dod3 Квітень+Комісії+Сесія'!$A$1:$P$200</definedName>
    <definedName name="_xlnm.Print_Area" localSheetId="2">'dod4'!$B$1:$Q$18</definedName>
    <definedName name="_xlnm.Print_Area" localSheetId="3">'dod5'!$B$1:$J$265</definedName>
    <definedName name="_xlnm.Print_Area" localSheetId="4">'dod6'!$A$1:$E$35</definedName>
    <definedName name="_xlnm.Print_Area" localSheetId="5">'dod7'!$A$1:$F$23</definedName>
    <definedName name="_xlnm.Print_Area" localSheetId="6">'dod8'!$A$1:$I$207</definedName>
    <definedName name="_xlnm.Print_Area" localSheetId="0">дод1!$A$1:$F$113</definedName>
    <definedName name="_xlnm.Print_Area" localSheetId="11">'РІЗНИЦЯ ВСЬОГО'!$A$1:$P$208</definedName>
    <definedName name="_xlnm.Print_Area" localSheetId="10">'Різниця до чистого'!$A$1:$P$201</definedName>
    <definedName name="_xlnm.Print_Area" localSheetId="14">'РІЗНИЦЯ ПІСЛЯ МВК'!$A$1:$P$207</definedName>
    <definedName name="_xlnm.Print_Area" localSheetId="8">'РІЗНИЦЯ по додатковому ресурсу'!$A$1:$P$207</definedName>
    <definedName name="С16" localSheetId="1">#REF!</definedName>
    <definedName name="С16" localSheetId="7">#REF!</definedName>
    <definedName name="С16" localSheetId="0">#REF!</definedName>
    <definedName name="С16" localSheetId="11">#REF!</definedName>
    <definedName name="С16" localSheetId="10">#REF!</definedName>
    <definedName name="С16" localSheetId="14">#REF!</definedName>
    <definedName name="С16" localSheetId="8">#REF!</definedName>
    <definedName name="С16">#REF!</definedName>
  </definedNames>
  <calcPr calcId="162913"/>
</workbook>
</file>

<file path=xl/calcChain.xml><?xml version="1.0" encoding="utf-8"?>
<calcChain xmlns="http://schemas.openxmlformats.org/spreadsheetml/2006/main">
  <c r="P201" i="126" l="1"/>
  <c r="O201" i="126"/>
  <c r="N201" i="126"/>
  <c r="M201" i="126"/>
  <c r="L201" i="126"/>
  <c r="K201" i="126"/>
  <c r="J201" i="126"/>
  <c r="I201" i="126"/>
  <c r="H201" i="126"/>
  <c r="G201" i="126"/>
  <c r="F201" i="126"/>
  <c r="E201" i="126"/>
  <c r="P200" i="126"/>
  <c r="O200" i="126"/>
  <c r="N200" i="126"/>
  <c r="M200" i="126"/>
  <c r="L200" i="126"/>
  <c r="K200" i="126"/>
  <c r="J200" i="126"/>
  <c r="I200" i="126"/>
  <c r="H200" i="126"/>
  <c r="G200" i="126"/>
  <c r="F200" i="126"/>
  <c r="E200" i="126"/>
  <c r="E198" i="126" s="1"/>
  <c r="P199" i="126"/>
  <c r="O199" i="126"/>
  <c r="N199" i="126"/>
  <c r="M199" i="126"/>
  <c r="M198" i="126" s="1"/>
  <c r="M197" i="126" s="1"/>
  <c r="L199" i="126"/>
  <c r="K199" i="126"/>
  <c r="J199" i="126"/>
  <c r="I199" i="126"/>
  <c r="H199" i="126"/>
  <c r="G199" i="126"/>
  <c r="F199" i="126"/>
  <c r="E199" i="126"/>
  <c r="P196" i="126"/>
  <c r="O196" i="126"/>
  <c r="N196" i="126"/>
  <c r="M196" i="126"/>
  <c r="L196" i="126"/>
  <c r="K196" i="126"/>
  <c r="J196" i="126"/>
  <c r="I196" i="126"/>
  <c r="H196" i="126"/>
  <c r="G196" i="126"/>
  <c r="F196" i="126"/>
  <c r="E196" i="126"/>
  <c r="P195" i="126"/>
  <c r="O195" i="126"/>
  <c r="N195" i="126"/>
  <c r="M195" i="126"/>
  <c r="M194" i="126" s="1"/>
  <c r="M193" i="126" s="1"/>
  <c r="L195" i="126"/>
  <c r="K195" i="126"/>
  <c r="J195" i="126"/>
  <c r="I195" i="126"/>
  <c r="I194" i="126" s="1"/>
  <c r="I193" i="126" s="1"/>
  <c r="H195" i="126"/>
  <c r="G195" i="126"/>
  <c r="F195" i="126"/>
  <c r="E195" i="126"/>
  <c r="P192" i="126"/>
  <c r="O192" i="126"/>
  <c r="N192" i="126"/>
  <c r="M192" i="126"/>
  <c r="L192" i="126"/>
  <c r="K192" i="126"/>
  <c r="J192" i="126"/>
  <c r="I192" i="126"/>
  <c r="H192" i="126"/>
  <c r="G192" i="126"/>
  <c r="F192" i="126"/>
  <c r="E192" i="126"/>
  <c r="P191" i="126"/>
  <c r="O191" i="126"/>
  <c r="N191" i="126"/>
  <c r="M191" i="126"/>
  <c r="M187" i="126" s="1"/>
  <c r="M186" i="126" s="1"/>
  <c r="L191" i="126"/>
  <c r="K191" i="126"/>
  <c r="J191" i="126"/>
  <c r="I191" i="126"/>
  <c r="I187" i="126" s="1"/>
  <c r="I186" i="126" s="1"/>
  <c r="H191" i="126"/>
  <c r="G191" i="126"/>
  <c r="F191" i="126"/>
  <c r="E191" i="126"/>
  <c r="P190" i="126"/>
  <c r="O190" i="126"/>
  <c r="N190" i="126"/>
  <c r="M190" i="126"/>
  <c r="L190" i="126"/>
  <c r="K190" i="126"/>
  <c r="J190" i="126"/>
  <c r="I190" i="126"/>
  <c r="H190" i="126"/>
  <c r="G190" i="126"/>
  <c r="F190" i="126"/>
  <c r="E190" i="126"/>
  <c r="P189" i="126"/>
  <c r="O189" i="126"/>
  <c r="N189" i="126"/>
  <c r="M189" i="126"/>
  <c r="L189" i="126"/>
  <c r="K189" i="126"/>
  <c r="J189" i="126"/>
  <c r="I189" i="126"/>
  <c r="H189" i="126"/>
  <c r="G189" i="126"/>
  <c r="F189" i="126"/>
  <c r="E189" i="126"/>
  <c r="P188" i="126"/>
  <c r="O188" i="126"/>
  <c r="N188" i="126"/>
  <c r="M188" i="126"/>
  <c r="L188" i="126"/>
  <c r="K188" i="126"/>
  <c r="J188" i="126"/>
  <c r="I188" i="126"/>
  <c r="H188" i="126"/>
  <c r="G188" i="126"/>
  <c r="F188" i="126"/>
  <c r="E188" i="126"/>
  <c r="P185" i="126"/>
  <c r="O185" i="126"/>
  <c r="N185" i="126"/>
  <c r="M185" i="126"/>
  <c r="L185" i="126"/>
  <c r="K185" i="126"/>
  <c r="J185" i="126"/>
  <c r="I185" i="126"/>
  <c r="H185" i="126"/>
  <c r="G185" i="126"/>
  <c r="F185" i="126"/>
  <c r="E185" i="126"/>
  <c r="P184" i="126"/>
  <c r="O184" i="126"/>
  <c r="N184" i="126"/>
  <c r="M184" i="126"/>
  <c r="L184" i="126"/>
  <c r="K184" i="126"/>
  <c r="J184" i="126"/>
  <c r="I184" i="126"/>
  <c r="H184" i="126"/>
  <c r="G184" i="126"/>
  <c r="F184" i="126"/>
  <c r="E184" i="126"/>
  <c r="P183" i="126"/>
  <c r="O183" i="126"/>
  <c r="N183" i="126"/>
  <c r="M183" i="126"/>
  <c r="L183" i="126"/>
  <c r="K183" i="126"/>
  <c r="J183" i="126"/>
  <c r="I183" i="126"/>
  <c r="H183" i="126"/>
  <c r="G183" i="126"/>
  <c r="F183" i="126"/>
  <c r="E183" i="126"/>
  <c r="P182" i="126"/>
  <c r="O182" i="126"/>
  <c r="N182" i="126"/>
  <c r="M182" i="126"/>
  <c r="L182" i="126"/>
  <c r="K182" i="126"/>
  <c r="J182" i="126"/>
  <c r="I182" i="126"/>
  <c r="H182" i="126"/>
  <c r="G182" i="126"/>
  <c r="F182" i="126"/>
  <c r="E182" i="126"/>
  <c r="P181" i="126"/>
  <c r="O181" i="126"/>
  <c r="N181" i="126"/>
  <c r="M181" i="126"/>
  <c r="L181" i="126"/>
  <c r="K181" i="126"/>
  <c r="J181" i="126"/>
  <c r="I181" i="126"/>
  <c r="H181" i="126"/>
  <c r="G181" i="126"/>
  <c r="F181" i="126"/>
  <c r="E181" i="126"/>
  <c r="P178" i="126"/>
  <c r="O178" i="126"/>
  <c r="N178" i="126"/>
  <c r="M178" i="126"/>
  <c r="M177" i="126" s="1"/>
  <c r="M176" i="126" s="1"/>
  <c r="L178" i="126"/>
  <c r="K178" i="126"/>
  <c r="J178" i="126"/>
  <c r="I178" i="126"/>
  <c r="I177" i="126" s="1"/>
  <c r="I176" i="126" s="1"/>
  <c r="H178" i="126"/>
  <c r="G178" i="126"/>
  <c r="F178" i="126"/>
  <c r="E178" i="126"/>
  <c r="E172" i="126"/>
  <c r="F172" i="126"/>
  <c r="G172" i="126"/>
  <c r="H172" i="126"/>
  <c r="I172" i="126"/>
  <c r="J172" i="126"/>
  <c r="K172" i="126"/>
  <c r="L172" i="126"/>
  <c r="M172" i="126"/>
  <c r="N172" i="126"/>
  <c r="O172" i="126"/>
  <c r="P172" i="126"/>
  <c r="E173" i="126"/>
  <c r="F173" i="126"/>
  <c r="G173" i="126"/>
  <c r="H173" i="126"/>
  <c r="I173" i="126"/>
  <c r="J173" i="126"/>
  <c r="K173" i="126"/>
  <c r="L173" i="126"/>
  <c r="M173" i="126"/>
  <c r="N173" i="126"/>
  <c r="O173" i="126"/>
  <c r="P173" i="126"/>
  <c r="E174" i="126"/>
  <c r="F174" i="126"/>
  <c r="G174" i="126"/>
  <c r="H174" i="126"/>
  <c r="H170" i="126" s="1"/>
  <c r="H169" i="126" s="1"/>
  <c r="I174" i="126"/>
  <c r="J174" i="126"/>
  <c r="K174" i="126"/>
  <c r="L174" i="126"/>
  <c r="L170" i="126" s="1"/>
  <c r="L169" i="126" s="1"/>
  <c r="M174" i="126"/>
  <c r="N174" i="126"/>
  <c r="O174" i="126"/>
  <c r="P174" i="126"/>
  <c r="E175" i="126"/>
  <c r="F175" i="126"/>
  <c r="G175" i="126"/>
  <c r="H175" i="126"/>
  <c r="I175" i="126"/>
  <c r="J175" i="126"/>
  <c r="K175" i="126"/>
  <c r="L175" i="126"/>
  <c r="M175" i="126"/>
  <c r="N175" i="126"/>
  <c r="O175" i="126"/>
  <c r="P175" i="126"/>
  <c r="F171" i="126"/>
  <c r="G171" i="126"/>
  <c r="H171" i="126"/>
  <c r="I171" i="126"/>
  <c r="I170" i="126" s="1"/>
  <c r="I169" i="126" s="1"/>
  <c r="J171" i="126"/>
  <c r="K171" i="126"/>
  <c r="L171" i="126"/>
  <c r="M171" i="126"/>
  <c r="M170" i="126" s="1"/>
  <c r="M169" i="126" s="1"/>
  <c r="N171" i="126"/>
  <c r="O171" i="126"/>
  <c r="P171" i="126"/>
  <c r="E171" i="126"/>
  <c r="F149" i="126"/>
  <c r="G149" i="126"/>
  <c r="H149" i="126"/>
  <c r="I149" i="126"/>
  <c r="I148" i="126" s="1"/>
  <c r="I147" i="126" s="1"/>
  <c r="J149" i="126"/>
  <c r="K149" i="126"/>
  <c r="L149" i="126"/>
  <c r="M149" i="126"/>
  <c r="M148" i="126" s="1"/>
  <c r="M147" i="126" s="1"/>
  <c r="N149" i="126"/>
  <c r="O149" i="126"/>
  <c r="P149" i="126"/>
  <c r="F150" i="126"/>
  <c r="G150" i="126"/>
  <c r="H150" i="126"/>
  <c r="I150" i="126"/>
  <c r="J150" i="126"/>
  <c r="K150" i="126"/>
  <c r="L150" i="126"/>
  <c r="M150" i="126"/>
  <c r="N150" i="126"/>
  <c r="O150" i="126"/>
  <c r="P150" i="126"/>
  <c r="F151" i="126"/>
  <c r="G151" i="126"/>
  <c r="H151" i="126"/>
  <c r="I151" i="126"/>
  <c r="J151" i="126"/>
  <c r="K151" i="126"/>
  <c r="L151" i="126"/>
  <c r="M151" i="126"/>
  <c r="N151" i="126"/>
  <c r="O151" i="126"/>
  <c r="P151" i="126"/>
  <c r="F152" i="126"/>
  <c r="G152" i="126"/>
  <c r="H152" i="126"/>
  <c r="I152" i="126"/>
  <c r="J152" i="126"/>
  <c r="K152" i="126"/>
  <c r="L152" i="126"/>
  <c r="M152" i="126"/>
  <c r="N152" i="126"/>
  <c r="O152" i="126"/>
  <c r="P152" i="126"/>
  <c r="F153" i="126"/>
  <c r="G153" i="126"/>
  <c r="H153" i="126"/>
  <c r="I153" i="126"/>
  <c r="J153" i="126"/>
  <c r="K153" i="126"/>
  <c r="L153" i="126"/>
  <c r="M153" i="126"/>
  <c r="N153" i="126"/>
  <c r="O153" i="126"/>
  <c r="P153" i="126"/>
  <c r="F154" i="126"/>
  <c r="G154" i="126"/>
  <c r="H154" i="126"/>
  <c r="I154" i="126"/>
  <c r="J154" i="126"/>
  <c r="K154" i="126"/>
  <c r="L154" i="126"/>
  <c r="M154" i="126"/>
  <c r="N154" i="126"/>
  <c r="O154" i="126"/>
  <c r="P154" i="126"/>
  <c r="F155" i="126"/>
  <c r="G155" i="126"/>
  <c r="G148" i="126" s="1"/>
  <c r="G147" i="126" s="1"/>
  <c r="H155" i="126"/>
  <c r="I155" i="126"/>
  <c r="J155" i="126"/>
  <c r="K155" i="126"/>
  <c r="L155" i="126"/>
  <c r="M155" i="126"/>
  <c r="N155" i="126"/>
  <c r="O155" i="126"/>
  <c r="P155" i="126"/>
  <c r="F156" i="126"/>
  <c r="G156" i="126"/>
  <c r="H156" i="126"/>
  <c r="H148" i="126" s="1"/>
  <c r="H147" i="126" s="1"/>
  <c r="I156" i="126"/>
  <c r="J156" i="126"/>
  <c r="K156" i="126"/>
  <c r="L156" i="126"/>
  <c r="L148" i="126" s="1"/>
  <c r="L147" i="126" s="1"/>
  <c r="M156" i="126"/>
  <c r="N156" i="126"/>
  <c r="O156" i="126"/>
  <c r="P156" i="126"/>
  <c r="F157" i="126"/>
  <c r="G157" i="126"/>
  <c r="H157" i="126"/>
  <c r="I157" i="126"/>
  <c r="J157" i="126"/>
  <c r="K157" i="126"/>
  <c r="L157" i="126"/>
  <c r="M157" i="126"/>
  <c r="N157" i="126"/>
  <c r="O157" i="126"/>
  <c r="P157" i="126"/>
  <c r="F158" i="126"/>
  <c r="G158" i="126"/>
  <c r="H158" i="126"/>
  <c r="I158" i="126"/>
  <c r="J158" i="126"/>
  <c r="K158" i="126"/>
  <c r="L158" i="126"/>
  <c r="M158" i="126"/>
  <c r="N158" i="126"/>
  <c r="N148" i="126" s="1"/>
  <c r="J148" i="126" s="1"/>
  <c r="J147" i="126" s="1"/>
  <c r="O158" i="126"/>
  <c r="P158" i="126"/>
  <c r="F159" i="126"/>
  <c r="G159" i="126"/>
  <c r="H159" i="126"/>
  <c r="I159" i="126"/>
  <c r="J159" i="126"/>
  <c r="K159" i="126"/>
  <c r="L159" i="126"/>
  <c r="M159" i="126"/>
  <c r="N159" i="126"/>
  <c r="O159" i="126"/>
  <c r="P159" i="126"/>
  <c r="F160" i="126"/>
  <c r="G160" i="126"/>
  <c r="H160" i="126"/>
  <c r="I160" i="126"/>
  <c r="J160" i="126"/>
  <c r="K160" i="126"/>
  <c r="L160" i="126"/>
  <c r="M160" i="126"/>
  <c r="N160" i="126"/>
  <c r="O160" i="126"/>
  <c r="P160" i="126"/>
  <c r="F161" i="126"/>
  <c r="G161" i="126"/>
  <c r="H161" i="126"/>
  <c r="I161" i="126"/>
  <c r="J161" i="126"/>
  <c r="K161" i="126"/>
  <c r="L161" i="126"/>
  <c r="M161" i="126"/>
  <c r="N161" i="126"/>
  <c r="O161" i="126"/>
  <c r="P161" i="126"/>
  <c r="F162" i="126"/>
  <c r="G162" i="126"/>
  <c r="H162" i="126"/>
  <c r="I162" i="126"/>
  <c r="J162" i="126"/>
  <c r="K162" i="126"/>
  <c r="L162" i="126"/>
  <c r="M162" i="126"/>
  <c r="N162" i="126"/>
  <c r="O162" i="126"/>
  <c r="P162" i="126"/>
  <c r="F163" i="126"/>
  <c r="G163" i="126"/>
  <c r="H163" i="126"/>
  <c r="I163" i="126"/>
  <c r="J163" i="126"/>
  <c r="K163" i="126"/>
  <c r="L163" i="126"/>
  <c r="M163" i="126"/>
  <c r="N163" i="126"/>
  <c r="O163" i="126"/>
  <c r="P163" i="126"/>
  <c r="F164" i="126"/>
  <c r="G164" i="126"/>
  <c r="H164" i="126"/>
  <c r="I164" i="126"/>
  <c r="J164" i="126"/>
  <c r="K164" i="126"/>
  <c r="L164" i="126"/>
  <c r="M164" i="126"/>
  <c r="N164" i="126"/>
  <c r="O164" i="126"/>
  <c r="P164" i="126"/>
  <c r="F165" i="126"/>
  <c r="G165" i="126"/>
  <c r="H165" i="126"/>
  <c r="I165" i="126"/>
  <c r="J165" i="126"/>
  <c r="K165" i="126"/>
  <c r="L165" i="126"/>
  <c r="M165" i="126"/>
  <c r="N165" i="126"/>
  <c r="O165" i="126"/>
  <c r="P165" i="126"/>
  <c r="F166" i="126"/>
  <c r="G166" i="126"/>
  <c r="H166" i="126"/>
  <c r="I166" i="126"/>
  <c r="J166" i="126"/>
  <c r="K166" i="126"/>
  <c r="L166" i="126"/>
  <c r="M166" i="126"/>
  <c r="N166" i="126"/>
  <c r="O166" i="126"/>
  <c r="P166" i="126"/>
  <c r="F167" i="126"/>
  <c r="G167" i="126"/>
  <c r="H167" i="126"/>
  <c r="I167" i="126"/>
  <c r="J167" i="126"/>
  <c r="K167" i="126"/>
  <c r="L167" i="126"/>
  <c r="M167" i="126"/>
  <c r="N167" i="126"/>
  <c r="O167" i="126"/>
  <c r="P167" i="126"/>
  <c r="F168" i="126"/>
  <c r="G168" i="126"/>
  <c r="H168" i="126"/>
  <c r="I168" i="126"/>
  <c r="J168" i="126"/>
  <c r="K168" i="126"/>
  <c r="L168" i="126"/>
  <c r="M168" i="126"/>
  <c r="N168" i="126"/>
  <c r="O168" i="126"/>
  <c r="P168" i="126"/>
  <c r="E150" i="126"/>
  <c r="E151" i="126"/>
  <c r="E152" i="126"/>
  <c r="E153" i="126"/>
  <c r="E154" i="126"/>
  <c r="E155" i="126"/>
  <c r="E156" i="126"/>
  <c r="E157" i="126"/>
  <c r="E148" i="126" s="1"/>
  <c r="E147" i="126" s="1"/>
  <c r="E158" i="126"/>
  <c r="E159" i="126"/>
  <c r="E160" i="126"/>
  <c r="E161" i="126"/>
  <c r="E162" i="126"/>
  <c r="E163" i="126"/>
  <c r="E164" i="126"/>
  <c r="E165" i="126"/>
  <c r="E166" i="126"/>
  <c r="E167" i="126"/>
  <c r="E168" i="126"/>
  <c r="E149" i="126"/>
  <c r="F124" i="126"/>
  <c r="G124" i="126"/>
  <c r="H124" i="126"/>
  <c r="I124" i="126"/>
  <c r="I123" i="126" s="1"/>
  <c r="I122" i="126" s="1"/>
  <c r="J124" i="126"/>
  <c r="K124" i="126"/>
  <c r="L124" i="126"/>
  <c r="M124" i="126"/>
  <c r="M123" i="126" s="1"/>
  <c r="M122" i="126" s="1"/>
  <c r="N124" i="126"/>
  <c r="O124" i="126"/>
  <c r="P124" i="126"/>
  <c r="F125" i="126"/>
  <c r="G125" i="126"/>
  <c r="H125" i="126"/>
  <c r="I125" i="126"/>
  <c r="J125" i="126"/>
  <c r="K125" i="126"/>
  <c r="L125" i="126"/>
  <c r="M125" i="126"/>
  <c r="N125" i="126"/>
  <c r="O125" i="126"/>
  <c r="P125" i="126"/>
  <c r="F126" i="126"/>
  <c r="G126" i="126"/>
  <c r="G123" i="126" s="1"/>
  <c r="G122" i="126" s="1"/>
  <c r="H126" i="126"/>
  <c r="I126" i="126"/>
  <c r="J126" i="126"/>
  <c r="K126" i="126"/>
  <c r="K123" i="126" s="1"/>
  <c r="L126" i="126"/>
  <c r="M126" i="126"/>
  <c r="N126" i="126"/>
  <c r="O126" i="126"/>
  <c r="P126" i="126"/>
  <c r="F127" i="126"/>
  <c r="G127" i="126"/>
  <c r="H127" i="126"/>
  <c r="I127" i="126"/>
  <c r="J127" i="126"/>
  <c r="K127" i="126"/>
  <c r="L127" i="126"/>
  <c r="M127" i="126"/>
  <c r="N127" i="126"/>
  <c r="O127" i="126"/>
  <c r="P127" i="126"/>
  <c r="F128" i="126"/>
  <c r="G128" i="126"/>
  <c r="H128" i="126"/>
  <c r="I128" i="126"/>
  <c r="J128" i="126"/>
  <c r="K128" i="126"/>
  <c r="L128" i="126"/>
  <c r="M128" i="126"/>
  <c r="N128" i="126"/>
  <c r="O128" i="126"/>
  <c r="P128" i="126"/>
  <c r="F129" i="126"/>
  <c r="G129" i="126"/>
  <c r="H129" i="126"/>
  <c r="I129" i="126"/>
  <c r="J129" i="126"/>
  <c r="K129" i="126"/>
  <c r="L129" i="126"/>
  <c r="M129" i="126"/>
  <c r="N129" i="126"/>
  <c r="O129" i="126"/>
  <c r="P129" i="126"/>
  <c r="F130" i="126"/>
  <c r="G130" i="126"/>
  <c r="H130" i="126"/>
  <c r="I130" i="126"/>
  <c r="J130" i="126"/>
  <c r="K130" i="126"/>
  <c r="L130" i="126"/>
  <c r="M130" i="126"/>
  <c r="N130" i="126"/>
  <c r="O130" i="126"/>
  <c r="P130" i="126"/>
  <c r="F131" i="126"/>
  <c r="G131" i="126"/>
  <c r="H131" i="126"/>
  <c r="I131" i="126"/>
  <c r="J131" i="126"/>
  <c r="K131" i="126"/>
  <c r="L131" i="126"/>
  <c r="M131" i="126"/>
  <c r="N131" i="126"/>
  <c r="O131" i="126"/>
  <c r="P131" i="126"/>
  <c r="F132" i="126"/>
  <c r="G132" i="126"/>
  <c r="H132" i="126"/>
  <c r="I132" i="126"/>
  <c r="J132" i="126"/>
  <c r="K132" i="126"/>
  <c r="L132" i="126"/>
  <c r="M132" i="126"/>
  <c r="N132" i="126"/>
  <c r="O132" i="126"/>
  <c r="P132" i="126"/>
  <c r="F133" i="126"/>
  <c r="F123" i="126" s="1"/>
  <c r="F122" i="126" s="1"/>
  <c r="G133" i="126"/>
  <c r="H133" i="126"/>
  <c r="I133" i="126"/>
  <c r="J133" i="126"/>
  <c r="K133" i="126"/>
  <c r="L133" i="126"/>
  <c r="M133" i="126"/>
  <c r="N133" i="126"/>
  <c r="N123" i="126" s="1"/>
  <c r="N122" i="126" s="1"/>
  <c r="O133" i="126"/>
  <c r="P133" i="126"/>
  <c r="F134" i="126"/>
  <c r="G134" i="126"/>
  <c r="H134" i="126"/>
  <c r="I134" i="126"/>
  <c r="J134" i="126"/>
  <c r="K134" i="126"/>
  <c r="L134" i="126"/>
  <c r="M134" i="126"/>
  <c r="N134" i="126"/>
  <c r="O134" i="126"/>
  <c r="P134" i="126"/>
  <c r="F135" i="126"/>
  <c r="G135" i="126"/>
  <c r="H135" i="126"/>
  <c r="I135" i="126"/>
  <c r="J135" i="126"/>
  <c r="K135" i="126"/>
  <c r="L135" i="126"/>
  <c r="L123" i="126" s="1"/>
  <c r="L122" i="126" s="1"/>
  <c r="M135" i="126"/>
  <c r="N135" i="126"/>
  <c r="O135" i="126"/>
  <c r="P135" i="126"/>
  <c r="F136" i="126"/>
  <c r="G136" i="126"/>
  <c r="H136" i="126"/>
  <c r="I136" i="126"/>
  <c r="J136" i="126"/>
  <c r="K136" i="126"/>
  <c r="L136" i="126"/>
  <c r="M136" i="126"/>
  <c r="N136" i="126"/>
  <c r="O136" i="126"/>
  <c r="P136" i="126"/>
  <c r="F137" i="126"/>
  <c r="G137" i="126"/>
  <c r="H137" i="126"/>
  <c r="I137" i="126"/>
  <c r="J137" i="126"/>
  <c r="K137" i="126"/>
  <c r="L137" i="126"/>
  <c r="M137" i="126"/>
  <c r="N137" i="126"/>
  <c r="O137" i="126"/>
  <c r="P137" i="126"/>
  <c r="F138" i="126"/>
  <c r="G138" i="126"/>
  <c r="H138" i="126"/>
  <c r="I138" i="126"/>
  <c r="J138" i="126"/>
  <c r="K138" i="126"/>
  <c r="L138" i="126"/>
  <c r="M138" i="126"/>
  <c r="N138" i="126"/>
  <c r="O138" i="126"/>
  <c r="P138" i="126"/>
  <c r="F139" i="126"/>
  <c r="G139" i="126"/>
  <c r="H139" i="126"/>
  <c r="I139" i="126"/>
  <c r="J139" i="126"/>
  <c r="K139" i="126"/>
  <c r="L139" i="126"/>
  <c r="M139" i="126"/>
  <c r="N139" i="126"/>
  <c r="O139" i="126"/>
  <c r="P139" i="126"/>
  <c r="F140" i="126"/>
  <c r="G140" i="126"/>
  <c r="H140" i="126"/>
  <c r="I140" i="126"/>
  <c r="J140" i="126"/>
  <c r="K140" i="126"/>
  <c r="L140" i="126"/>
  <c r="M140" i="126"/>
  <c r="N140" i="126"/>
  <c r="O140" i="126"/>
  <c r="P140" i="126"/>
  <c r="F141" i="126"/>
  <c r="G141" i="126"/>
  <c r="H141" i="126"/>
  <c r="I141" i="126"/>
  <c r="J141" i="126"/>
  <c r="K141" i="126"/>
  <c r="L141" i="126"/>
  <c r="M141" i="126"/>
  <c r="N141" i="126"/>
  <c r="O141" i="126"/>
  <c r="P141" i="126"/>
  <c r="F142" i="126"/>
  <c r="G142" i="126"/>
  <c r="H142" i="126"/>
  <c r="I142" i="126"/>
  <c r="J142" i="126"/>
  <c r="K142" i="126"/>
  <c r="L142" i="126"/>
  <c r="M142" i="126"/>
  <c r="N142" i="126"/>
  <c r="O142" i="126"/>
  <c r="P142" i="126"/>
  <c r="F143" i="126"/>
  <c r="G143" i="126"/>
  <c r="H143" i="126"/>
  <c r="I143" i="126"/>
  <c r="J143" i="126"/>
  <c r="K143" i="126"/>
  <c r="L143" i="126"/>
  <c r="M143" i="126"/>
  <c r="N143" i="126"/>
  <c r="O143" i="126"/>
  <c r="P143" i="126"/>
  <c r="F144" i="126"/>
  <c r="G144" i="126"/>
  <c r="H144" i="126"/>
  <c r="I144" i="126"/>
  <c r="J144" i="126"/>
  <c r="K144" i="126"/>
  <c r="L144" i="126"/>
  <c r="M144" i="126"/>
  <c r="N144" i="126"/>
  <c r="O144" i="126"/>
  <c r="P144" i="126"/>
  <c r="F145" i="126"/>
  <c r="G145" i="126"/>
  <c r="H145" i="126"/>
  <c r="I145" i="126"/>
  <c r="J145" i="126"/>
  <c r="K145" i="126"/>
  <c r="L145" i="126"/>
  <c r="M145" i="126"/>
  <c r="N145" i="126"/>
  <c r="O145" i="126"/>
  <c r="P145" i="126"/>
  <c r="E125" i="126"/>
  <c r="E126" i="126"/>
  <c r="E127" i="126"/>
  <c r="E128" i="126"/>
  <c r="E129" i="126"/>
  <c r="E130" i="126"/>
  <c r="E131" i="126"/>
  <c r="E132" i="126"/>
  <c r="E133" i="126"/>
  <c r="E134" i="126"/>
  <c r="E135" i="126"/>
  <c r="E136" i="126"/>
  <c r="E137" i="126"/>
  <c r="E138" i="126"/>
  <c r="E139" i="126"/>
  <c r="E140" i="126"/>
  <c r="E141" i="126"/>
  <c r="E142" i="126"/>
  <c r="E143" i="126"/>
  <c r="E144" i="126"/>
  <c r="E145" i="126"/>
  <c r="E146" i="126"/>
  <c r="E124" i="126"/>
  <c r="F112" i="126"/>
  <c r="G112" i="126"/>
  <c r="H112" i="126"/>
  <c r="I112" i="126"/>
  <c r="J112" i="126"/>
  <c r="K112" i="126"/>
  <c r="L112" i="126"/>
  <c r="M112" i="126"/>
  <c r="N112" i="126"/>
  <c r="O112" i="126"/>
  <c r="P112" i="126"/>
  <c r="F113" i="126"/>
  <c r="F111" i="126" s="1"/>
  <c r="F110" i="126" s="1"/>
  <c r="G113" i="126"/>
  <c r="H113" i="126"/>
  <c r="I113" i="126"/>
  <c r="J113" i="126"/>
  <c r="K113" i="126"/>
  <c r="L113" i="126"/>
  <c r="M113" i="126"/>
  <c r="N113" i="126"/>
  <c r="O113" i="126"/>
  <c r="P113" i="126"/>
  <c r="F114" i="126"/>
  <c r="G114" i="126"/>
  <c r="G111" i="126" s="1"/>
  <c r="G110" i="126" s="1"/>
  <c r="H114" i="126"/>
  <c r="I114" i="126"/>
  <c r="J114" i="126"/>
  <c r="K114" i="126"/>
  <c r="K111" i="126" s="1"/>
  <c r="L114" i="126"/>
  <c r="M114" i="126"/>
  <c r="N114" i="126"/>
  <c r="O114" i="126"/>
  <c r="O111" i="126" s="1"/>
  <c r="O110" i="126" s="1"/>
  <c r="P114" i="126"/>
  <c r="F115" i="126"/>
  <c r="G115" i="126"/>
  <c r="H115" i="126"/>
  <c r="I115" i="126"/>
  <c r="J115" i="126"/>
  <c r="K115" i="126"/>
  <c r="L115" i="126"/>
  <c r="L111" i="126" s="1"/>
  <c r="L110" i="126" s="1"/>
  <c r="M115" i="126"/>
  <c r="N115" i="126"/>
  <c r="O115" i="126"/>
  <c r="P115" i="126"/>
  <c r="F116" i="126"/>
  <c r="G116" i="126"/>
  <c r="H116" i="126"/>
  <c r="I116" i="126"/>
  <c r="J116" i="126"/>
  <c r="K116" i="126"/>
  <c r="L116" i="126"/>
  <c r="M116" i="126"/>
  <c r="M111" i="126" s="1"/>
  <c r="M110" i="126" s="1"/>
  <c r="N116" i="126"/>
  <c r="O116" i="126"/>
  <c r="P116" i="126"/>
  <c r="F117" i="126"/>
  <c r="G117" i="126"/>
  <c r="H117" i="126"/>
  <c r="I117" i="126"/>
  <c r="J117" i="126"/>
  <c r="K117" i="126"/>
  <c r="L117" i="126"/>
  <c r="M117" i="126"/>
  <c r="N117" i="126"/>
  <c r="O117" i="126"/>
  <c r="P117" i="126"/>
  <c r="F118" i="126"/>
  <c r="G118" i="126"/>
  <c r="H118" i="126"/>
  <c r="I118" i="126"/>
  <c r="J118" i="126"/>
  <c r="K118" i="126"/>
  <c r="L118" i="126"/>
  <c r="M118" i="126"/>
  <c r="N118" i="126"/>
  <c r="O118" i="126"/>
  <c r="P118" i="126"/>
  <c r="F119" i="126"/>
  <c r="G119" i="126"/>
  <c r="H119" i="126"/>
  <c r="I119" i="126"/>
  <c r="J119" i="126"/>
  <c r="K119" i="126"/>
  <c r="L119" i="126"/>
  <c r="M119" i="126"/>
  <c r="N119" i="126"/>
  <c r="O119" i="126"/>
  <c r="P119" i="126"/>
  <c r="F120" i="126"/>
  <c r="G120" i="126"/>
  <c r="H120" i="126"/>
  <c r="I120" i="126"/>
  <c r="J120" i="126"/>
  <c r="K120" i="126"/>
  <c r="L120" i="126"/>
  <c r="M120" i="126"/>
  <c r="N120" i="126"/>
  <c r="O120" i="126"/>
  <c r="P120" i="126"/>
  <c r="F121" i="126"/>
  <c r="G121" i="126"/>
  <c r="H121" i="126"/>
  <c r="I121" i="126"/>
  <c r="J121" i="126"/>
  <c r="K121" i="126"/>
  <c r="L121" i="126"/>
  <c r="M121" i="126"/>
  <c r="N121" i="126"/>
  <c r="O121" i="126"/>
  <c r="P121" i="126"/>
  <c r="E113" i="126"/>
  <c r="E114" i="126"/>
  <c r="E115" i="126"/>
  <c r="E116" i="126"/>
  <c r="E111" i="126" s="1"/>
  <c r="E117" i="126"/>
  <c r="E118" i="126"/>
  <c r="E119" i="126"/>
  <c r="E120" i="126"/>
  <c r="E121" i="126"/>
  <c r="E112" i="126"/>
  <c r="F105" i="126"/>
  <c r="G105" i="126"/>
  <c r="H105" i="126"/>
  <c r="I105" i="126"/>
  <c r="J105" i="126"/>
  <c r="K105" i="126"/>
  <c r="L105" i="126"/>
  <c r="M105" i="126"/>
  <c r="N105" i="126"/>
  <c r="O105" i="126"/>
  <c r="P105" i="126"/>
  <c r="F106" i="126"/>
  <c r="G106" i="126"/>
  <c r="H106" i="126"/>
  <c r="I106" i="126"/>
  <c r="J106" i="126"/>
  <c r="K106" i="126"/>
  <c r="L106" i="126"/>
  <c r="M106" i="126"/>
  <c r="N106" i="126"/>
  <c r="O106" i="126"/>
  <c r="P106" i="126"/>
  <c r="F107" i="126"/>
  <c r="G107" i="126"/>
  <c r="H107" i="126"/>
  <c r="I107" i="126"/>
  <c r="J107" i="126"/>
  <c r="K107" i="126"/>
  <c r="L107" i="126"/>
  <c r="M107" i="126"/>
  <c r="N107" i="126"/>
  <c r="O107" i="126"/>
  <c r="P107" i="126"/>
  <c r="F108" i="126"/>
  <c r="G108" i="126"/>
  <c r="H108" i="126"/>
  <c r="I108" i="126"/>
  <c r="J108" i="126"/>
  <c r="K108" i="126"/>
  <c r="L108" i="126"/>
  <c r="M108" i="126"/>
  <c r="N108" i="126"/>
  <c r="O108" i="126"/>
  <c r="P108" i="126"/>
  <c r="F109" i="126"/>
  <c r="G109" i="126"/>
  <c r="H109" i="126"/>
  <c r="I109" i="126"/>
  <c r="J109" i="126"/>
  <c r="K109" i="126"/>
  <c r="L109" i="126"/>
  <c r="M109" i="126"/>
  <c r="N109" i="126"/>
  <c r="O109" i="126"/>
  <c r="P109" i="126"/>
  <c r="E106" i="126"/>
  <c r="E107" i="126"/>
  <c r="E108" i="126"/>
  <c r="E109" i="126"/>
  <c r="E105" i="126"/>
  <c r="F103" i="126"/>
  <c r="G103" i="126"/>
  <c r="H103" i="126"/>
  <c r="I103" i="126"/>
  <c r="J103" i="126"/>
  <c r="K103" i="126"/>
  <c r="L103" i="126"/>
  <c r="M103" i="126"/>
  <c r="N103" i="126"/>
  <c r="O103" i="126"/>
  <c r="P103" i="126"/>
  <c r="E103" i="126"/>
  <c r="P100" i="126"/>
  <c r="O100" i="126"/>
  <c r="N100" i="126"/>
  <c r="M100" i="126"/>
  <c r="L100" i="126"/>
  <c r="K100" i="126"/>
  <c r="J100" i="126"/>
  <c r="I100" i="126"/>
  <c r="H100" i="126"/>
  <c r="G100" i="126"/>
  <c r="F100" i="126"/>
  <c r="E100" i="126"/>
  <c r="E88" i="126"/>
  <c r="F88" i="126"/>
  <c r="G88" i="126"/>
  <c r="H88" i="126"/>
  <c r="I88" i="126"/>
  <c r="J88" i="126"/>
  <c r="K88" i="126"/>
  <c r="L88" i="126"/>
  <c r="M88" i="126"/>
  <c r="N88" i="126"/>
  <c r="O88" i="126"/>
  <c r="P88" i="126"/>
  <c r="E89" i="126"/>
  <c r="F89" i="126"/>
  <c r="G89" i="126"/>
  <c r="H89" i="126"/>
  <c r="I89" i="126"/>
  <c r="J89" i="126"/>
  <c r="K89" i="126"/>
  <c r="L89" i="126"/>
  <c r="M89" i="126"/>
  <c r="N89" i="126"/>
  <c r="O89" i="126"/>
  <c r="P89" i="126"/>
  <c r="E90" i="126"/>
  <c r="F90" i="126"/>
  <c r="G90" i="126"/>
  <c r="H90" i="126"/>
  <c r="I90" i="126"/>
  <c r="J90" i="126"/>
  <c r="K90" i="126"/>
  <c r="L90" i="126"/>
  <c r="M90" i="126"/>
  <c r="N90" i="126"/>
  <c r="O90" i="126"/>
  <c r="P90" i="126"/>
  <c r="E91" i="126"/>
  <c r="F91" i="126"/>
  <c r="G91" i="126"/>
  <c r="H91" i="126"/>
  <c r="I91" i="126"/>
  <c r="J91" i="126"/>
  <c r="K91" i="126"/>
  <c r="L91" i="126"/>
  <c r="M91" i="126"/>
  <c r="N91" i="126"/>
  <c r="O91" i="126"/>
  <c r="P91" i="126"/>
  <c r="E92" i="126"/>
  <c r="F92" i="126"/>
  <c r="G92" i="126"/>
  <c r="H92" i="126"/>
  <c r="I92" i="126"/>
  <c r="J92" i="126"/>
  <c r="K92" i="126"/>
  <c r="L92" i="126"/>
  <c r="M92" i="126"/>
  <c r="N92" i="126"/>
  <c r="O92" i="126"/>
  <c r="P92" i="126"/>
  <c r="E93" i="126"/>
  <c r="F93" i="126"/>
  <c r="G93" i="126"/>
  <c r="H93" i="126"/>
  <c r="I93" i="126"/>
  <c r="J93" i="126"/>
  <c r="K93" i="126"/>
  <c r="L93" i="126"/>
  <c r="M93" i="126"/>
  <c r="N93" i="126"/>
  <c r="O93" i="126"/>
  <c r="P93" i="126"/>
  <c r="E94" i="126"/>
  <c r="F94" i="126"/>
  <c r="G94" i="126"/>
  <c r="H94" i="126"/>
  <c r="I94" i="126"/>
  <c r="J94" i="126"/>
  <c r="K94" i="126"/>
  <c r="L94" i="126"/>
  <c r="M94" i="126"/>
  <c r="N94" i="126"/>
  <c r="O94" i="126"/>
  <c r="P94" i="126"/>
  <c r="E95" i="126"/>
  <c r="F95" i="126"/>
  <c r="G95" i="126"/>
  <c r="H95" i="126"/>
  <c r="I95" i="126"/>
  <c r="J95" i="126"/>
  <c r="K95" i="126"/>
  <c r="L95" i="126"/>
  <c r="M95" i="126"/>
  <c r="N95" i="126"/>
  <c r="O95" i="126"/>
  <c r="P95" i="126"/>
  <c r="E96" i="126"/>
  <c r="F96" i="126"/>
  <c r="G96" i="126"/>
  <c r="H96" i="126"/>
  <c r="I96" i="126"/>
  <c r="J96" i="126"/>
  <c r="K96" i="126"/>
  <c r="L96" i="126"/>
  <c r="M96" i="126"/>
  <c r="N96" i="126"/>
  <c r="O96" i="126"/>
  <c r="P96" i="126"/>
  <c r="E97" i="126"/>
  <c r="F97" i="126"/>
  <c r="G97" i="126"/>
  <c r="H97" i="126"/>
  <c r="I97" i="126"/>
  <c r="J97" i="126"/>
  <c r="K97" i="126"/>
  <c r="L97" i="126"/>
  <c r="L59" i="126" s="1"/>
  <c r="L58" i="126" s="1"/>
  <c r="M97" i="126"/>
  <c r="N97" i="126"/>
  <c r="O97" i="126"/>
  <c r="P97" i="126"/>
  <c r="E98" i="126"/>
  <c r="F98" i="126"/>
  <c r="G98" i="126"/>
  <c r="H98" i="126"/>
  <c r="I98" i="126"/>
  <c r="J98" i="126"/>
  <c r="K98" i="126"/>
  <c r="L98" i="126"/>
  <c r="M98" i="126"/>
  <c r="N98" i="126"/>
  <c r="O98" i="126"/>
  <c r="P98" i="126"/>
  <c r="E99" i="126"/>
  <c r="F99" i="126"/>
  <c r="G99" i="126"/>
  <c r="H99" i="126"/>
  <c r="I99" i="126"/>
  <c r="J99" i="126"/>
  <c r="K99" i="126"/>
  <c r="L99" i="126"/>
  <c r="M99" i="126"/>
  <c r="N99" i="126"/>
  <c r="O99" i="126"/>
  <c r="P99" i="126"/>
  <c r="F83" i="126"/>
  <c r="G83" i="126"/>
  <c r="H83" i="126"/>
  <c r="I83" i="126"/>
  <c r="J83" i="126"/>
  <c r="K83" i="126"/>
  <c r="L83" i="126"/>
  <c r="M83" i="126"/>
  <c r="N83" i="126"/>
  <c r="O83" i="126"/>
  <c r="P83" i="126"/>
  <c r="F84" i="126"/>
  <c r="G84" i="126"/>
  <c r="H84" i="126"/>
  <c r="I84" i="126"/>
  <c r="J84" i="126"/>
  <c r="K84" i="126"/>
  <c r="L84" i="126"/>
  <c r="M84" i="126"/>
  <c r="N84" i="126"/>
  <c r="O84" i="126"/>
  <c r="P84" i="126"/>
  <c r="F85" i="126"/>
  <c r="G85" i="126"/>
  <c r="H85" i="126"/>
  <c r="I85" i="126"/>
  <c r="J85" i="126"/>
  <c r="K85" i="126"/>
  <c r="L85" i="126"/>
  <c r="M85" i="126"/>
  <c r="N85" i="126"/>
  <c r="O85" i="126"/>
  <c r="P85" i="126"/>
  <c r="F86" i="126"/>
  <c r="G86" i="126"/>
  <c r="H86" i="126"/>
  <c r="I86" i="126"/>
  <c r="J86" i="126"/>
  <c r="K86" i="126"/>
  <c r="L86" i="126"/>
  <c r="M86" i="126"/>
  <c r="N86" i="126"/>
  <c r="O86" i="126"/>
  <c r="P86" i="126"/>
  <c r="F87" i="126"/>
  <c r="G87" i="126"/>
  <c r="H87" i="126"/>
  <c r="I87" i="126"/>
  <c r="J87" i="126"/>
  <c r="K87" i="126"/>
  <c r="L87" i="126"/>
  <c r="M87" i="126"/>
  <c r="N87" i="126"/>
  <c r="O87" i="126"/>
  <c r="P87" i="126"/>
  <c r="E84" i="126"/>
  <c r="E85" i="126"/>
  <c r="E86" i="126"/>
  <c r="E87" i="126"/>
  <c r="P81" i="126"/>
  <c r="O81" i="126"/>
  <c r="N81" i="126"/>
  <c r="M81" i="126"/>
  <c r="L81" i="126"/>
  <c r="K81" i="126"/>
  <c r="J81" i="126"/>
  <c r="I81" i="126"/>
  <c r="H81" i="126"/>
  <c r="G81" i="126"/>
  <c r="F81" i="126"/>
  <c r="E83" i="126"/>
  <c r="E81" i="126"/>
  <c r="E80" i="126"/>
  <c r="F80" i="126"/>
  <c r="G80" i="126"/>
  <c r="G59" i="126" s="1"/>
  <c r="G58" i="126" s="1"/>
  <c r="H80" i="126"/>
  <c r="I80" i="126"/>
  <c r="J80" i="126"/>
  <c r="K80" i="126"/>
  <c r="L80" i="126"/>
  <c r="M80" i="126"/>
  <c r="N80" i="126"/>
  <c r="O80" i="126"/>
  <c r="P80" i="126"/>
  <c r="E78" i="126"/>
  <c r="F78" i="126"/>
  <c r="G78" i="126"/>
  <c r="H78" i="126"/>
  <c r="I78" i="126"/>
  <c r="J78" i="126"/>
  <c r="K78" i="126"/>
  <c r="L78" i="126"/>
  <c r="M78" i="126"/>
  <c r="N78" i="126"/>
  <c r="O78" i="126"/>
  <c r="P78" i="126"/>
  <c r="E79" i="126"/>
  <c r="F79" i="126"/>
  <c r="G79" i="126"/>
  <c r="H79" i="126"/>
  <c r="I79" i="126"/>
  <c r="J79" i="126"/>
  <c r="K79" i="126"/>
  <c r="L79" i="126"/>
  <c r="M79" i="126"/>
  <c r="N79" i="126"/>
  <c r="O79" i="126"/>
  <c r="P79" i="126"/>
  <c r="E68" i="126"/>
  <c r="F68" i="126"/>
  <c r="G68" i="126"/>
  <c r="H68" i="126"/>
  <c r="I68" i="126"/>
  <c r="J68" i="126"/>
  <c r="K68" i="126"/>
  <c r="L68" i="126"/>
  <c r="M68" i="126"/>
  <c r="N68" i="126"/>
  <c r="O68" i="126"/>
  <c r="P68" i="126"/>
  <c r="E69" i="126"/>
  <c r="F69" i="126"/>
  <c r="G69" i="126"/>
  <c r="H69" i="126"/>
  <c r="I69" i="126"/>
  <c r="J69" i="126"/>
  <c r="K69" i="126"/>
  <c r="L69" i="126"/>
  <c r="M69" i="126"/>
  <c r="N69" i="126"/>
  <c r="O69" i="126"/>
  <c r="P69" i="126"/>
  <c r="E70" i="126"/>
  <c r="F70" i="126"/>
  <c r="G70" i="126"/>
  <c r="H70" i="126"/>
  <c r="I70" i="126"/>
  <c r="J70" i="126"/>
  <c r="K70" i="126"/>
  <c r="L70" i="126"/>
  <c r="M70" i="126"/>
  <c r="N70" i="126"/>
  <c r="O70" i="126"/>
  <c r="P70" i="126"/>
  <c r="E71" i="126"/>
  <c r="F71" i="126"/>
  <c r="G71" i="126"/>
  <c r="H71" i="126"/>
  <c r="I71" i="126"/>
  <c r="J71" i="126"/>
  <c r="K71" i="126"/>
  <c r="L71" i="126"/>
  <c r="M71" i="126"/>
  <c r="N71" i="126"/>
  <c r="O71" i="126"/>
  <c r="P71" i="126"/>
  <c r="E72" i="126"/>
  <c r="F72" i="126"/>
  <c r="G72" i="126"/>
  <c r="H72" i="126"/>
  <c r="I72" i="126"/>
  <c r="J72" i="126"/>
  <c r="K72" i="126"/>
  <c r="L72" i="126"/>
  <c r="M72" i="126"/>
  <c r="N72" i="126"/>
  <c r="O72" i="126"/>
  <c r="P72" i="126"/>
  <c r="E73" i="126"/>
  <c r="F73" i="126"/>
  <c r="G73" i="126"/>
  <c r="H73" i="126"/>
  <c r="I73" i="126"/>
  <c r="J73" i="126"/>
  <c r="K73" i="126"/>
  <c r="L73" i="126"/>
  <c r="M73" i="126"/>
  <c r="N73" i="126"/>
  <c r="O73" i="126"/>
  <c r="P73" i="126"/>
  <c r="E74" i="126"/>
  <c r="F74" i="126"/>
  <c r="G74" i="126"/>
  <c r="H74" i="126"/>
  <c r="I74" i="126"/>
  <c r="J74" i="126"/>
  <c r="K74" i="126"/>
  <c r="L74" i="126"/>
  <c r="M74" i="126"/>
  <c r="N74" i="126"/>
  <c r="O74" i="126"/>
  <c r="P74" i="126"/>
  <c r="E75" i="126"/>
  <c r="F75" i="126"/>
  <c r="G75" i="126"/>
  <c r="H75" i="126"/>
  <c r="I75" i="126"/>
  <c r="J75" i="126"/>
  <c r="K75" i="126"/>
  <c r="L75" i="126"/>
  <c r="M75" i="126"/>
  <c r="N75" i="126"/>
  <c r="O75" i="126"/>
  <c r="P75" i="126"/>
  <c r="E76" i="126"/>
  <c r="F76" i="126"/>
  <c r="G76" i="126"/>
  <c r="H76" i="126"/>
  <c r="I76" i="126"/>
  <c r="J76" i="126"/>
  <c r="K76" i="126"/>
  <c r="L76" i="126"/>
  <c r="M76" i="126"/>
  <c r="N76" i="126"/>
  <c r="O76" i="126"/>
  <c r="P76" i="126"/>
  <c r="E77" i="126"/>
  <c r="F77" i="126"/>
  <c r="G77" i="126"/>
  <c r="H77" i="126"/>
  <c r="I77" i="126"/>
  <c r="J77" i="126"/>
  <c r="K77" i="126"/>
  <c r="L77" i="126"/>
  <c r="M77" i="126"/>
  <c r="N77" i="126"/>
  <c r="O77" i="126"/>
  <c r="P77" i="126"/>
  <c r="E61" i="126"/>
  <c r="F61" i="126"/>
  <c r="G61" i="126"/>
  <c r="H61" i="126"/>
  <c r="I61" i="126"/>
  <c r="J61" i="126"/>
  <c r="K61" i="126"/>
  <c r="L61" i="126"/>
  <c r="M61" i="126"/>
  <c r="N61" i="126"/>
  <c r="O61" i="126"/>
  <c r="P61" i="126"/>
  <c r="E62" i="126"/>
  <c r="F62" i="126"/>
  <c r="G62" i="126"/>
  <c r="H62" i="126"/>
  <c r="I62" i="126"/>
  <c r="J62" i="126"/>
  <c r="K62" i="126"/>
  <c r="L62" i="126"/>
  <c r="M62" i="126"/>
  <c r="N62" i="126"/>
  <c r="O62" i="126"/>
  <c r="P62" i="126"/>
  <c r="E63" i="126"/>
  <c r="F63" i="126"/>
  <c r="G63" i="126"/>
  <c r="H63" i="126"/>
  <c r="I63" i="126"/>
  <c r="J63" i="126"/>
  <c r="K63" i="126"/>
  <c r="L63" i="126"/>
  <c r="M63" i="126"/>
  <c r="N63" i="126"/>
  <c r="O63" i="126"/>
  <c r="P63" i="126"/>
  <c r="E64" i="126"/>
  <c r="F64" i="126"/>
  <c r="G64" i="126"/>
  <c r="H64" i="126"/>
  <c r="I64" i="126"/>
  <c r="J64" i="126"/>
  <c r="K64" i="126"/>
  <c r="L64" i="126"/>
  <c r="M64" i="126"/>
  <c r="N64" i="126"/>
  <c r="O64" i="126"/>
  <c r="P64" i="126"/>
  <c r="E65" i="126"/>
  <c r="F65" i="126"/>
  <c r="G65" i="126"/>
  <c r="H65" i="126"/>
  <c r="I65" i="126"/>
  <c r="J65" i="126"/>
  <c r="K65" i="126"/>
  <c r="L65" i="126"/>
  <c r="M65" i="126"/>
  <c r="N65" i="126"/>
  <c r="O65" i="126"/>
  <c r="P65" i="126"/>
  <c r="E66" i="126"/>
  <c r="F66" i="126"/>
  <c r="G66" i="126"/>
  <c r="H66" i="126"/>
  <c r="I66" i="126"/>
  <c r="J66" i="126"/>
  <c r="K66" i="126"/>
  <c r="L66" i="126"/>
  <c r="M66" i="126"/>
  <c r="N66" i="126"/>
  <c r="O66" i="126"/>
  <c r="P66" i="126"/>
  <c r="E67" i="126"/>
  <c r="F67" i="126"/>
  <c r="G67" i="126"/>
  <c r="H67" i="126"/>
  <c r="I67" i="126"/>
  <c r="J67" i="126"/>
  <c r="K67" i="126"/>
  <c r="L67" i="126"/>
  <c r="M67" i="126"/>
  <c r="N67" i="126"/>
  <c r="O67" i="126"/>
  <c r="P67" i="126"/>
  <c r="F60" i="126"/>
  <c r="G60" i="126"/>
  <c r="H60" i="126"/>
  <c r="I60" i="126"/>
  <c r="J60" i="126"/>
  <c r="K60" i="126"/>
  <c r="L60" i="126"/>
  <c r="M60" i="126"/>
  <c r="N60" i="126"/>
  <c r="O60" i="126"/>
  <c r="P60" i="126"/>
  <c r="E60" i="126"/>
  <c r="E46" i="126"/>
  <c r="F46" i="126"/>
  <c r="G46" i="126"/>
  <c r="H46" i="126"/>
  <c r="I46" i="126"/>
  <c r="J46" i="126"/>
  <c r="K46" i="126"/>
  <c r="L46" i="126"/>
  <c r="L44" i="126" s="1"/>
  <c r="L43" i="126" s="1"/>
  <c r="M46" i="126"/>
  <c r="N46" i="126"/>
  <c r="O46" i="126"/>
  <c r="P46" i="126"/>
  <c r="E47" i="126"/>
  <c r="F47" i="126"/>
  <c r="G47" i="126"/>
  <c r="H47" i="126"/>
  <c r="I47" i="126"/>
  <c r="J47" i="126"/>
  <c r="K47" i="126"/>
  <c r="L47" i="126"/>
  <c r="M47" i="126"/>
  <c r="N47" i="126"/>
  <c r="O47" i="126"/>
  <c r="P47" i="126"/>
  <c r="E48" i="126"/>
  <c r="F48" i="126"/>
  <c r="G48" i="126"/>
  <c r="H48" i="126"/>
  <c r="I48" i="126"/>
  <c r="J48" i="126"/>
  <c r="K48" i="126"/>
  <c r="L48" i="126"/>
  <c r="M48" i="126"/>
  <c r="N48" i="126"/>
  <c r="O48" i="126"/>
  <c r="P48" i="126"/>
  <c r="E49" i="126"/>
  <c r="F49" i="126"/>
  <c r="G49" i="126"/>
  <c r="H49" i="126"/>
  <c r="I49" i="126"/>
  <c r="J49" i="126"/>
  <c r="K49" i="126"/>
  <c r="L49" i="126"/>
  <c r="M49" i="126"/>
  <c r="N49" i="126"/>
  <c r="O49" i="126"/>
  <c r="P49" i="126"/>
  <c r="E50" i="126"/>
  <c r="F50" i="126"/>
  <c r="G50" i="126"/>
  <c r="H50" i="126"/>
  <c r="I50" i="126"/>
  <c r="J50" i="126"/>
  <c r="K50" i="126"/>
  <c r="L50" i="126"/>
  <c r="M50" i="126"/>
  <c r="N50" i="126"/>
  <c r="O50" i="126"/>
  <c r="P50" i="126"/>
  <c r="E51" i="126"/>
  <c r="F51" i="126"/>
  <c r="G51" i="126"/>
  <c r="H51" i="126"/>
  <c r="I51" i="126"/>
  <c r="J51" i="126"/>
  <c r="K51" i="126"/>
  <c r="L51" i="126"/>
  <c r="M51" i="126"/>
  <c r="N51" i="126"/>
  <c r="O51" i="126"/>
  <c r="P51" i="126"/>
  <c r="E52" i="126"/>
  <c r="F52" i="126"/>
  <c r="G52" i="126"/>
  <c r="H52" i="126"/>
  <c r="I52" i="126"/>
  <c r="J52" i="126"/>
  <c r="K52" i="126"/>
  <c r="L52" i="126"/>
  <c r="M52" i="126"/>
  <c r="N52" i="126"/>
  <c r="O52" i="126"/>
  <c r="P52" i="126"/>
  <c r="E53" i="126"/>
  <c r="F53" i="126"/>
  <c r="G53" i="126"/>
  <c r="H53" i="126"/>
  <c r="I53" i="126"/>
  <c r="J53" i="126"/>
  <c r="K53" i="126"/>
  <c r="L53" i="126"/>
  <c r="M53" i="126"/>
  <c r="N53" i="126"/>
  <c r="O53" i="126"/>
  <c r="P53" i="126"/>
  <c r="E54" i="126"/>
  <c r="F54" i="126"/>
  <c r="G54" i="126"/>
  <c r="H54" i="126"/>
  <c r="I54" i="126"/>
  <c r="J54" i="126"/>
  <c r="K54" i="126"/>
  <c r="L54" i="126"/>
  <c r="M54" i="126"/>
  <c r="N54" i="126"/>
  <c r="O54" i="126"/>
  <c r="P54" i="126"/>
  <c r="E55" i="126"/>
  <c r="F55" i="126"/>
  <c r="G55" i="126"/>
  <c r="H55" i="126"/>
  <c r="I55" i="126"/>
  <c r="J55" i="126"/>
  <c r="K55" i="126"/>
  <c r="L55" i="126"/>
  <c r="M55" i="126"/>
  <c r="N55" i="126"/>
  <c r="O55" i="126"/>
  <c r="P55" i="126"/>
  <c r="E56" i="126"/>
  <c r="F56" i="126"/>
  <c r="G56" i="126"/>
  <c r="H56" i="126"/>
  <c r="I56" i="126"/>
  <c r="J56" i="126"/>
  <c r="K56" i="126"/>
  <c r="L56" i="126"/>
  <c r="M56" i="126"/>
  <c r="N56" i="126"/>
  <c r="O56" i="126"/>
  <c r="P56" i="126"/>
  <c r="E57" i="126"/>
  <c r="F57" i="126"/>
  <c r="G57" i="126"/>
  <c r="H57" i="126"/>
  <c r="I57" i="126"/>
  <c r="J57" i="126"/>
  <c r="K57" i="126"/>
  <c r="L57" i="126"/>
  <c r="M57" i="126"/>
  <c r="N57" i="126"/>
  <c r="O57" i="126"/>
  <c r="P57" i="126"/>
  <c r="F45" i="126"/>
  <c r="F44" i="126" s="1"/>
  <c r="F43" i="126" s="1"/>
  <c r="G45" i="126"/>
  <c r="H45" i="126"/>
  <c r="I45" i="126"/>
  <c r="J45" i="126"/>
  <c r="K45" i="126"/>
  <c r="L45" i="126"/>
  <c r="M45" i="126"/>
  <c r="M44" i="126" s="1"/>
  <c r="M43" i="126" s="1"/>
  <c r="N45" i="126"/>
  <c r="O45" i="126"/>
  <c r="P45" i="126"/>
  <c r="E45" i="126"/>
  <c r="E33" i="126"/>
  <c r="F33" i="126"/>
  <c r="G33" i="126"/>
  <c r="H33" i="126"/>
  <c r="H31" i="126" s="1"/>
  <c r="H30" i="126" s="1"/>
  <c r="I33" i="126"/>
  <c r="J33" i="126"/>
  <c r="K33" i="126"/>
  <c r="L33" i="126"/>
  <c r="L31" i="126" s="1"/>
  <c r="L30" i="126" s="1"/>
  <c r="M33" i="126"/>
  <c r="N33" i="126"/>
  <c r="O33" i="126"/>
  <c r="P33" i="126"/>
  <c r="E34" i="126"/>
  <c r="F34" i="126"/>
  <c r="G34" i="126"/>
  <c r="H34" i="126"/>
  <c r="I34" i="126"/>
  <c r="J34" i="126"/>
  <c r="K34" i="126"/>
  <c r="L34" i="126"/>
  <c r="M34" i="126"/>
  <c r="N34" i="126"/>
  <c r="O34" i="126"/>
  <c r="P34" i="126"/>
  <c r="E35" i="126"/>
  <c r="F35" i="126"/>
  <c r="G35" i="126"/>
  <c r="H35" i="126"/>
  <c r="I35" i="126"/>
  <c r="J35" i="126"/>
  <c r="K35" i="126"/>
  <c r="L35" i="126"/>
  <c r="M35" i="126"/>
  <c r="N35" i="126"/>
  <c r="O35" i="126"/>
  <c r="P35" i="126"/>
  <c r="E36" i="126"/>
  <c r="F36" i="126"/>
  <c r="G36" i="126"/>
  <c r="H36" i="126"/>
  <c r="I36" i="126"/>
  <c r="J36" i="126"/>
  <c r="K36" i="126"/>
  <c r="L36" i="126"/>
  <c r="M36" i="126"/>
  <c r="N36" i="126"/>
  <c r="O36" i="126"/>
  <c r="P36" i="126"/>
  <c r="E37" i="126"/>
  <c r="F37" i="126"/>
  <c r="G37" i="126"/>
  <c r="H37" i="126"/>
  <c r="I37" i="126"/>
  <c r="J37" i="126"/>
  <c r="K37" i="126"/>
  <c r="L37" i="126"/>
  <c r="M37" i="126"/>
  <c r="N37" i="126"/>
  <c r="O37" i="126"/>
  <c r="P37" i="126"/>
  <c r="E38" i="126"/>
  <c r="F38" i="126"/>
  <c r="G38" i="126"/>
  <c r="H38" i="126"/>
  <c r="I38" i="126"/>
  <c r="J38" i="126"/>
  <c r="K38" i="126"/>
  <c r="L38" i="126"/>
  <c r="M38" i="126"/>
  <c r="N38" i="126"/>
  <c r="O38" i="126"/>
  <c r="P38" i="126"/>
  <c r="E39" i="126"/>
  <c r="F39" i="126"/>
  <c r="G39" i="126"/>
  <c r="H39" i="126"/>
  <c r="I39" i="126"/>
  <c r="J39" i="126"/>
  <c r="K39" i="126"/>
  <c r="L39" i="126"/>
  <c r="M39" i="126"/>
  <c r="N39" i="126"/>
  <c r="O39" i="126"/>
  <c r="P39" i="126"/>
  <c r="E40" i="126"/>
  <c r="F40" i="126"/>
  <c r="G40" i="126"/>
  <c r="H40" i="126"/>
  <c r="I40" i="126"/>
  <c r="J40" i="126"/>
  <c r="K40" i="126"/>
  <c r="L40" i="126"/>
  <c r="M40" i="126"/>
  <c r="N40" i="126"/>
  <c r="O40" i="126"/>
  <c r="P40" i="126"/>
  <c r="E41" i="126"/>
  <c r="F41" i="126"/>
  <c r="G41" i="126"/>
  <c r="H41" i="126"/>
  <c r="I41" i="126"/>
  <c r="J41" i="126"/>
  <c r="K41" i="126"/>
  <c r="L41" i="126"/>
  <c r="M41" i="126"/>
  <c r="N41" i="126"/>
  <c r="O41" i="126"/>
  <c r="P41" i="126"/>
  <c r="E42" i="126"/>
  <c r="F42" i="126"/>
  <c r="G42" i="126"/>
  <c r="H42" i="126"/>
  <c r="I42" i="126"/>
  <c r="J42" i="126"/>
  <c r="K42" i="126"/>
  <c r="L42" i="126"/>
  <c r="M42" i="126"/>
  <c r="N42" i="126"/>
  <c r="O42" i="126"/>
  <c r="P42" i="126"/>
  <c r="F32" i="126"/>
  <c r="G32" i="126"/>
  <c r="H32" i="126"/>
  <c r="I32" i="126"/>
  <c r="I31" i="126" s="1"/>
  <c r="J32" i="126"/>
  <c r="K32" i="126"/>
  <c r="L32" i="126"/>
  <c r="M32" i="126"/>
  <c r="M31" i="126" s="1"/>
  <c r="M30" i="126" s="1"/>
  <c r="N32" i="126"/>
  <c r="O32" i="126"/>
  <c r="P32" i="126"/>
  <c r="E32" i="126"/>
  <c r="F28" i="126"/>
  <c r="G28" i="126"/>
  <c r="H28" i="126"/>
  <c r="I28" i="126"/>
  <c r="J28" i="126"/>
  <c r="K28" i="126"/>
  <c r="L28" i="126"/>
  <c r="M28" i="126"/>
  <c r="N28" i="126"/>
  <c r="O28" i="126"/>
  <c r="P28" i="126"/>
  <c r="F29" i="126"/>
  <c r="F13" i="126" s="1"/>
  <c r="F12" i="126" s="1"/>
  <c r="G29" i="126"/>
  <c r="H29" i="126"/>
  <c r="I29" i="126"/>
  <c r="J29" i="126"/>
  <c r="K29" i="126"/>
  <c r="L29" i="126"/>
  <c r="M29" i="126"/>
  <c r="N29" i="126"/>
  <c r="O29" i="126"/>
  <c r="P29" i="126"/>
  <c r="E29" i="126"/>
  <c r="E28" i="126"/>
  <c r="E194" i="126"/>
  <c r="E193" i="126" s="1"/>
  <c r="M180" i="126"/>
  <c r="M179" i="126" s="1"/>
  <c r="I180" i="126"/>
  <c r="I179" i="126" s="1"/>
  <c r="E180" i="126"/>
  <c r="E177" i="126"/>
  <c r="E170" i="126"/>
  <c r="E169" i="126" s="1"/>
  <c r="E123" i="126"/>
  <c r="E44" i="126"/>
  <c r="E43" i="126" s="1"/>
  <c r="E31" i="126"/>
  <c r="P27" i="126"/>
  <c r="O27" i="126"/>
  <c r="N27" i="126"/>
  <c r="M27" i="126"/>
  <c r="L27" i="126"/>
  <c r="K27" i="126"/>
  <c r="J27" i="126"/>
  <c r="I27" i="126"/>
  <c r="H27" i="126"/>
  <c r="G27" i="126"/>
  <c r="F27" i="126"/>
  <c r="E27" i="126"/>
  <c r="P26" i="126"/>
  <c r="O26" i="126"/>
  <c r="N26" i="126"/>
  <c r="M26" i="126"/>
  <c r="L26" i="126"/>
  <c r="K26" i="126"/>
  <c r="J26" i="126"/>
  <c r="I26" i="126"/>
  <c r="H26" i="126"/>
  <c r="G26" i="126"/>
  <c r="F26" i="126"/>
  <c r="E26" i="126"/>
  <c r="P24" i="126"/>
  <c r="O24" i="126"/>
  <c r="N24" i="126"/>
  <c r="M24" i="126"/>
  <c r="L24" i="126"/>
  <c r="K24" i="126"/>
  <c r="J24" i="126"/>
  <c r="I24" i="126"/>
  <c r="H24" i="126"/>
  <c r="G24" i="126"/>
  <c r="F24" i="126"/>
  <c r="E24" i="126"/>
  <c r="P23" i="126"/>
  <c r="O23" i="126"/>
  <c r="N23" i="126"/>
  <c r="M23" i="126"/>
  <c r="L23" i="126"/>
  <c r="K23" i="126"/>
  <c r="J23" i="126"/>
  <c r="I23" i="126"/>
  <c r="H23" i="126"/>
  <c r="G23" i="126"/>
  <c r="F23" i="126"/>
  <c r="E23" i="126"/>
  <c r="P22" i="126"/>
  <c r="O22" i="126"/>
  <c r="N22" i="126"/>
  <c r="M22" i="126"/>
  <c r="L22" i="126"/>
  <c r="K22" i="126"/>
  <c r="J22" i="126"/>
  <c r="I22" i="126"/>
  <c r="H22" i="126"/>
  <c r="G22" i="126"/>
  <c r="F22" i="126"/>
  <c r="E22" i="126"/>
  <c r="P21" i="126"/>
  <c r="O21" i="126"/>
  <c r="N21" i="126"/>
  <c r="M21" i="126"/>
  <c r="L21" i="126"/>
  <c r="K21" i="126"/>
  <c r="J21" i="126"/>
  <c r="I21" i="126"/>
  <c r="H21" i="126"/>
  <c r="G21" i="126"/>
  <c r="F21" i="126"/>
  <c r="E21" i="126"/>
  <c r="P20" i="126"/>
  <c r="O20" i="126"/>
  <c r="N20" i="126"/>
  <c r="M20" i="126"/>
  <c r="L20" i="126"/>
  <c r="K20" i="126"/>
  <c r="J20" i="126"/>
  <c r="I20" i="126"/>
  <c r="H20" i="126"/>
  <c r="G20" i="126"/>
  <c r="F20" i="126"/>
  <c r="E20" i="126"/>
  <c r="P19" i="126"/>
  <c r="O19" i="126"/>
  <c r="N19" i="126"/>
  <c r="M19" i="126"/>
  <c r="L19" i="126"/>
  <c r="K19" i="126"/>
  <c r="J19" i="126"/>
  <c r="I19" i="126"/>
  <c r="H19" i="126"/>
  <c r="G19" i="126"/>
  <c r="F19" i="126"/>
  <c r="E19" i="126"/>
  <c r="P18" i="126"/>
  <c r="O18" i="126"/>
  <c r="N18" i="126"/>
  <c r="M18" i="126"/>
  <c r="L18" i="126"/>
  <c r="K18" i="126"/>
  <c r="J18" i="126"/>
  <c r="I18" i="126"/>
  <c r="H18" i="126"/>
  <c r="G18" i="126"/>
  <c r="F18" i="126"/>
  <c r="E18" i="126"/>
  <c r="P17" i="126"/>
  <c r="O17" i="126"/>
  <c r="N17" i="126"/>
  <c r="M17" i="126"/>
  <c r="L17" i="126"/>
  <c r="K17" i="126"/>
  <c r="J17" i="126"/>
  <c r="I17" i="126"/>
  <c r="H17" i="126"/>
  <c r="G17" i="126"/>
  <c r="F17" i="126"/>
  <c r="E17" i="126"/>
  <c r="P16" i="126"/>
  <c r="O16" i="126"/>
  <c r="N16" i="126"/>
  <c r="M16" i="126"/>
  <c r="L16" i="126"/>
  <c r="K16" i="126"/>
  <c r="J16" i="126"/>
  <c r="I16" i="126"/>
  <c r="H16" i="126"/>
  <c r="G16" i="126"/>
  <c r="F16" i="126"/>
  <c r="E16" i="126"/>
  <c r="P15" i="126"/>
  <c r="O15" i="126"/>
  <c r="N15" i="126"/>
  <c r="M15" i="126"/>
  <c r="L15" i="126"/>
  <c r="K15" i="126"/>
  <c r="J15" i="126"/>
  <c r="I15" i="126"/>
  <c r="H15" i="126"/>
  <c r="G15" i="126"/>
  <c r="F15" i="126"/>
  <c r="E15" i="126"/>
  <c r="P14" i="126"/>
  <c r="O14" i="126"/>
  <c r="N14" i="126"/>
  <c r="M14" i="126"/>
  <c r="M13" i="126" s="1"/>
  <c r="L14" i="126"/>
  <c r="K14" i="126"/>
  <c r="J14" i="126"/>
  <c r="I14" i="126"/>
  <c r="H14" i="126"/>
  <c r="G14" i="126"/>
  <c r="F14" i="126"/>
  <c r="E14" i="126"/>
  <c r="H198" i="126"/>
  <c r="H197" i="126" s="1"/>
  <c r="G198" i="126"/>
  <c r="G197" i="126" s="1"/>
  <c r="O198" i="126"/>
  <c r="O197" i="126" s="1"/>
  <c r="N198" i="126"/>
  <c r="N197" i="126" s="1"/>
  <c r="L198" i="126"/>
  <c r="L197" i="126" s="1"/>
  <c r="K198" i="126"/>
  <c r="F198" i="126"/>
  <c r="I197" i="126"/>
  <c r="F197" i="126"/>
  <c r="O194" i="126"/>
  <c r="N194" i="126"/>
  <c r="J194" i="126" s="1"/>
  <c r="L194" i="126"/>
  <c r="L193" i="126" s="1"/>
  <c r="K194" i="126"/>
  <c r="H194" i="126"/>
  <c r="H193" i="126" s="1"/>
  <c r="G194" i="126"/>
  <c r="G193" i="126" s="1"/>
  <c r="F194" i="126"/>
  <c r="F193" i="126" s="1"/>
  <c r="O193" i="126"/>
  <c r="K193" i="126"/>
  <c r="O187" i="126"/>
  <c r="O186" i="126" s="1"/>
  <c r="N187" i="126"/>
  <c r="L187" i="126"/>
  <c r="L186" i="126" s="1"/>
  <c r="K187" i="126"/>
  <c r="K186" i="126" s="1"/>
  <c r="H187" i="126"/>
  <c r="H186" i="126" s="1"/>
  <c r="G187" i="126"/>
  <c r="G186" i="126" s="1"/>
  <c r="F187" i="126"/>
  <c r="F186" i="126" s="1"/>
  <c r="E186" i="126"/>
  <c r="O180" i="126"/>
  <c r="O179" i="126" s="1"/>
  <c r="N180" i="126"/>
  <c r="L180" i="126"/>
  <c r="L179" i="126" s="1"/>
  <c r="K180" i="126"/>
  <c r="J180" i="126" s="1"/>
  <c r="J179" i="126" s="1"/>
  <c r="H180" i="126"/>
  <c r="H179" i="126" s="1"/>
  <c r="G180" i="126"/>
  <c r="G179" i="126" s="1"/>
  <c r="F180" i="126"/>
  <c r="N179" i="126"/>
  <c r="F179" i="126"/>
  <c r="O177" i="126"/>
  <c r="N177" i="126"/>
  <c r="N176" i="126" s="1"/>
  <c r="L177" i="126"/>
  <c r="L176" i="126" s="1"/>
  <c r="K177" i="126"/>
  <c r="J177" i="126"/>
  <c r="H177" i="126"/>
  <c r="G177" i="126"/>
  <c r="G176" i="126" s="1"/>
  <c r="O176" i="126"/>
  <c r="K176" i="126"/>
  <c r="H176" i="126"/>
  <c r="O170" i="126"/>
  <c r="N170" i="126"/>
  <c r="N169" i="126" s="1"/>
  <c r="K170" i="126"/>
  <c r="G170" i="126"/>
  <c r="G169" i="126" s="1"/>
  <c r="F170" i="126"/>
  <c r="F169" i="126" s="1"/>
  <c r="O169" i="126"/>
  <c r="O148" i="126"/>
  <c r="O147" i="126" s="1"/>
  <c r="K148" i="126"/>
  <c r="K147" i="126" s="1"/>
  <c r="F148" i="126"/>
  <c r="F147" i="126" s="1"/>
  <c r="P146" i="126"/>
  <c r="O146" i="126"/>
  <c r="N146" i="126"/>
  <c r="M146" i="126"/>
  <c r="L146" i="126"/>
  <c r="K146" i="126"/>
  <c r="J146" i="126"/>
  <c r="I146" i="126"/>
  <c r="H146" i="126"/>
  <c r="G146" i="126"/>
  <c r="F146" i="126"/>
  <c r="O123" i="126"/>
  <c r="O122" i="126" s="1"/>
  <c r="H123" i="126"/>
  <c r="H122" i="126" s="1"/>
  <c r="N111" i="126"/>
  <c r="N110" i="126" s="1"/>
  <c r="H111" i="126"/>
  <c r="H110" i="126" s="1"/>
  <c r="I110" i="126"/>
  <c r="O59" i="126"/>
  <c r="O58" i="126" s="1"/>
  <c r="K59" i="126"/>
  <c r="K58" i="126" s="1"/>
  <c r="I58" i="126"/>
  <c r="H44" i="126"/>
  <c r="H43" i="126" s="1"/>
  <c r="O44" i="126"/>
  <c r="N44" i="126"/>
  <c r="N43" i="126" s="1"/>
  <c r="K44" i="126"/>
  <c r="K43" i="126" s="1"/>
  <c r="G44" i="126"/>
  <c r="O43" i="126"/>
  <c r="I43" i="126"/>
  <c r="G43" i="126"/>
  <c r="O31" i="126"/>
  <c r="O30" i="126" s="1"/>
  <c r="N31" i="126"/>
  <c r="N30" i="126" s="1"/>
  <c r="K31" i="126"/>
  <c r="K30" i="126" s="1"/>
  <c r="J31" i="126"/>
  <c r="J30" i="126" s="1"/>
  <c r="G31" i="126"/>
  <c r="G30" i="126" s="1"/>
  <c r="F31" i="126"/>
  <c r="F30" i="126" s="1"/>
  <c r="O13" i="126"/>
  <c r="H13" i="126"/>
  <c r="G13" i="126"/>
  <c r="N13" i="126"/>
  <c r="L13" i="126"/>
  <c r="L12" i="126" s="1"/>
  <c r="K13" i="126"/>
  <c r="I12" i="126"/>
  <c r="P201" i="124"/>
  <c r="J201" i="124"/>
  <c r="E201" i="124"/>
  <c r="J200" i="124"/>
  <c r="F200" i="124"/>
  <c r="E200" i="124"/>
  <c r="E198" i="124" s="1"/>
  <c r="J199" i="124"/>
  <c r="E199" i="124"/>
  <c r="O198" i="124"/>
  <c r="O197" i="124" s="1"/>
  <c r="N198" i="124"/>
  <c r="M198" i="124"/>
  <c r="M197" i="124" s="1"/>
  <c r="L198" i="124"/>
  <c r="K198" i="124"/>
  <c r="H198" i="124"/>
  <c r="G198" i="124"/>
  <c r="F198" i="124"/>
  <c r="N197" i="124"/>
  <c r="L197" i="124"/>
  <c r="I197" i="124"/>
  <c r="H197" i="124"/>
  <c r="G197" i="124"/>
  <c r="F197" i="124"/>
  <c r="N196" i="124"/>
  <c r="J196" i="124"/>
  <c r="P196" i="124" s="1"/>
  <c r="E196" i="124"/>
  <c r="O195" i="124"/>
  <c r="N195" i="124"/>
  <c r="J195" i="124" s="1"/>
  <c r="E195" i="124"/>
  <c r="P195" i="124" s="1"/>
  <c r="O194" i="124"/>
  <c r="N194" i="124" s="1"/>
  <c r="N193" i="124" s="1"/>
  <c r="M194" i="124"/>
  <c r="L194" i="124"/>
  <c r="K194" i="124"/>
  <c r="I194" i="124"/>
  <c r="I193" i="124" s="1"/>
  <c r="H194" i="124"/>
  <c r="G194" i="124"/>
  <c r="F194" i="124"/>
  <c r="E194" i="124"/>
  <c r="E193" i="124" s="1"/>
  <c r="O193" i="124"/>
  <c r="M193" i="124"/>
  <c r="L193" i="124"/>
  <c r="K193" i="124"/>
  <c r="H193" i="124"/>
  <c r="G193" i="124"/>
  <c r="F193" i="124"/>
  <c r="N192" i="124"/>
  <c r="J192" i="124" s="1"/>
  <c r="P192" i="124" s="1"/>
  <c r="P191" i="124"/>
  <c r="N191" i="124"/>
  <c r="J191" i="124"/>
  <c r="N190" i="124"/>
  <c r="J190" i="124" s="1"/>
  <c r="E190" i="124"/>
  <c r="N189" i="124"/>
  <c r="E189" i="124"/>
  <c r="O188" i="124"/>
  <c r="O187" i="124" s="1"/>
  <c r="O186" i="124" s="1"/>
  <c r="M188" i="124"/>
  <c r="L188" i="124"/>
  <c r="K188" i="124"/>
  <c r="I188" i="124"/>
  <c r="H188" i="124"/>
  <c r="G188" i="124"/>
  <c r="G187" i="124" s="1"/>
  <c r="G186" i="124" s="1"/>
  <c r="F188" i="124"/>
  <c r="E188" i="124"/>
  <c r="M187" i="124"/>
  <c r="M186" i="124" s="1"/>
  <c r="L187" i="124"/>
  <c r="I187" i="124"/>
  <c r="I186" i="124" s="1"/>
  <c r="H187" i="124"/>
  <c r="F187" i="124"/>
  <c r="L186" i="124"/>
  <c r="H186" i="124"/>
  <c r="F186" i="124"/>
  <c r="E186" i="124"/>
  <c r="O185" i="124"/>
  <c r="N185" i="124"/>
  <c r="J185" i="124" s="1"/>
  <c r="F185" i="124"/>
  <c r="O184" i="124"/>
  <c r="N184" i="124"/>
  <c r="J184" i="124" s="1"/>
  <c r="K184" i="124"/>
  <c r="N183" i="124"/>
  <c r="J183" i="124" s="1"/>
  <c r="F183" i="124"/>
  <c r="E183" i="124" s="1"/>
  <c r="N182" i="124"/>
  <c r="J182" i="124"/>
  <c r="F182" i="124"/>
  <c r="E182" i="124"/>
  <c r="O181" i="124"/>
  <c r="E181" i="124"/>
  <c r="M180" i="124"/>
  <c r="L180" i="124"/>
  <c r="K180" i="124"/>
  <c r="I180" i="124"/>
  <c r="H180" i="124"/>
  <c r="G180" i="124"/>
  <c r="M179" i="124"/>
  <c r="L179" i="124"/>
  <c r="K179" i="124"/>
  <c r="I179" i="124"/>
  <c r="H179" i="124"/>
  <c r="G179" i="124"/>
  <c r="O178" i="124"/>
  <c r="N178" i="124"/>
  <c r="E178" i="124"/>
  <c r="O177" i="124"/>
  <c r="M177" i="124"/>
  <c r="L177" i="124"/>
  <c r="K177" i="124"/>
  <c r="I177" i="124"/>
  <c r="H177" i="124"/>
  <c r="G177" i="124"/>
  <c r="E177" i="124"/>
  <c r="F177" i="124" s="1"/>
  <c r="F176" i="124" s="1"/>
  <c r="O176" i="124"/>
  <c r="M176" i="124"/>
  <c r="L176" i="124"/>
  <c r="K176" i="124"/>
  <c r="I176" i="124"/>
  <c r="H176" i="124"/>
  <c r="G176" i="124"/>
  <c r="E176" i="124"/>
  <c r="O175" i="124"/>
  <c r="N175" i="124" s="1"/>
  <c r="J175" i="124"/>
  <c r="E175" i="124"/>
  <c r="O174" i="124"/>
  <c r="N174" i="124"/>
  <c r="J174" i="124" s="1"/>
  <c r="E174" i="124"/>
  <c r="P174" i="124" s="1"/>
  <c r="O173" i="124"/>
  <c r="E173" i="124"/>
  <c r="O172" i="124"/>
  <c r="N172" i="124"/>
  <c r="J172" i="124" s="1"/>
  <c r="E172" i="124"/>
  <c r="P172" i="124" s="1"/>
  <c r="M171" i="124"/>
  <c r="M170" i="124" s="1"/>
  <c r="M169" i="124" s="1"/>
  <c r="L171" i="124"/>
  <c r="K171" i="124"/>
  <c r="I171" i="124"/>
  <c r="I170" i="124" s="1"/>
  <c r="I169" i="124" s="1"/>
  <c r="H171" i="124"/>
  <c r="G171" i="124"/>
  <c r="F171" i="124"/>
  <c r="E171" i="124"/>
  <c r="L170" i="124"/>
  <c r="K170" i="124"/>
  <c r="H170" i="124"/>
  <c r="G170" i="124"/>
  <c r="G169" i="124" s="1"/>
  <c r="F170" i="124"/>
  <c r="L169" i="124"/>
  <c r="K169" i="124"/>
  <c r="H169" i="124"/>
  <c r="F169" i="124"/>
  <c r="N168" i="124"/>
  <c r="J168" i="124" s="1"/>
  <c r="G168" i="124"/>
  <c r="F168" i="124"/>
  <c r="E168" i="124"/>
  <c r="P168" i="124" s="1"/>
  <c r="N167" i="124"/>
  <c r="J167" i="124" s="1"/>
  <c r="E167" i="124"/>
  <c r="P167" i="124" s="1"/>
  <c r="O166" i="124"/>
  <c r="N166" i="124" s="1"/>
  <c r="J166" i="124"/>
  <c r="E166" i="124"/>
  <c r="O165" i="124"/>
  <c r="N165" i="124"/>
  <c r="J165" i="124" s="1"/>
  <c r="F165" i="124"/>
  <c r="E165" i="124" s="1"/>
  <c r="P165" i="124" s="1"/>
  <c r="O164" i="124"/>
  <c r="N164" i="124"/>
  <c r="J164" i="124" s="1"/>
  <c r="F164" i="124"/>
  <c r="O163" i="124"/>
  <c r="N163" i="124"/>
  <c r="J163" i="124" s="1"/>
  <c r="K163" i="124"/>
  <c r="N162" i="124"/>
  <c r="J162" i="124" s="1"/>
  <c r="F162" i="124"/>
  <c r="O161" i="124"/>
  <c r="N161" i="124"/>
  <c r="J161" i="124" s="1"/>
  <c r="K161" i="124"/>
  <c r="O160" i="124"/>
  <c r="N160" i="124" s="1"/>
  <c r="J160" i="124"/>
  <c r="P160" i="124" s="1"/>
  <c r="E160" i="124"/>
  <c r="K159" i="124"/>
  <c r="F159" i="124"/>
  <c r="E159" i="124"/>
  <c r="N158" i="124"/>
  <c r="J158" i="124" s="1"/>
  <c r="P158" i="124" s="1"/>
  <c r="O157" i="124"/>
  <c r="N157" i="124"/>
  <c r="J157" i="124" s="1"/>
  <c r="E157" i="124"/>
  <c r="P157" i="124" s="1"/>
  <c r="O156" i="124"/>
  <c r="N156" i="124" s="1"/>
  <c r="J156" i="124"/>
  <c r="F156" i="124"/>
  <c r="E156" i="124"/>
  <c r="P156" i="124" s="1"/>
  <c r="N155" i="124"/>
  <c r="J155" i="124" s="1"/>
  <c r="F155" i="124"/>
  <c r="O154" i="124"/>
  <c r="N154" i="124"/>
  <c r="J154" i="124" s="1"/>
  <c r="E154" i="124"/>
  <c r="P154" i="124" s="1"/>
  <c r="O153" i="124"/>
  <c r="N153" i="124" s="1"/>
  <c r="J153" i="124"/>
  <c r="P153" i="124" s="1"/>
  <c r="E153" i="124"/>
  <c r="N152" i="124"/>
  <c r="J152" i="124"/>
  <c r="P152" i="124" s="1"/>
  <c r="F152" i="124"/>
  <c r="E152" i="124"/>
  <c r="N151" i="124"/>
  <c r="J151" i="124" s="1"/>
  <c r="P151" i="124" s="1"/>
  <c r="E151" i="124"/>
  <c r="O150" i="124"/>
  <c r="F150" i="124"/>
  <c r="E150" i="124"/>
  <c r="K149" i="124"/>
  <c r="F149" i="124"/>
  <c r="E149" i="124"/>
  <c r="M148" i="124"/>
  <c r="L148" i="124"/>
  <c r="K148" i="124"/>
  <c r="I148" i="124"/>
  <c r="H148" i="124"/>
  <c r="G148" i="124"/>
  <c r="M147" i="124"/>
  <c r="L147" i="124"/>
  <c r="I147" i="124"/>
  <c r="H147" i="124"/>
  <c r="G147" i="124"/>
  <c r="N146" i="124"/>
  <c r="J146" i="124" s="1"/>
  <c r="F146" i="124"/>
  <c r="E146" i="124" s="1"/>
  <c r="O145" i="124"/>
  <c r="N145" i="124"/>
  <c r="J145" i="124" s="1"/>
  <c r="P145" i="124" s="1"/>
  <c r="E145" i="124"/>
  <c r="N144" i="124"/>
  <c r="J144" i="124" s="1"/>
  <c r="E144" i="124"/>
  <c r="N143" i="124"/>
  <c r="J143" i="124" s="1"/>
  <c r="F143" i="124"/>
  <c r="E143" i="124" s="1"/>
  <c r="O142" i="124"/>
  <c r="N142" i="124"/>
  <c r="J142" i="124" s="1"/>
  <c r="K142" i="124"/>
  <c r="G142" i="124"/>
  <c r="F142" i="124"/>
  <c r="N141" i="124"/>
  <c r="J141" i="124"/>
  <c r="F141" i="124"/>
  <c r="E141" i="124"/>
  <c r="P141" i="124" s="1"/>
  <c r="O140" i="124"/>
  <c r="M140" i="124"/>
  <c r="L140" i="124"/>
  <c r="K140" i="124"/>
  <c r="I140" i="124"/>
  <c r="H140" i="124"/>
  <c r="G140" i="124"/>
  <c r="N139" i="124"/>
  <c r="E139" i="124"/>
  <c r="O138" i="124"/>
  <c r="M138" i="124"/>
  <c r="L138" i="124"/>
  <c r="K138" i="124"/>
  <c r="H138" i="124"/>
  <c r="G138" i="124"/>
  <c r="F138" i="124"/>
  <c r="E138" i="124" s="1"/>
  <c r="N137" i="124"/>
  <c r="J137" i="124"/>
  <c r="F137" i="124"/>
  <c r="E137" i="124"/>
  <c r="P137" i="124" s="1"/>
  <c r="O136" i="124"/>
  <c r="M136" i="124"/>
  <c r="M135" i="124" s="1"/>
  <c r="H136" i="124"/>
  <c r="H135" i="124" s="1"/>
  <c r="G136" i="124"/>
  <c r="F136" i="124"/>
  <c r="L135" i="124"/>
  <c r="K135" i="124"/>
  <c r="I135" i="124"/>
  <c r="G135" i="124"/>
  <c r="P134" i="124"/>
  <c r="N134" i="124"/>
  <c r="J134" i="124"/>
  <c r="E134" i="124"/>
  <c r="P133" i="124"/>
  <c r="O133" i="124"/>
  <c r="N133" i="124"/>
  <c r="M133" i="124"/>
  <c r="L133" i="124"/>
  <c r="K133" i="124"/>
  <c r="J133" i="124"/>
  <c r="H133" i="124"/>
  <c r="G133" i="124"/>
  <c r="F133" i="124"/>
  <c r="E133" i="124"/>
  <c r="N132" i="124"/>
  <c r="J132" i="124" s="1"/>
  <c r="F132" i="124"/>
  <c r="E132" i="124" s="1"/>
  <c r="P132" i="124" s="1"/>
  <c r="N131" i="124"/>
  <c r="J131" i="124"/>
  <c r="F131" i="124"/>
  <c r="E131" i="124"/>
  <c r="P131" i="124" s="1"/>
  <c r="O130" i="124"/>
  <c r="N130" i="124" s="1"/>
  <c r="K130" i="124"/>
  <c r="H130" i="124"/>
  <c r="G130" i="124"/>
  <c r="F130" i="124"/>
  <c r="E130" i="124" s="1"/>
  <c r="P129" i="124"/>
  <c r="N129" i="124"/>
  <c r="J129" i="124"/>
  <c r="H129" i="124"/>
  <c r="G129" i="124"/>
  <c r="F129" i="124"/>
  <c r="E129" i="124"/>
  <c r="O128" i="124"/>
  <c r="F128" i="124"/>
  <c r="E128" i="124"/>
  <c r="N127" i="124"/>
  <c r="J127" i="124" s="1"/>
  <c r="F127" i="124"/>
  <c r="E127" i="124" s="1"/>
  <c r="M126" i="124"/>
  <c r="L126" i="124"/>
  <c r="L123" i="124" s="1"/>
  <c r="L122" i="124" s="1"/>
  <c r="K126" i="124"/>
  <c r="I126" i="124"/>
  <c r="H126" i="124"/>
  <c r="H123" i="124" s="1"/>
  <c r="H122" i="124" s="1"/>
  <c r="G126" i="124"/>
  <c r="O125" i="124"/>
  <c r="N125" i="124"/>
  <c r="J125" i="124" s="1"/>
  <c r="G125" i="124"/>
  <c r="G124" i="124" s="1"/>
  <c r="G123" i="124" s="1"/>
  <c r="G122" i="124" s="1"/>
  <c r="F125" i="124"/>
  <c r="E125" i="124"/>
  <c r="P125" i="124" s="1"/>
  <c r="O124" i="124"/>
  <c r="N124" i="124" s="1"/>
  <c r="M124" i="124"/>
  <c r="L124" i="124"/>
  <c r="K124" i="124"/>
  <c r="J124" i="124" s="1"/>
  <c r="P124" i="124" s="1"/>
  <c r="I124" i="124"/>
  <c r="H124" i="124"/>
  <c r="F124" i="124"/>
  <c r="E124" i="124"/>
  <c r="M123" i="124"/>
  <c r="M122" i="124" s="1"/>
  <c r="I123" i="124"/>
  <c r="I122" i="124"/>
  <c r="O121" i="124"/>
  <c r="N121" i="124" s="1"/>
  <c r="J121" i="124"/>
  <c r="E121" i="124"/>
  <c r="N120" i="124"/>
  <c r="J120" i="124"/>
  <c r="F120" i="124"/>
  <c r="E120" i="124"/>
  <c r="P120" i="124" s="1"/>
  <c r="O119" i="124"/>
  <c r="G119" i="124"/>
  <c r="F119" i="124"/>
  <c r="M118" i="124"/>
  <c r="L118" i="124"/>
  <c r="L111" i="124" s="1"/>
  <c r="L110" i="124" s="1"/>
  <c r="K118" i="124"/>
  <c r="H118" i="124"/>
  <c r="G118" i="124"/>
  <c r="G111" i="124" s="1"/>
  <c r="G110" i="124" s="1"/>
  <c r="N117" i="124"/>
  <c r="J117" i="124" s="1"/>
  <c r="F117" i="124"/>
  <c r="E117" i="124" s="1"/>
  <c r="O116" i="124"/>
  <c r="N116" i="124"/>
  <c r="J116" i="124" s="1"/>
  <c r="F116" i="124"/>
  <c r="O115" i="124"/>
  <c r="N115" i="124"/>
  <c r="J115" i="124" s="1"/>
  <c r="P115" i="124" s="1"/>
  <c r="E115" i="124"/>
  <c r="O114" i="124"/>
  <c r="E114" i="124"/>
  <c r="N113" i="124"/>
  <c r="J113" i="124"/>
  <c r="P113" i="124" s="1"/>
  <c r="E113" i="124"/>
  <c r="O112" i="124"/>
  <c r="N112" i="124"/>
  <c r="J112" i="124" s="1"/>
  <c r="F112" i="124"/>
  <c r="E112" i="124" s="1"/>
  <c r="P112" i="124" s="1"/>
  <c r="M111" i="124"/>
  <c r="K111" i="124"/>
  <c r="H111" i="124"/>
  <c r="M110" i="124"/>
  <c r="K110" i="124"/>
  <c r="I110" i="124"/>
  <c r="H110" i="124"/>
  <c r="O109" i="124"/>
  <c r="E109" i="124"/>
  <c r="M108" i="124"/>
  <c r="L108" i="124"/>
  <c r="K108" i="124"/>
  <c r="H108" i="124"/>
  <c r="G108" i="124"/>
  <c r="F108" i="124"/>
  <c r="E108" i="124"/>
  <c r="O107" i="124"/>
  <c r="N107" i="124" s="1"/>
  <c r="J107" i="124"/>
  <c r="F107" i="124"/>
  <c r="E107" i="124"/>
  <c r="O106" i="124"/>
  <c r="N106" i="124" s="1"/>
  <c r="N105" i="124" s="1"/>
  <c r="J106" i="124"/>
  <c r="H106" i="124"/>
  <c r="G106" i="124"/>
  <c r="G105" i="124" s="1"/>
  <c r="F106" i="124"/>
  <c r="E106" i="124"/>
  <c r="M105" i="124"/>
  <c r="L105" i="124"/>
  <c r="K105" i="124"/>
  <c r="J105" i="124" s="1"/>
  <c r="H105" i="124"/>
  <c r="F105" i="124"/>
  <c r="E105" i="124" s="1"/>
  <c r="P103" i="124"/>
  <c r="N103" i="124"/>
  <c r="J103" i="124"/>
  <c r="E103" i="124"/>
  <c r="P100" i="124"/>
  <c r="N100" i="124"/>
  <c r="J100" i="124"/>
  <c r="O99" i="124"/>
  <c r="N99" i="124" s="1"/>
  <c r="K99" i="124"/>
  <c r="N98" i="124"/>
  <c r="J98" i="124"/>
  <c r="F98" i="124"/>
  <c r="E98" i="124"/>
  <c r="P98" i="124" s="1"/>
  <c r="O97" i="124"/>
  <c r="M97" i="124"/>
  <c r="M96" i="124" s="1"/>
  <c r="L97" i="124"/>
  <c r="K97" i="124"/>
  <c r="H97" i="124"/>
  <c r="H96" i="124" s="1"/>
  <c r="G97" i="124"/>
  <c r="F97" i="124"/>
  <c r="E97" i="124" s="1"/>
  <c r="L96" i="124"/>
  <c r="G96" i="124"/>
  <c r="E96" i="124"/>
  <c r="N95" i="124"/>
  <c r="J95" i="124"/>
  <c r="P95" i="124" s="1"/>
  <c r="E95" i="124"/>
  <c r="N94" i="124"/>
  <c r="J94" i="124"/>
  <c r="P94" i="124" s="1"/>
  <c r="E94" i="124"/>
  <c r="N93" i="124"/>
  <c r="J93" i="124"/>
  <c r="P93" i="124" s="1"/>
  <c r="F93" i="124"/>
  <c r="E93" i="124"/>
  <c r="N92" i="124"/>
  <c r="J92" i="124" s="1"/>
  <c r="F92" i="124"/>
  <c r="E92" i="124" s="1"/>
  <c r="O91" i="124"/>
  <c r="N91" i="124"/>
  <c r="J91" i="124" s="1"/>
  <c r="H91" i="124"/>
  <c r="G91" i="124"/>
  <c r="F91" i="124"/>
  <c r="E91" i="124" s="1"/>
  <c r="P91" i="124" s="1"/>
  <c r="O90" i="124"/>
  <c r="N90" i="124"/>
  <c r="J90" i="124" s="1"/>
  <c r="H90" i="124"/>
  <c r="H89" i="124" s="1"/>
  <c r="H59" i="124" s="1"/>
  <c r="H58" i="124" s="1"/>
  <c r="G90" i="124"/>
  <c r="F90" i="124"/>
  <c r="E90" i="124" s="1"/>
  <c r="P90" i="124" s="1"/>
  <c r="O89" i="124"/>
  <c r="N89" i="124"/>
  <c r="M89" i="124"/>
  <c r="L89" i="124"/>
  <c r="K89" i="124"/>
  <c r="J89" i="124"/>
  <c r="I89" i="124"/>
  <c r="G89" i="124"/>
  <c r="P88" i="124"/>
  <c r="N88" i="124"/>
  <c r="J88" i="124"/>
  <c r="E88" i="124"/>
  <c r="P87" i="124"/>
  <c r="J87" i="124"/>
  <c r="E87" i="124"/>
  <c r="J86" i="124"/>
  <c r="F86" i="124"/>
  <c r="E86" i="124"/>
  <c r="J85" i="124"/>
  <c r="F85" i="124"/>
  <c r="E85" i="124"/>
  <c r="P85" i="124" s="1"/>
  <c r="N84" i="124"/>
  <c r="J84" i="124" s="1"/>
  <c r="F84" i="124"/>
  <c r="E84" i="124" s="1"/>
  <c r="P84" i="124" s="1"/>
  <c r="N83" i="124"/>
  <c r="J83" i="124"/>
  <c r="F83" i="124"/>
  <c r="E83" i="124"/>
  <c r="P83" i="124" s="1"/>
  <c r="N81" i="124"/>
  <c r="J81" i="124" s="1"/>
  <c r="N80" i="124"/>
  <c r="J80" i="124"/>
  <c r="P80" i="124" s="1"/>
  <c r="E80" i="124"/>
  <c r="N79" i="124"/>
  <c r="J79" i="124"/>
  <c r="P79" i="124" s="1"/>
  <c r="E79" i="124"/>
  <c r="N78" i="124"/>
  <c r="J78" i="124"/>
  <c r="P78" i="124" s="1"/>
  <c r="E78" i="124"/>
  <c r="N77" i="124"/>
  <c r="J77" i="124"/>
  <c r="P77" i="124" s="1"/>
  <c r="E77" i="124"/>
  <c r="N76" i="124"/>
  <c r="J76" i="124"/>
  <c r="P76" i="124" s="1"/>
  <c r="E76" i="124"/>
  <c r="N75" i="124"/>
  <c r="J75" i="124"/>
  <c r="F75" i="124"/>
  <c r="E75" i="124"/>
  <c r="P75" i="124" s="1"/>
  <c r="N74" i="124"/>
  <c r="J74" i="124" s="1"/>
  <c r="E74" i="124"/>
  <c r="P74" i="124" s="1"/>
  <c r="N73" i="124"/>
  <c r="E73" i="124"/>
  <c r="O72" i="124"/>
  <c r="M72" i="124"/>
  <c r="M59" i="124" s="1"/>
  <c r="M58" i="124" s="1"/>
  <c r="L72" i="124"/>
  <c r="K72" i="124"/>
  <c r="I72" i="124"/>
  <c r="H72" i="124"/>
  <c r="G72" i="124"/>
  <c r="F72" i="124"/>
  <c r="E72" i="124"/>
  <c r="N71" i="124"/>
  <c r="J71" i="124" s="1"/>
  <c r="F71" i="124"/>
  <c r="N70" i="124"/>
  <c r="J70" i="124"/>
  <c r="P70" i="124" s="1"/>
  <c r="E70" i="124"/>
  <c r="N69" i="124"/>
  <c r="J69" i="124"/>
  <c r="P69" i="124" s="1"/>
  <c r="E69" i="124"/>
  <c r="N68" i="124"/>
  <c r="J68" i="124"/>
  <c r="F68" i="124"/>
  <c r="E68" i="124"/>
  <c r="P68" i="124" s="1"/>
  <c r="N67" i="124"/>
  <c r="E67" i="124"/>
  <c r="O66" i="124"/>
  <c r="M66" i="124"/>
  <c r="L66" i="124"/>
  <c r="K66" i="124"/>
  <c r="I66" i="124"/>
  <c r="H66" i="124"/>
  <c r="G66" i="124"/>
  <c r="N65" i="124"/>
  <c r="J65" i="124" s="1"/>
  <c r="F65" i="124"/>
  <c r="E65" i="124"/>
  <c r="P65" i="124" s="1"/>
  <c r="N64" i="124"/>
  <c r="J64" i="124" s="1"/>
  <c r="E64" i="124"/>
  <c r="O63" i="124"/>
  <c r="M63" i="124"/>
  <c r="L63" i="124"/>
  <c r="K63" i="124"/>
  <c r="I63" i="124"/>
  <c r="H63" i="124"/>
  <c r="G63" i="124"/>
  <c r="F63" i="124"/>
  <c r="E63" i="124"/>
  <c r="N62" i="124"/>
  <c r="J62" i="124" s="1"/>
  <c r="E62" i="124"/>
  <c r="P62" i="124" s="1"/>
  <c r="N61" i="124"/>
  <c r="J61" i="124" s="1"/>
  <c r="E61" i="124"/>
  <c r="P61" i="124" s="1"/>
  <c r="O60" i="124"/>
  <c r="M60" i="124"/>
  <c r="L60" i="124"/>
  <c r="K60" i="124"/>
  <c r="I60" i="124"/>
  <c r="H60" i="124"/>
  <c r="G60" i="124"/>
  <c r="G59" i="124" s="1"/>
  <c r="G58" i="124" s="1"/>
  <c r="F60" i="124"/>
  <c r="E60" i="124"/>
  <c r="L59" i="124"/>
  <c r="K59" i="124"/>
  <c r="L58" i="124"/>
  <c r="I58" i="124"/>
  <c r="O57" i="124"/>
  <c r="N57" i="124"/>
  <c r="J57" i="124" s="1"/>
  <c r="F57" i="124"/>
  <c r="E57" i="124" s="1"/>
  <c r="P57" i="124" s="1"/>
  <c r="P56" i="124"/>
  <c r="N56" i="124"/>
  <c r="J56" i="124"/>
  <c r="E56" i="124"/>
  <c r="O55" i="124"/>
  <c r="N55" i="124"/>
  <c r="J55" i="124" s="1"/>
  <c r="F55" i="124"/>
  <c r="E55" i="124" s="1"/>
  <c r="O54" i="124"/>
  <c r="N54" i="124"/>
  <c r="J54" i="124" s="1"/>
  <c r="M54" i="124"/>
  <c r="L54" i="124"/>
  <c r="L44" i="124" s="1"/>
  <c r="L43" i="124" s="1"/>
  <c r="K54" i="124"/>
  <c r="H54" i="124"/>
  <c r="G54" i="124"/>
  <c r="G44" i="124" s="1"/>
  <c r="G43" i="124" s="1"/>
  <c r="N53" i="124"/>
  <c r="J53" i="124" s="1"/>
  <c r="F53" i="124"/>
  <c r="E53" i="124" s="1"/>
  <c r="P53" i="124" s="1"/>
  <c r="N52" i="124"/>
  <c r="J52" i="124"/>
  <c r="F52" i="124"/>
  <c r="E52" i="124"/>
  <c r="P52" i="124" s="1"/>
  <c r="N51" i="124"/>
  <c r="M51" i="124"/>
  <c r="L51" i="124"/>
  <c r="K51" i="124"/>
  <c r="J51" i="124"/>
  <c r="H51" i="124"/>
  <c r="G51" i="124"/>
  <c r="O50" i="124"/>
  <c r="N50" i="124" s="1"/>
  <c r="J50" i="124" s="1"/>
  <c r="F50" i="124"/>
  <c r="E50" i="124"/>
  <c r="O49" i="124"/>
  <c r="N49" i="124" s="1"/>
  <c r="K49" i="124"/>
  <c r="J49" i="124" s="1"/>
  <c r="F49" i="124"/>
  <c r="E49" i="124" s="1"/>
  <c r="O48" i="124"/>
  <c r="N48" i="124"/>
  <c r="J48" i="124" s="1"/>
  <c r="K48" i="124"/>
  <c r="F48" i="124"/>
  <c r="E48" i="124"/>
  <c r="P48" i="124" s="1"/>
  <c r="O47" i="124"/>
  <c r="N47" i="124" s="1"/>
  <c r="K47" i="124"/>
  <c r="J47" i="124" s="1"/>
  <c r="F47" i="124"/>
  <c r="E47" i="124" s="1"/>
  <c r="O46" i="124"/>
  <c r="N46" i="124"/>
  <c r="K46" i="124"/>
  <c r="J46" i="124"/>
  <c r="P46" i="124" s="1"/>
  <c r="F46" i="124"/>
  <c r="E46" i="124"/>
  <c r="O45" i="124"/>
  <c r="N45" i="124" s="1"/>
  <c r="F45" i="124"/>
  <c r="E45" i="124"/>
  <c r="M44" i="124"/>
  <c r="M43" i="124" s="1"/>
  <c r="K44" i="124"/>
  <c r="H44" i="124"/>
  <c r="I43" i="124"/>
  <c r="H43" i="124"/>
  <c r="O42" i="124"/>
  <c r="N42" i="124"/>
  <c r="J42" i="124" s="1"/>
  <c r="E42" i="124"/>
  <c r="J41" i="124"/>
  <c r="F41" i="124"/>
  <c r="E41" i="124"/>
  <c r="O40" i="124"/>
  <c r="N40" i="124" s="1"/>
  <c r="H40" i="124"/>
  <c r="G40" i="124"/>
  <c r="G39" i="124" s="1"/>
  <c r="F40" i="124"/>
  <c r="E40" i="124"/>
  <c r="O39" i="124"/>
  <c r="M39" i="124"/>
  <c r="M31" i="124" s="1"/>
  <c r="M30" i="124" s="1"/>
  <c r="L39" i="124"/>
  <c r="K39" i="124"/>
  <c r="H39" i="124"/>
  <c r="F39" i="124"/>
  <c r="E39" i="124" s="1"/>
  <c r="O38" i="124"/>
  <c r="N38" i="124"/>
  <c r="J38" i="124" s="1"/>
  <c r="G38" i="124"/>
  <c r="F38" i="124"/>
  <c r="E38" i="124"/>
  <c r="P38" i="124" s="1"/>
  <c r="N37" i="124"/>
  <c r="M37" i="124"/>
  <c r="L37" i="124"/>
  <c r="L31" i="124" s="1"/>
  <c r="L30" i="124" s="1"/>
  <c r="K37" i="124"/>
  <c r="J37" i="124"/>
  <c r="H37" i="124"/>
  <c r="G37" i="124"/>
  <c r="F37" i="124"/>
  <c r="E37" i="124"/>
  <c r="P37" i="124" s="1"/>
  <c r="O36" i="124"/>
  <c r="N36" i="124" s="1"/>
  <c r="J36" i="124" s="1"/>
  <c r="H36" i="124"/>
  <c r="G36" i="124"/>
  <c r="F36" i="124"/>
  <c r="E36" i="124"/>
  <c r="O35" i="124"/>
  <c r="H35" i="124"/>
  <c r="G35" i="124"/>
  <c r="F35" i="124"/>
  <c r="E35" i="124"/>
  <c r="N34" i="124"/>
  <c r="J34" i="124" s="1"/>
  <c r="H34" i="124"/>
  <c r="G34" i="124"/>
  <c r="F34" i="124"/>
  <c r="E34" i="124" s="1"/>
  <c r="P34" i="124" s="1"/>
  <c r="O33" i="124"/>
  <c r="N33" i="124"/>
  <c r="L33" i="124"/>
  <c r="K33" i="124"/>
  <c r="J33" i="124" s="1"/>
  <c r="H33" i="124"/>
  <c r="G33" i="124"/>
  <c r="F33" i="124"/>
  <c r="E33" i="124" s="1"/>
  <c r="P33" i="124" s="1"/>
  <c r="O32" i="124"/>
  <c r="N32" i="124"/>
  <c r="J32" i="124" s="1"/>
  <c r="H32" i="124"/>
  <c r="H31" i="124" s="1"/>
  <c r="H30" i="124" s="1"/>
  <c r="G32" i="124"/>
  <c r="F32" i="124"/>
  <c r="E32" i="124" s="1"/>
  <c r="I31" i="124"/>
  <c r="I202" i="124" s="1"/>
  <c r="F31" i="124"/>
  <c r="I30" i="124"/>
  <c r="F30" i="124"/>
  <c r="O29" i="124"/>
  <c r="N29" i="124"/>
  <c r="J29" i="124" s="1"/>
  <c r="F29" i="124"/>
  <c r="E29" i="124" s="1"/>
  <c r="O28" i="124"/>
  <c r="N28" i="124"/>
  <c r="J28" i="124" s="1"/>
  <c r="P28" i="124" s="1"/>
  <c r="P27" i="124"/>
  <c r="N27" i="124"/>
  <c r="E27" i="124"/>
  <c r="O26" i="124"/>
  <c r="F26" i="124"/>
  <c r="E26" i="124"/>
  <c r="N24" i="124"/>
  <c r="K24" i="124"/>
  <c r="J24" i="124"/>
  <c r="E24" i="124"/>
  <c r="P24" i="124" s="1"/>
  <c r="O23" i="124"/>
  <c r="N23" i="124"/>
  <c r="J23" i="124" s="1"/>
  <c r="P23" i="124" s="1"/>
  <c r="K23" i="124"/>
  <c r="E23" i="124"/>
  <c r="P22" i="124"/>
  <c r="N22" i="124"/>
  <c r="J22" i="124"/>
  <c r="E22" i="124"/>
  <c r="P21" i="124"/>
  <c r="O21" i="124"/>
  <c r="N21" i="124"/>
  <c r="J21" i="124" s="1"/>
  <c r="E21" i="124"/>
  <c r="N20" i="124"/>
  <c r="J20" i="124" s="1"/>
  <c r="P20" i="124" s="1"/>
  <c r="F20" i="124"/>
  <c r="E20" i="124" s="1"/>
  <c r="N19" i="124"/>
  <c r="J19" i="124"/>
  <c r="P19" i="124" s="1"/>
  <c r="O18" i="124"/>
  <c r="N18" i="124" s="1"/>
  <c r="K18" i="124"/>
  <c r="I18" i="124"/>
  <c r="H18" i="124"/>
  <c r="G18" i="124"/>
  <c r="F18" i="124"/>
  <c r="E18" i="124"/>
  <c r="N17" i="124"/>
  <c r="J17" i="124" s="1"/>
  <c r="G17" i="124"/>
  <c r="E17" i="124"/>
  <c r="N16" i="124"/>
  <c r="J16" i="124"/>
  <c r="G16" i="124"/>
  <c r="F16" i="124"/>
  <c r="E16" i="124" s="1"/>
  <c r="P16" i="124" s="1"/>
  <c r="O15" i="124"/>
  <c r="N15" i="124"/>
  <c r="J15" i="124" s="1"/>
  <c r="H15" i="124"/>
  <c r="G15" i="124"/>
  <c r="F15" i="124"/>
  <c r="E15" i="124" s="1"/>
  <c r="O14" i="124"/>
  <c r="N14" i="124"/>
  <c r="H14" i="124"/>
  <c r="H13" i="124" s="1"/>
  <c r="G14" i="124"/>
  <c r="F14" i="124"/>
  <c r="M13" i="124"/>
  <c r="L13" i="124"/>
  <c r="G13" i="124"/>
  <c r="M12" i="124"/>
  <c r="I12" i="124"/>
  <c r="J198" i="126" l="1"/>
  <c r="J197" i="126" s="1"/>
  <c r="N193" i="126"/>
  <c r="J170" i="126"/>
  <c r="J169" i="126" s="1"/>
  <c r="K169" i="126"/>
  <c r="J123" i="126"/>
  <c r="J122" i="126" s="1"/>
  <c r="P123" i="126"/>
  <c r="P122" i="126" s="1"/>
  <c r="K110" i="126"/>
  <c r="J111" i="126"/>
  <c r="J110" i="126" s="1"/>
  <c r="N59" i="126"/>
  <c r="N58" i="126" s="1"/>
  <c r="H59" i="126"/>
  <c r="H58" i="126" s="1"/>
  <c r="M59" i="126"/>
  <c r="M58" i="126" s="1"/>
  <c r="P31" i="126"/>
  <c r="P30" i="126" s="1"/>
  <c r="E30" i="126"/>
  <c r="M12" i="126"/>
  <c r="I202" i="126"/>
  <c r="I30" i="126"/>
  <c r="P180" i="126"/>
  <c r="P179" i="126" s="1"/>
  <c r="E179" i="126"/>
  <c r="P177" i="126"/>
  <c r="P176" i="126" s="1"/>
  <c r="K179" i="126"/>
  <c r="J44" i="126"/>
  <c r="P44" i="126" s="1"/>
  <c r="P43" i="126" s="1"/>
  <c r="K122" i="126"/>
  <c r="N147" i="126"/>
  <c r="P170" i="126"/>
  <c r="P169" i="126" s="1"/>
  <c r="P148" i="126"/>
  <c r="P147" i="126" s="1"/>
  <c r="J13" i="126"/>
  <c r="J12" i="126" s="1"/>
  <c r="N12" i="126"/>
  <c r="J176" i="126"/>
  <c r="J187" i="126"/>
  <c r="J186" i="126" s="1"/>
  <c r="E197" i="126"/>
  <c r="P198" i="126"/>
  <c r="P197" i="126" s="1"/>
  <c r="P111" i="126"/>
  <c r="P110" i="126" s="1"/>
  <c r="E110" i="126"/>
  <c r="P194" i="126"/>
  <c r="P193" i="126" s="1"/>
  <c r="J193" i="126"/>
  <c r="G202" i="126"/>
  <c r="E213" i="126" s="1"/>
  <c r="G12" i="126"/>
  <c r="O12" i="126"/>
  <c r="O202" i="126"/>
  <c r="F177" i="126"/>
  <c r="F176" i="126" s="1"/>
  <c r="E176" i="126"/>
  <c r="P187" i="126"/>
  <c r="P186" i="126" s="1"/>
  <c r="H12" i="126"/>
  <c r="F59" i="126"/>
  <c r="F58" i="126" s="1"/>
  <c r="F202" i="126" s="1"/>
  <c r="K202" i="126"/>
  <c r="K12" i="126"/>
  <c r="N186" i="126"/>
  <c r="K197" i="126"/>
  <c r="L202" i="126"/>
  <c r="J213" i="126" s="1"/>
  <c r="E122" i="126"/>
  <c r="E13" i="126"/>
  <c r="E14" i="124"/>
  <c r="F13" i="124"/>
  <c r="J60" i="124"/>
  <c r="P60" i="124" s="1"/>
  <c r="L202" i="124"/>
  <c r="J213" i="124" s="1"/>
  <c r="L12" i="124"/>
  <c r="P15" i="124"/>
  <c r="P26" i="124"/>
  <c r="G31" i="124"/>
  <c r="G30" i="124" s="1"/>
  <c r="N39" i="124"/>
  <c r="J39" i="124" s="1"/>
  <c r="P39" i="124" s="1"/>
  <c r="J40" i="124"/>
  <c r="P40" i="124" s="1"/>
  <c r="P42" i="124"/>
  <c r="P55" i="124"/>
  <c r="P64" i="124"/>
  <c r="H202" i="124"/>
  <c r="E214" i="124" s="1"/>
  <c r="H12" i="124"/>
  <c r="P29" i="124"/>
  <c r="E31" i="124"/>
  <c r="P41" i="124"/>
  <c r="P50" i="124"/>
  <c r="G202" i="124"/>
  <c r="E213" i="124" s="1"/>
  <c r="P36" i="124"/>
  <c r="N44" i="124"/>
  <c r="N43" i="124" s="1"/>
  <c r="J45" i="124"/>
  <c r="G12" i="124"/>
  <c r="J14" i="124"/>
  <c r="P14" i="124" s="1"/>
  <c r="P17" i="124"/>
  <c r="J18" i="124"/>
  <c r="P18" i="124" s="1"/>
  <c r="K13" i="124"/>
  <c r="N26" i="124"/>
  <c r="J26" i="124" s="1"/>
  <c r="O13" i="124"/>
  <c r="P32" i="124"/>
  <c r="N35" i="124"/>
  <c r="O31" i="124"/>
  <c r="P47" i="124"/>
  <c r="P49" i="124"/>
  <c r="P108" i="124"/>
  <c r="K96" i="124"/>
  <c r="P106" i="124"/>
  <c r="E162" i="124"/>
  <c r="F161" i="124"/>
  <c r="E161" i="124" s="1"/>
  <c r="P161" i="124" s="1"/>
  <c r="M202" i="124"/>
  <c r="J214" i="124" s="1"/>
  <c r="K31" i="124"/>
  <c r="K30" i="124" s="1"/>
  <c r="K43" i="124"/>
  <c r="P45" i="124"/>
  <c r="F51" i="124"/>
  <c r="E51" i="124" s="1"/>
  <c r="P51" i="124" s="1"/>
  <c r="F54" i="124"/>
  <c r="K58" i="124"/>
  <c r="N60" i="124"/>
  <c r="N63" i="124"/>
  <c r="J63" i="124" s="1"/>
  <c r="P63" i="124" s="1"/>
  <c r="J67" i="124"/>
  <c r="P67" i="124" s="1"/>
  <c r="N66" i="124"/>
  <c r="F89" i="124"/>
  <c r="P92" i="124"/>
  <c r="J99" i="124"/>
  <c r="P99" i="124" s="1"/>
  <c r="N119" i="124"/>
  <c r="O118" i="124"/>
  <c r="O111" i="124" s="1"/>
  <c r="P127" i="124"/>
  <c r="O44" i="124"/>
  <c r="P73" i="124"/>
  <c r="P105" i="124"/>
  <c r="P107" i="124"/>
  <c r="N109" i="124"/>
  <c r="J109" i="124" s="1"/>
  <c r="P109" i="124" s="1"/>
  <c r="O108" i="124"/>
  <c r="N108" i="124" s="1"/>
  <c r="J108" i="124" s="1"/>
  <c r="N114" i="124"/>
  <c r="E119" i="124"/>
  <c r="F118" i="124"/>
  <c r="E118" i="124" s="1"/>
  <c r="F126" i="124"/>
  <c r="E126" i="124" s="1"/>
  <c r="K147" i="124"/>
  <c r="N150" i="124"/>
  <c r="J150" i="124" s="1"/>
  <c r="P150" i="124" s="1"/>
  <c r="O149" i="124"/>
  <c r="E164" i="124"/>
  <c r="P164" i="124" s="1"/>
  <c r="F163" i="124"/>
  <c r="E163" i="124" s="1"/>
  <c r="P163" i="124" s="1"/>
  <c r="E170" i="124"/>
  <c r="E169" i="124" s="1"/>
  <c r="N181" i="124"/>
  <c r="O180" i="124"/>
  <c r="J66" i="124"/>
  <c r="N128" i="124"/>
  <c r="J128" i="124" s="1"/>
  <c r="O126" i="124"/>
  <c r="J139" i="124"/>
  <c r="N138" i="124"/>
  <c r="E142" i="124"/>
  <c r="P142" i="124" s="1"/>
  <c r="F140" i="124"/>
  <c r="E140" i="124" s="1"/>
  <c r="E71" i="124"/>
  <c r="P71" i="124" s="1"/>
  <c r="F66" i="124"/>
  <c r="E66" i="124" s="1"/>
  <c r="J73" i="124"/>
  <c r="N72" i="124"/>
  <c r="J72" i="124" s="1"/>
  <c r="P72" i="124" s="1"/>
  <c r="F81" i="124"/>
  <c r="E81" i="124" s="1"/>
  <c r="P81" i="124" s="1"/>
  <c r="P86" i="124"/>
  <c r="N97" i="124"/>
  <c r="O96" i="124"/>
  <c r="N96" i="124" s="1"/>
  <c r="O105" i="124"/>
  <c r="O59" i="124" s="1"/>
  <c r="E116" i="124"/>
  <c r="P117" i="124"/>
  <c r="P121" i="124"/>
  <c r="K123" i="124"/>
  <c r="E136" i="124"/>
  <c r="F135" i="124"/>
  <c r="E135" i="124" s="1"/>
  <c r="N136" i="124"/>
  <c r="O135" i="124"/>
  <c r="N140" i="124"/>
  <c r="J140" i="124" s="1"/>
  <c r="J178" i="124"/>
  <c r="P178" i="124" s="1"/>
  <c r="N177" i="124"/>
  <c r="N176" i="124" s="1"/>
  <c r="J189" i="124"/>
  <c r="N188" i="124"/>
  <c r="J188" i="124" s="1"/>
  <c r="P188" i="124" s="1"/>
  <c r="P128" i="124"/>
  <c r="J138" i="124"/>
  <c r="P138" i="124" s="1"/>
  <c r="P139" i="124"/>
  <c r="P144" i="124"/>
  <c r="N173" i="124"/>
  <c r="J173" i="124" s="1"/>
  <c r="P173" i="124" s="1"/>
  <c r="O171" i="124"/>
  <c r="O170" i="124" s="1"/>
  <c r="P175" i="124"/>
  <c r="P183" i="124"/>
  <c r="P190" i="124"/>
  <c r="J194" i="124"/>
  <c r="E197" i="124"/>
  <c r="P198" i="124"/>
  <c r="J198" i="124"/>
  <c r="J197" i="124" s="1"/>
  <c r="K197" i="124"/>
  <c r="J130" i="124"/>
  <c r="P130" i="124" s="1"/>
  <c r="P143" i="124"/>
  <c r="P146" i="124"/>
  <c r="P159" i="124"/>
  <c r="P162" i="124"/>
  <c r="P166" i="124"/>
  <c r="E185" i="124"/>
  <c r="P185" i="124" s="1"/>
  <c r="F184" i="124"/>
  <c r="K187" i="124"/>
  <c r="P189" i="124"/>
  <c r="P199" i="124"/>
  <c r="E155" i="124"/>
  <c r="P155" i="124" s="1"/>
  <c r="O159" i="124"/>
  <c r="N159" i="124" s="1"/>
  <c r="J159" i="124" s="1"/>
  <c r="N171" i="124"/>
  <c r="N170" i="124" s="1"/>
  <c r="N169" i="124" s="1"/>
  <c r="N187" i="124"/>
  <c r="N186" i="124" s="1"/>
  <c r="P200" i="124"/>
  <c r="P182" i="124"/>
  <c r="H202" i="126" l="1"/>
  <c r="E214" i="126" s="1"/>
  <c r="N202" i="126"/>
  <c r="J59" i="126"/>
  <c r="J58" i="126" s="1"/>
  <c r="M202" i="126"/>
  <c r="J214" i="126" s="1"/>
  <c r="J43" i="126"/>
  <c r="E59" i="126"/>
  <c r="P59" i="126" s="1"/>
  <c r="P58" i="126" s="1"/>
  <c r="J202" i="126"/>
  <c r="E12" i="126"/>
  <c r="P13" i="126"/>
  <c r="R111" i="124"/>
  <c r="O110" i="124"/>
  <c r="E30" i="124"/>
  <c r="K186" i="124"/>
  <c r="J187" i="124"/>
  <c r="P194" i="124"/>
  <c r="J193" i="124"/>
  <c r="J171" i="124"/>
  <c r="P171" i="124" s="1"/>
  <c r="F111" i="124"/>
  <c r="F110" i="124" s="1"/>
  <c r="N59" i="124"/>
  <c r="J181" i="124"/>
  <c r="P181" i="124" s="1"/>
  <c r="N180" i="124"/>
  <c r="J96" i="124"/>
  <c r="P96" i="124" s="1"/>
  <c r="O30" i="124"/>
  <c r="R31" i="124"/>
  <c r="R13" i="124"/>
  <c r="O12" i="124"/>
  <c r="J44" i="124"/>
  <c r="J43" i="124" s="1"/>
  <c r="P140" i="124"/>
  <c r="O179" i="124"/>
  <c r="R180" i="124"/>
  <c r="P119" i="124"/>
  <c r="E148" i="124"/>
  <c r="J119" i="124"/>
  <c r="N118" i="124"/>
  <c r="J118" i="124" s="1"/>
  <c r="P118" i="124" s="1"/>
  <c r="J170" i="124"/>
  <c r="J136" i="124"/>
  <c r="P136" i="124" s="1"/>
  <c r="N135" i="124"/>
  <c r="J135" i="124" s="1"/>
  <c r="K122" i="124"/>
  <c r="P116" i="124"/>
  <c r="E111" i="124"/>
  <c r="P66" i="124"/>
  <c r="N149" i="124"/>
  <c r="O148" i="124"/>
  <c r="E123" i="124"/>
  <c r="J114" i="124"/>
  <c r="P114" i="124" s="1"/>
  <c r="F123" i="124"/>
  <c r="F122" i="124" s="1"/>
  <c r="J177" i="124"/>
  <c r="J97" i="124"/>
  <c r="P97" i="124" s="1"/>
  <c r="J35" i="124"/>
  <c r="N31" i="124"/>
  <c r="N30" i="124" s="1"/>
  <c r="N13" i="124"/>
  <c r="F12" i="124"/>
  <c r="E13" i="124"/>
  <c r="N126" i="124"/>
  <c r="O123" i="124"/>
  <c r="R44" i="124"/>
  <c r="O43" i="124"/>
  <c r="E89" i="124"/>
  <c r="F59" i="124"/>
  <c r="F58" i="124" s="1"/>
  <c r="E184" i="124"/>
  <c r="F180" i="124"/>
  <c r="F179" i="124" s="1"/>
  <c r="Q198" i="124"/>
  <c r="P197" i="124"/>
  <c r="R170" i="124"/>
  <c r="O169" i="124"/>
  <c r="F148" i="124"/>
  <c r="F147" i="124" s="1"/>
  <c r="P135" i="124"/>
  <c r="R59" i="124"/>
  <c r="O58" i="124"/>
  <c r="F44" i="124"/>
  <c r="F43" i="124" s="1"/>
  <c r="E54" i="124"/>
  <c r="K202" i="124"/>
  <c r="J13" i="124"/>
  <c r="K12" i="124"/>
  <c r="E202" i="126" l="1"/>
  <c r="E212" i="126" s="1"/>
  <c r="E58" i="126"/>
  <c r="P12" i="126"/>
  <c r="P202" i="126"/>
  <c r="J12" i="124"/>
  <c r="P13" i="124"/>
  <c r="P89" i="124"/>
  <c r="E59" i="124"/>
  <c r="J126" i="124"/>
  <c r="P126" i="124" s="1"/>
  <c r="N123" i="124"/>
  <c r="N202" i="124"/>
  <c r="N12" i="124"/>
  <c r="P177" i="124"/>
  <c r="J176" i="124"/>
  <c r="E122" i="124"/>
  <c r="E110" i="124"/>
  <c r="P187" i="124"/>
  <c r="J186" i="124"/>
  <c r="R123" i="124"/>
  <c r="O122" i="124"/>
  <c r="N58" i="124"/>
  <c r="J59" i="124"/>
  <c r="J58" i="124" s="1"/>
  <c r="E12" i="124"/>
  <c r="R149" i="124"/>
  <c r="R148" i="124"/>
  <c r="O147" i="124"/>
  <c r="E147" i="124"/>
  <c r="O202" i="124"/>
  <c r="Q202" i="124" s="1"/>
  <c r="J180" i="124"/>
  <c r="J179" i="124" s="1"/>
  <c r="N179" i="124"/>
  <c r="F202" i="124"/>
  <c r="P193" i="124"/>
  <c r="R194" i="124"/>
  <c r="Q194" i="124"/>
  <c r="P54" i="124"/>
  <c r="E44" i="124"/>
  <c r="E202" i="124" s="1"/>
  <c r="P184" i="124"/>
  <c r="E180" i="124"/>
  <c r="J31" i="124"/>
  <c r="P35" i="124"/>
  <c r="N111" i="124"/>
  <c r="N148" i="124"/>
  <c r="J149" i="124"/>
  <c r="P149" i="124" s="1"/>
  <c r="J169" i="124"/>
  <c r="P170" i="124"/>
  <c r="P210" i="126" l="1"/>
  <c r="F212" i="126"/>
  <c r="P214" i="126"/>
  <c r="E212" i="124"/>
  <c r="J30" i="124"/>
  <c r="P31" i="124"/>
  <c r="R187" i="124"/>
  <c r="P186" i="124"/>
  <c r="Q187" i="124"/>
  <c r="N147" i="124"/>
  <c r="J148" i="124"/>
  <c r="E179" i="124"/>
  <c r="P180" i="124"/>
  <c r="N122" i="124"/>
  <c r="J123" i="124"/>
  <c r="P12" i="124"/>
  <c r="Q13" i="124"/>
  <c r="Q170" i="124"/>
  <c r="P169" i="124"/>
  <c r="N110" i="124"/>
  <c r="J111" i="124"/>
  <c r="P176" i="124"/>
  <c r="R177" i="124"/>
  <c r="Q177" i="124"/>
  <c r="E43" i="124"/>
  <c r="P44" i="124"/>
  <c r="E58" i="124"/>
  <c r="P59" i="124"/>
  <c r="J202" i="124"/>
  <c r="P216" i="126" l="1"/>
  <c r="P215" i="126"/>
  <c r="Q31" i="124"/>
  <c r="P30" i="124"/>
  <c r="Q59" i="124"/>
  <c r="P58" i="124"/>
  <c r="Q180" i="124"/>
  <c r="P179" i="124"/>
  <c r="J110" i="124"/>
  <c r="P111" i="124"/>
  <c r="Q44" i="124"/>
  <c r="P43" i="124"/>
  <c r="J122" i="124"/>
  <c r="P123" i="124"/>
  <c r="J147" i="124"/>
  <c r="P148" i="124"/>
  <c r="P122" i="124" l="1"/>
  <c r="Q123" i="124"/>
  <c r="Q148" i="124"/>
  <c r="P147" i="124"/>
  <c r="P202" i="124"/>
  <c r="Q111" i="124"/>
  <c r="P110" i="124"/>
  <c r="P214" i="124" l="1"/>
  <c r="F212" i="124"/>
  <c r="P210" i="124"/>
  <c r="P216" i="124" l="1"/>
  <c r="P215" i="124"/>
  <c r="F200" i="97" l="1"/>
  <c r="J37" i="98"/>
  <c r="O45" i="97"/>
  <c r="F45" i="97"/>
  <c r="J52" i="98"/>
  <c r="O57" i="97"/>
  <c r="F129" i="97"/>
  <c r="J104" i="98"/>
  <c r="O145" i="97"/>
  <c r="J111" i="98"/>
  <c r="O154" i="97"/>
  <c r="F155" i="97"/>
  <c r="F162" i="97"/>
  <c r="F200" i="123" l="1"/>
  <c r="G200" i="123"/>
  <c r="H200" i="123"/>
  <c r="I200" i="123"/>
  <c r="K200" i="123"/>
  <c r="L200" i="123"/>
  <c r="M200" i="123"/>
  <c r="N200" i="123"/>
  <c r="O200" i="123"/>
  <c r="G201" i="123"/>
  <c r="H201" i="123"/>
  <c r="I201" i="123"/>
  <c r="K201" i="123"/>
  <c r="L201" i="123"/>
  <c r="M201" i="123"/>
  <c r="N201" i="123"/>
  <c r="O201" i="123"/>
  <c r="F202" i="123"/>
  <c r="G202" i="123"/>
  <c r="H202" i="123"/>
  <c r="I202" i="123"/>
  <c r="K202" i="123"/>
  <c r="L202" i="123"/>
  <c r="M202" i="123"/>
  <c r="N202" i="123"/>
  <c r="O202" i="123"/>
  <c r="F196" i="123"/>
  <c r="G196" i="123"/>
  <c r="H196" i="123"/>
  <c r="I196" i="123"/>
  <c r="K196" i="123"/>
  <c r="L196" i="123"/>
  <c r="M196" i="123"/>
  <c r="F197" i="123"/>
  <c r="G197" i="123"/>
  <c r="H197" i="123"/>
  <c r="I197" i="123"/>
  <c r="K197" i="123"/>
  <c r="L197" i="123"/>
  <c r="M197" i="123"/>
  <c r="O197" i="123"/>
  <c r="F190" i="123"/>
  <c r="G190" i="123"/>
  <c r="H190" i="123"/>
  <c r="I190" i="123"/>
  <c r="K190" i="123"/>
  <c r="L190" i="123"/>
  <c r="M190" i="123"/>
  <c r="O190" i="123"/>
  <c r="F191" i="123"/>
  <c r="G191" i="123"/>
  <c r="H191" i="123"/>
  <c r="I191" i="123"/>
  <c r="K191" i="123"/>
  <c r="L191" i="123"/>
  <c r="M191" i="123"/>
  <c r="O191" i="123"/>
  <c r="F192" i="123"/>
  <c r="G192" i="123"/>
  <c r="H192" i="123"/>
  <c r="I192" i="123"/>
  <c r="K192" i="123"/>
  <c r="L192" i="123"/>
  <c r="M192" i="123"/>
  <c r="O192" i="123"/>
  <c r="F193" i="123"/>
  <c r="G193" i="123"/>
  <c r="H193" i="123"/>
  <c r="I193" i="123"/>
  <c r="K193" i="123"/>
  <c r="L193" i="123"/>
  <c r="M193" i="123"/>
  <c r="O193" i="123"/>
  <c r="E193" i="123"/>
  <c r="E192" i="123"/>
  <c r="M186" i="123"/>
  <c r="L186" i="123"/>
  <c r="K186" i="123"/>
  <c r="I186" i="123"/>
  <c r="H186" i="123"/>
  <c r="G186" i="123"/>
  <c r="M185" i="123"/>
  <c r="L185" i="123"/>
  <c r="I185" i="123"/>
  <c r="H185" i="123"/>
  <c r="G185" i="123"/>
  <c r="O184" i="123"/>
  <c r="M184" i="123"/>
  <c r="L184" i="123"/>
  <c r="K184" i="123"/>
  <c r="I184" i="123"/>
  <c r="H184" i="123"/>
  <c r="G184" i="123"/>
  <c r="O183" i="123"/>
  <c r="M183" i="123"/>
  <c r="L183" i="123"/>
  <c r="K183" i="123"/>
  <c r="I183" i="123"/>
  <c r="H183" i="123"/>
  <c r="G183" i="123"/>
  <c r="M182" i="123"/>
  <c r="L182" i="123"/>
  <c r="K182" i="123"/>
  <c r="I182" i="123"/>
  <c r="H182" i="123"/>
  <c r="G182" i="123"/>
  <c r="F182" i="123"/>
  <c r="F179" i="123"/>
  <c r="G179" i="123"/>
  <c r="H179" i="123"/>
  <c r="I179" i="123"/>
  <c r="K179" i="123"/>
  <c r="L179" i="123"/>
  <c r="M179" i="123"/>
  <c r="F173" i="123" l="1"/>
  <c r="G173" i="123"/>
  <c r="H173" i="123"/>
  <c r="I173" i="123"/>
  <c r="K173" i="123"/>
  <c r="L173" i="123"/>
  <c r="M173" i="123"/>
  <c r="F174" i="123"/>
  <c r="G174" i="123"/>
  <c r="H174" i="123"/>
  <c r="I174" i="123"/>
  <c r="K174" i="123"/>
  <c r="L174" i="123"/>
  <c r="M174" i="123"/>
  <c r="F175" i="123"/>
  <c r="G175" i="123"/>
  <c r="H175" i="123"/>
  <c r="I175" i="123"/>
  <c r="K175" i="123"/>
  <c r="L175" i="123"/>
  <c r="M175" i="123"/>
  <c r="F176" i="123"/>
  <c r="G176" i="123"/>
  <c r="H176" i="123"/>
  <c r="I176" i="123"/>
  <c r="K176" i="123"/>
  <c r="L176" i="123"/>
  <c r="M176" i="123"/>
  <c r="F168" i="123"/>
  <c r="G168" i="123"/>
  <c r="H168" i="123"/>
  <c r="I168" i="123"/>
  <c r="K168" i="123"/>
  <c r="L168" i="123"/>
  <c r="M168" i="123"/>
  <c r="O168" i="123"/>
  <c r="H169" i="123"/>
  <c r="I169" i="123"/>
  <c r="K169" i="123"/>
  <c r="L169" i="123"/>
  <c r="M169" i="123"/>
  <c r="O169" i="123"/>
  <c r="F167" i="123"/>
  <c r="G167" i="123"/>
  <c r="H167" i="123"/>
  <c r="I167" i="123"/>
  <c r="K167" i="123"/>
  <c r="L167" i="123"/>
  <c r="M167" i="123"/>
  <c r="G166" i="123"/>
  <c r="H166" i="123"/>
  <c r="I166" i="123"/>
  <c r="K166" i="123"/>
  <c r="L166" i="123"/>
  <c r="M166" i="123"/>
  <c r="G164" i="123"/>
  <c r="H164" i="123"/>
  <c r="I164" i="123"/>
  <c r="L164" i="123"/>
  <c r="M164" i="123"/>
  <c r="G165" i="123"/>
  <c r="H165" i="123"/>
  <c r="I165" i="123"/>
  <c r="K165" i="123"/>
  <c r="L165" i="123"/>
  <c r="M165" i="123"/>
  <c r="G162" i="123"/>
  <c r="H162" i="123"/>
  <c r="I162" i="123"/>
  <c r="L162" i="123"/>
  <c r="M162" i="123"/>
  <c r="G163" i="123"/>
  <c r="H163" i="123"/>
  <c r="I163" i="123"/>
  <c r="K163" i="123"/>
  <c r="L163" i="123"/>
  <c r="M163" i="123"/>
  <c r="O163" i="123"/>
  <c r="F159" i="123"/>
  <c r="G159" i="123"/>
  <c r="H159" i="123"/>
  <c r="I159" i="123"/>
  <c r="K159" i="123"/>
  <c r="L159" i="123"/>
  <c r="M159" i="123"/>
  <c r="O159" i="123"/>
  <c r="G156" i="123"/>
  <c r="H156" i="123"/>
  <c r="I156" i="123"/>
  <c r="K156" i="123"/>
  <c r="L156" i="123"/>
  <c r="M156" i="123"/>
  <c r="O156" i="123"/>
  <c r="G157" i="123"/>
  <c r="H157" i="123"/>
  <c r="I157" i="123"/>
  <c r="K157" i="123"/>
  <c r="L157" i="123"/>
  <c r="M157" i="123"/>
  <c r="F158" i="123"/>
  <c r="G158" i="123"/>
  <c r="H158" i="123"/>
  <c r="I158" i="123"/>
  <c r="K158" i="123"/>
  <c r="L158" i="123"/>
  <c r="M158" i="123"/>
  <c r="E159" i="123"/>
  <c r="F154" i="123"/>
  <c r="G154" i="123"/>
  <c r="H154" i="123"/>
  <c r="I154" i="123"/>
  <c r="K154" i="123"/>
  <c r="L154" i="123"/>
  <c r="M154" i="123"/>
  <c r="F155" i="123"/>
  <c r="G155" i="123"/>
  <c r="H155" i="123"/>
  <c r="I155" i="123"/>
  <c r="K155" i="123"/>
  <c r="L155" i="123"/>
  <c r="M155" i="123"/>
  <c r="G153" i="123"/>
  <c r="H153" i="123"/>
  <c r="I153" i="123"/>
  <c r="K153" i="123"/>
  <c r="L153" i="123"/>
  <c r="M153" i="123"/>
  <c r="O153" i="123"/>
  <c r="F152" i="123"/>
  <c r="G152" i="123"/>
  <c r="H152" i="123"/>
  <c r="I152" i="123"/>
  <c r="K152" i="123"/>
  <c r="L152" i="123"/>
  <c r="M152" i="123"/>
  <c r="O152" i="123"/>
  <c r="G151" i="123"/>
  <c r="H151" i="123"/>
  <c r="I151" i="123"/>
  <c r="K151" i="123"/>
  <c r="L151" i="123"/>
  <c r="M151" i="123"/>
  <c r="G150" i="123"/>
  <c r="H150" i="123"/>
  <c r="H149" i="123" s="1"/>
  <c r="H148" i="123" s="1"/>
  <c r="I150" i="123"/>
  <c r="L150" i="123"/>
  <c r="M150" i="123"/>
  <c r="G142" i="123"/>
  <c r="H142" i="123"/>
  <c r="I142" i="123"/>
  <c r="K142" i="123"/>
  <c r="L142" i="123"/>
  <c r="M142" i="123"/>
  <c r="O142" i="123"/>
  <c r="H143" i="123"/>
  <c r="I143" i="123"/>
  <c r="L143" i="123"/>
  <c r="M143" i="123"/>
  <c r="G144" i="123"/>
  <c r="H144" i="123"/>
  <c r="I144" i="123"/>
  <c r="K144" i="123"/>
  <c r="L144" i="123"/>
  <c r="M144" i="123"/>
  <c r="O144" i="123"/>
  <c r="F145" i="123"/>
  <c r="G145" i="123"/>
  <c r="H145" i="123"/>
  <c r="I145" i="123"/>
  <c r="K145" i="123"/>
  <c r="L145" i="123"/>
  <c r="M145" i="123"/>
  <c r="O145" i="123"/>
  <c r="F146" i="123"/>
  <c r="G146" i="123"/>
  <c r="H146" i="123"/>
  <c r="I146" i="123"/>
  <c r="K146" i="123"/>
  <c r="L146" i="123"/>
  <c r="M146" i="123"/>
  <c r="F140" i="123"/>
  <c r="G140" i="123"/>
  <c r="H140" i="123"/>
  <c r="I140" i="123"/>
  <c r="K140" i="123"/>
  <c r="L140" i="123"/>
  <c r="M140" i="123"/>
  <c r="O140" i="123"/>
  <c r="I139" i="123"/>
  <c r="F135" i="123"/>
  <c r="G135" i="123"/>
  <c r="H135" i="123"/>
  <c r="I135" i="123"/>
  <c r="K135" i="123"/>
  <c r="L135" i="123"/>
  <c r="M135" i="123"/>
  <c r="O135" i="123"/>
  <c r="I137" i="123"/>
  <c r="K137" i="123"/>
  <c r="L137" i="123"/>
  <c r="G138" i="123"/>
  <c r="H138" i="123"/>
  <c r="I138" i="123"/>
  <c r="K138" i="123"/>
  <c r="L138" i="123"/>
  <c r="M138" i="123"/>
  <c r="O138" i="123"/>
  <c r="I130" i="123"/>
  <c r="K130" i="123"/>
  <c r="L130" i="123"/>
  <c r="M130" i="123"/>
  <c r="O130" i="123"/>
  <c r="I131" i="123"/>
  <c r="L131" i="123"/>
  <c r="M131" i="123"/>
  <c r="G132" i="123"/>
  <c r="H132" i="123"/>
  <c r="I132" i="123"/>
  <c r="K132" i="123"/>
  <c r="L132" i="123"/>
  <c r="M132" i="123"/>
  <c r="O132" i="123"/>
  <c r="G133" i="123"/>
  <c r="H133" i="123"/>
  <c r="I133" i="123"/>
  <c r="K133" i="123"/>
  <c r="L133" i="123"/>
  <c r="M133" i="123"/>
  <c r="O133" i="123"/>
  <c r="I134" i="123"/>
  <c r="H126" i="123"/>
  <c r="I126" i="123"/>
  <c r="K126" i="123"/>
  <c r="L126" i="123"/>
  <c r="M126" i="123"/>
  <c r="G128" i="123"/>
  <c r="H128" i="123"/>
  <c r="I128" i="123"/>
  <c r="K128" i="123"/>
  <c r="L128" i="123"/>
  <c r="M128" i="123"/>
  <c r="O128" i="123"/>
  <c r="G129" i="123"/>
  <c r="H129" i="123"/>
  <c r="I129" i="123"/>
  <c r="K129" i="123"/>
  <c r="L129" i="123"/>
  <c r="M129" i="123"/>
  <c r="F114" i="123"/>
  <c r="G114" i="123"/>
  <c r="H114" i="123"/>
  <c r="I114" i="123"/>
  <c r="K114" i="123"/>
  <c r="L114" i="123"/>
  <c r="M114" i="123"/>
  <c r="O114" i="123"/>
  <c r="F115" i="123"/>
  <c r="G115" i="123"/>
  <c r="H115" i="123"/>
  <c r="I115" i="123"/>
  <c r="K115" i="123"/>
  <c r="L115" i="123"/>
  <c r="M115" i="123"/>
  <c r="F116" i="123"/>
  <c r="G116" i="123"/>
  <c r="H116" i="123"/>
  <c r="I116" i="123"/>
  <c r="K116" i="123"/>
  <c r="L116" i="123"/>
  <c r="M116" i="123"/>
  <c r="G117" i="123"/>
  <c r="H117" i="123"/>
  <c r="I117" i="123"/>
  <c r="K117" i="123"/>
  <c r="L117" i="123"/>
  <c r="M117" i="123"/>
  <c r="G118" i="123"/>
  <c r="H118" i="123"/>
  <c r="I118" i="123"/>
  <c r="K118" i="123"/>
  <c r="L118" i="123"/>
  <c r="M118" i="123"/>
  <c r="O118" i="123"/>
  <c r="I119" i="123"/>
  <c r="H120" i="123"/>
  <c r="I120" i="123"/>
  <c r="K120" i="123"/>
  <c r="L120" i="123"/>
  <c r="M120" i="123"/>
  <c r="G121" i="123"/>
  <c r="H121" i="123"/>
  <c r="I121" i="123"/>
  <c r="K121" i="123"/>
  <c r="L121" i="123"/>
  <c r="M121" i="123"/>
  <c r="O121" i="123"/>
  <c r="F122" i="123"/>
  <c r="G122" i="123"/>
  <c r="H122" i="123"/>
  <c r="I122" i="123"/>
  <c r="K122" i="123"/>
  <c r="L122" i="123"/>
  <c r="M122" i="123"/>
  <c r="G113" i="123"/>
  <c r="H113" i="123"/>
  <c r="I113" i="123"/>
  <c r="K113" i="123"/>
  <c r="L113" i="123"/>
  <c r="M113" i="123"/>
  <c r="I107" i="123"/>
  <c r="K107" i="123"/>
  <c r="L107" i="123"/>
  <c r="M107" i="123"/>
  <c r="G108" i="123"/>
  <c r="H108" i="123"/>
  <c r="I108" i="123"/>
  <c r="K108" i="123"/>
  <c r="L108" i="123"/>
  <c r="M108" i="123"/>
  <c r="I109" i="123"/>
  <c r="F110" i="123"/>
  <c r="G110" i="123"/>
  <c r="H110" i="123"/>
  <c r="I110" i="123"/>
  <c r="K110" i="123"/>
  <c r="L110" i="123"/>
  <c r="M110" i="123"/>
  <c r="O104" i="123"/>
  <c r="M104" i="123"/>
  <c r="L104" i="123"/>
  <c r="K104" i="123"/>
  <c r="I104" i="123"/>
  <c r="H104" i="123"/>
  <c r="G104" i="123"/>
  <c r="F104" i="123"/>
  <c r="I106" i="123"/>
  <c r="O101" i="123"/>
  <c r="M101" i="123"/>
  <c r="L101" i="123"/>
  <c r="K101" i="123"/>
  <c r="I101" i="123"/>
  <c r="H101" i="123"/>
  <c r="G101" i="123"/>
  <c r="F101" i="123"/>
  <c r="E101" i="123"/>
  <c r="F100" i="123"/>
  <c r="G100" i="123"/>
  <c r="H100" i="123"/>
  <c r="I100" i="123"/>
  <c r="L100" i="123"/>
  <c r="M100" i="123"/>
  <c r="E100" i="123"/>
  <c r="F96" i="123"/>
  <c r="G96" i="123"/>
  <c r="H96" i="123"/>
  <c r="I96" i="123"/>
  <c r="K96" i="123"/>
  <c r="L96" i="123"/>
  <c r="M96" i="123"/>
  <c r="O96" i="123"/>
  <c r="F97" i="123"/>
  <c r="I97" i="123"/>
  <c r="I98" i="123"/>
  <c r="G99" i="123"/>
  <c r="H99" i="123"/>
  <c r="I99" i="123"/>
  <c r="K99" i="123"/>
  <c r="L99" i="123"/>
  <c r="M99" i="123"/>
  <c r="O99" i="123"/>
  <c r="F95" i="123"/>
  <c r="G95" i="123"/>
  <c r="H95" i="123"/>
  <c r="I95" i="123"/>
  <c r="K95" i="123"/>
  <c r="L95" i="123"/>
  <c r="M95" i="123"/>
  <c r="O95" i="123"/>
  <c r="I91" i="123"/>
  <c r="K91" i="123"/>
  <c r="L91" i="123"/>
  <c r="M91" i="123"/>
  <c r="I92" i="123"/>
  <c r="K92" i="123"/>
  <c r="L92" i="123"/>
  <c r="M92" i="123"/>
  <c r="G93" i="123"/>
  <c r="H93" i="123"/>
  <c r="I93" i="123"/>
  <c r="K93" i="123"/>
  <c r="L93" i="123"/>
  <c r="M93" i="123"/>
  <c r="O93" i="123"/>
  <c r="G94" i="123"/>
  <c r="H94" i="123"/>
  <c r="I94" i="123"/>
  <c r="K94" i="123"/>
  <c r="L94" i="123"/>
  <c r="M94" i="123"/>
  <c r="O94" i="123"/>
  <c r="G85" i="123"/>
  <c r="H85" i="123"/>
  <c r="I85" i="123"/>
  <c r="K85" i="123"/>
  <c r="L85" i="123"/>
  <c r="M85" i="123"/>
  <c r="O85" i="123"/>
  <c r="G86" i="123"/>
  <c r="H86" i="123"/>
  <c r="I86" i="123"/>
  <c r="K86" i="123"/>
  <c r="L86" i="123"/>
  <c r="M86" i="123"/>
  <c r="N86" i="123"/>
  <c r="O86" i="123"/>
  <c r="G87" i="123"/>
  <c r="H87" i="123"/>
  <c r="I87" i="123"/>
  <c r="K87" i="123"/>
  <c r="L87" i="123"/>
  <c r="M87" i="123"/>
  <c r="N87" i="123"/>
  <c r="O87" i="123"/>
  <c r="F88" i="123"/>
  <c r="G88" i="123"/>
  <c r="H88" i="123"/>
  <c r="I88" i="123"/>
  <c r="K88" i="123"/>
  <c r="L88" i="123"/>
  <c r="M88" i="123"/>
  <c r="N88" i="123"/>
  <c r="O88" i="123"/>
  <c r="F89" i="123"/>
  <c r="G89" i="123"/>
  <c r="H89" i="123"/>
  <c r="I89" i="123"/>
  <c r="K89" i="123"/>
  <c r="L89" i="123"/>
  <c r="M89" i="123"/>
  <c r="O89" i="123"/>
  <c r="G84" i="123"/>
  <c r="H84" i="123"/>
  <c r="I84" i="123"/>
  <c r="K84" i="123"/>
  <c r="L84" i="123"/>
  <c r="M84" i="123"/>
  <c r="O84" i="123"/>
  <c r="N82" i="123"/>
  <c r="J82" i="123" s="1"/>
  <c r="F74" i="123"/>
  <c r="G74" i="123"/>
  <c r="H74" i="123"/>
  <c r="I74" i="123"/>
  <c r="K74" i="123"/>
  <c r="L74" i="123"/>
  <c r="M74" i="123"/>
  <c r="O74" i="123"/>
  <c r="F75" i="123"/>
  <c r="G75" i="123"/>
  <c r="H75" i="123"/>
  <c r="I75" i="123"/>
  <c r="K75" i="123"/>
  <c r="L75" i="123"/>
  <c r="M75" i="123"/>
  <c r="O75" i="123"/>
  <c r="G76" i="123"/>
  <c r="H76" i="123"/>
  <c r="I76" i="123"/>
  <c r="K76" i="123"/>
  <c r="L76" i="123"/>
  <c r="M76" i="123"/>
  <c r="O76" i="123"/>
  <c r="F77" i="123"/>
  <c r="G77" i="123"/>
  <c r="H77" i="123"/>
  <c r="I77" i="123"/>
  <c r="K77" i="123"/>
  <c r="L77" i="123"/>
  <c r="M77" i="123"/>
  <c r="O77" i="123"/>
  <c r="F78" i="123"/>
  <c r="G78" i="123"/>
  <c r="H78" i="123"/>
  <c r="I78" i="123"/>
  <c r="K78" i="123"/>
  <c r="L78" i="123"/>
  <c r="M78" i="123"/>
  <c r="O78" i="123"/>
  <c r="F79" i="123"/>
  <c r="G79" i="123"/>
  <c r="H79" i="123"/>
  <c r="I79" i="123"/>
  <c r="K79" i="123"/>
  <c r="L79" i="123"/>
  <c r="M79" i="123"/>
  <c r="O79" i="123"/>
  <c r="F80" i="123"/>
  <c r="G80" i="123"/>
  <c r="H80" i="123"/>
  <c r="I80" i="123"/>
  <c r="K80" i="123"/>
  <c r="L80" i="123"/>
  <c r="M80" i="123"/>
  <c r="O80" i="123"/>
  <c r="F81" i="123"/>
  <c r="G81" i="123"/>
  <c r="H81" i="123"/>
  <c r="I81" i="123"/>
  <c r="K81" i="123"/>
  <c r="L81" i="123"/>
  <c r="M81" i="123"/>
  <c r="O81" i="123"/>
  <c r="F68" i="123"/>
  <c r="G68" i="123"/>
  <c r="H68" i="123"/>
  <c r="I68" i="123"/>
  <c r="K68" i="123"/>
  <c r="L68" i="123"/>
  <c r="M68" i="123"/>
  <c r="O68" i="123"/>
  <c r="G69" i="123"/>
  <c r="H69" i="123"/>
  <c r="I69" i="123"/>
  <c r="K69" i="123"/>
  <c r="L69" i="123"/>
  <c r="M69" i="123"/>
  <c r="O69" i="123"/>
  <c r="F70" i="123"/>
  <c r="G70" i="123"/>
  <c r="H70" i="123"/>
  <c r="I70" i="123"/>
  <c r="K70" i="123"/>
  <c r="L70" i="123"/>
  <c r="M70" i="123"/>
  <c r="O70" i="123"/>
  <c r="F71" i="123"/>
  <c r="G71" i="123"/>
  <c r="H71" i="123"/>
  <c r="I71" i="123"/>
  <c r="K71" i="123"/>
  <c r="L71" i="123"/>
  <c r="M71" i="123"/>
  <c r="O71" i="123"/>
  <c r="G72" i="123"/>
  <c r="H72" i="123"/>
  <c r="I72" i="123"/>
  <c r="K72" i="123"/>
  <c r="L72" i="123"/>
  <c r="M72" i="123"/>
  <c r="O72" i="123"/>
  <c r="F62" i="123"/>
  <c r="G62" i="123"/>
  <c r="H62" i="123"/>
  <c r="I62" i="123"/>
  <c r="K62" i="123"/>
  <c r="L62" i="123"/>
  <c r="M62" i="123"/>
  <c r="O62" i="123"/>
  <c r="F63" i="123"/>
  <c r="G63" i="123"/>
  <c r="H63" i="123"/>
  <c r="I63" i="123"/>
  <c r="K63" i="123"/>
  <c r="L63" i="123"/>
  <c r="M63" i="123"/>
  <c r="O63" i="123"/>
  <c r="F65" i="123"/>
  <c r="G65" i="123"/>
  <c r="H65" i="123"/>
  <c r="I65" i="123"/>
  <c r="K65" i="123"/>
  <c r="L65" i="123"/>
  <c r="M65" i="123"/>
  <c r="O65" i="123"/>
  <c r="G66" i="123"/>
  <c r="H66" i="123"/>
  <c r="I66" i="123"/>
  <c r="K66" i="123"/>
  <c r="L66" i="123"/>
  <c r="M66" i="123"/>
  <c r="O66" i="123"/>
  <c r="G47" i="123"/>
  <c r="H47" i="123"/>
  <c r="I47" i="123"/>
  <c r="L47" i="123"/>
  <c r="M47" i="123"/>
  <c r="G48" i="123"/>
  <c r="H48" i="123"/>
  <c r="I48" i="123"/>
  <c r="L48" i="123"/>
  <c r="M48" i="123"/>
  <c r="G49" i="123"/>
  <c r="H49" i="123"/>
  <c r="I49" i="123"/>
  <c r="L49" i="123"/>
  <c r="M49" i="123"/>
  <c r="G50" i="123"/>
  <c r="H50" i="123"/>
  <c r="I50" i="123"/>
  <c r="L50" i="123"/>
  <c r="M50" i="123"/>
  <c r="G51" i="123"/>
  <c r="H51" i="123"/>
  <c r="I51" i="123"/>
  <c r="K51" i="123"/>
  <c r="L51" i="123"/>
  <c r="M51" i="123"/>
  <c r="I52" i="123"/>
  <c r="O52" i="123"/>
  <c r="G53" i="123"/>
  <c r="H53" i="123"/>
  <c r="I53" i="123"/>
  <c r="K53" i="123"/>
  <c r="L53" i="123"/>
  <c r="M53" i="123"/>
  <c r="O53" i="123"/>
  <c r="G54" i="123"/>
  <c r="H54" i="123"/>
  <c r="I54" i="123"/>
  <c r="K54" i="123"/>
  <c r="L54" i="123"/>
  <c r="M54" i="123"/>
  <c r="O54" i="123"/>
  <c r="I55" i="123"/>
  <c r="G56" i="123"/>
  <c r="H56" i="123"/>
  <c r="I56" i="123"/>
  <c r="K56" i="123"/>
  <c r="L56" i="123"/>
  <c r="M56" i="123"/>
  <c r="F57" i="123"/>
  <c r="G57" i="123"/>
  <c r="H57" i="123"/>
  <c r="I57" i="123"/>
  <c r="K57" i="123"/>
  <c r="L57" i="123"/>
  <c r="M57" i="123"/>
  <c r="O57" i="123"/>
  <c r="G58" i="123"/>
  <c r="H58" i="123"/>
  <c r="I58" i="123"/>
  <c r="K58" i="123"/>
  <c r="L58" i="123"/>
  <c r="M58" i="123"/>
  <c r="G46" i="123"/>
  <c r="H46" i="123"/>
  <c r="I46" i="123"/>
  <c r="K46" i="123"/>
  <c r="L46" i="123"/>
  <c r="M46" i="123"/>
  <c r="F43" i="123"/>
  <c r="G43" i="123"/>
  <c r="H43" i="123"/>
  <c r="I43" i="123"/>
  <c r="K43" i="123"/>
  <c r="L43" i="123"/>
  <c r="M43" i="123"/>
  <c r="F42" i="123"/>
  <c r="G42" i="123"/>
  <c r="H42" i="123"/>
  <c r="I42" i="123"/>
  <c r="K42" i="123"/>
  <c r="L42" i="123"/>
  <c r="M42" i="123"/>
  <c r="O42" i="123"/>
  <c r="I40" i="123"/>
  <c r="K40" i="123"/>
  <c r="L40" i="123"/>
  <c r="M40" i="123"/>
  <c r="G41" i="123"/>
  <c r="H41" i="123"/>
  <c r="I41" i="123"/>
  <c r="K41" i="123"/>
  <c r="L41" i="123"/>
  <c r="M41" i="123"/>
  <c r="N41" i="123"/>
  <c r="O41" i="123"/>
  <c r="I33" i="123"/>
  <c r="M33" i="123"/>
  <c r="I34" i="123"/>
  <c r="K34" i="123"/>
  <c r="L34" i="123"/>
  <c r="M34" i="123"/>
  <c r="O34" i="123"/>
  <c r="I35" i="123"/>
  <c r="K35" i="123"/>
  <c r="L35" i="123"/>
  <c r="M35" i="123"/>
  <c r="I36" i="123"/>
  <c r="K36" i="123"/>
  <c r="L36" i="123"/>
  <c r="M36" i="123"/>
  <c r="I37" i="123"/>
  <c r="O37" i="123"/>
  <c r="H38" i="123"/>
  <c r="I38" i="123"/>
  <c r="K38" i="123"/>
  <c r="L38" i="123"/>
  <c r="M38" i="123"/>
  <c r="I39" i="123"/>
  <c r="I32" i="123"/>
  <c r="K32" i="123"/>
  <c r="L32" i="123"/>
  <c r="M32" i="123"/>
  <c r="G29" i="123"/>
  <c r="H29" i="123"/>
  <c r="I29" i="123"/>
  <c r="K29" i="123"/>
  <c r="L29" i="123"/>
  <c r="M29" i="123"/>
  <c r="F28" i="123"/>
  <c r="G28" i="123"/>
  <c r="H28" i="123"/>
  <c r="I28" i="123"/>
  <c r="K28" i="123"/>
  <c r="L28" i="123"/>
  <c r="M28" i="123"/>
  <c r="E28" i="123"/>
  <c r="F27" i="123"/>
  <c r="G27" i="123"/>
  <c r="H27" i="123"/>
  <c r="I27" i="123"/>
  <c r="J27" i="123"/>
  <c r="K27" i="123"/>
  <c r="L27" i="123"/>
  <c r="M27" i="123"/>
  <c r="O27" i="123"/>
  <c r="G26" i="123"/>
  <c r="H26" i="123"/>
  <c r="I26" i="123"/>
  <c r="K26" i="123"/>
  <c r="L26" i="123"/>
  <c r="M26" i="123"/>
  <c r="M24" i="123"/>
  <c r="L24" i="123"/>
  <c r="F24" i="123"/>
  <c r="G24" i="123"/>
  <c r="H24" i="123"/>
  <c r="I24" i="123"/>
  <c r="O24" i="123"/>
  <c r="F23" i="123"/>
  <c r="G23" i="123"/>
  <c r="H23" i="123"/>
  <c r="I23" i="123"/>
  <c r="L23" i="123"/>
  <c r="M23" i="123"/>
  <c r="F21" i="123"/>
  <c r="G21" i="123"/>
  <c r="H21" i="123"/>
  <c r="I21" i="123"/>
  <c r="K21" i="123"/>
  <c r="L21" i="123"/>
  <c r="M21" i="123"/>
  <c r="F22" i="123"/>
  <c r="G22" i="123"/>
  <c r="H22" i="123"/>
  <c r="I22" i="123"/>
  <c r="K22" i="123"/>
  <c r="L22" i="123"/>
  <c r="M22" i="123"/>
  <c r="O22" i="123"/>
  <c r="G20" i="123"/>
  <c r="H20" i="123"/>
  <c r="I20" i="123"/>
  <c r="K20" i="123"/>
  <c r="L20" i="123"/>
  <c r="M20" i="123"/>
  <c r="O20" i="123"/>
  <c r="E19" i="123"/>
  <c r="F19" i="123"/>
  <c r="G19" i="123"/>
  <c r="H19" i="123"/>
  <c r="I19" i="123"/>
  <c r="K19" i="123"/>
  <c r="L19" i="123"/>
  <c r="M19" i="123"/>
  <c r="O19" i="123"/>
  <c r="L18" i="123"/>
  <c r="M18" i="123"/>
  <c r="F17" i="123"/>
  <c r="H17" i="123"/>
  <c r="I17" i="123"/>
  <c r="K17" i="123"/>
  <c r="L17" i="123"/>
  <c r="M17" i="123"/>
  <c r="O17" i="123"/>
  <c r="I15" i="123"/>
  <c r="K15" i="123"/>
  <c r="L15" i="123"/>
  <c r="M15" i="123"/>
  <c r="H16" i="123"/>
  <c r="I16" i="123"/>
  <c r="K16" i="123"/>
  <c r="L16" i="123"/>
  <c r="M16" i="123"/>
  <c r="O16" i="123"/>
  <c r="I14" i="123"/>
  <c r="K14" i="123"/>
  <c r="L14" i="123"/>
  <c r="M14" i="123"/>
  <c r="H199" i="123"/>
  <c r="H198" i="123" s="1"/>
  <c r="G199" i="123"/>
  <c r="G198" i="123" s="1"/>
  <c r="O199" i="123"/>
  <c r="O198" i="123" s="1"/>
  <c r="N199" i="123"/>
  <c r="N198" i="123" s="1"/>
  <c r="M199" i="123"/>
  <c r="M198" i="123" s="1"/>
  <c r="L199" i="123"/>
  <c r="L198" i="123" s="1"/>
  <c r="K199" i="123"/>
  <c r="I198" i="123"/>
  <c r="M195" i="123"/>
  <c r="M194" i="123" s="1"/>
  <c r="L195" i="123"/>
  <c r="L194" i="123" s="1"/>
  <c r="K195" i="123"/>
  <c r="K194" i="123" s="1"/>
  <c r="I195" i="123"/>
  <c r="H195" i="123"/>
  <c r="H194" i="123" s="1"/>
  <c r="G195" i="123"/>
  <c r="G194" i="123" s="1"/>
  <c r="F195" i="123"/>
  <c r="F194" i="123" s="1"/>
  <c r="I194" i="123"/>
  <c r="E187" i="123"/>
  <c r="M181" i="123"/>
  <c r="M180" i="123" s="1"/>
  <c r="L181" i="123"/>
  <c r="L180" i="123" s="1"/>
  <c r="I181" i="123"/>
  <c r="H181" i="123"/>
  <c r="H180" i="123" s="1"/>
  <c r="G181" i="123"/>
  <c r="G180" i="123" s="1"/>
  <c r="I180" i="123"/>
  <c r="M178" i="123"/>
  <c r="M177" i="123" s="1"/>
  <c r="L178" i="123"/>
  <c r="L177" i="123" s="1"/>
  <c r="K178" i="123"/>
  <c r="I178" i="123"/>
  <c r="I177" i="123" s="1"/>
  <c r="H178" i="123"/>
  <c r="H177" i="123" s="1"/>
  <c r="G178" i="123"/>
  <c r="G177" i="123" s="1"/>
  <c r="K177" i="123"/>
  <c r="O147" i="123"/>
  <c r="M147" i="123"/>
  <c r="L147" i="123"/>
  <c r="K147" i="123"/>
  <c r="I147" i="123"/>
  <c r="H147" i="123"/>
  <c r="G147" i="123"/>
  <c r="I111" i="123"/>
  <c r="I59" i="123"/>
  <c r="I44" i="123"/>
  <c r="I12" i="123"/>
  <c r="I31" i="123" l="1"/>
  <c r="L149" i="123"/>
  <c r="L148" i="123" s="1"/>
  <c r="M149" i="123"/>
  <c r="M148" i="123" s="1"/>
  <c r="I149" i="123"/>
  <c r="I148" i="123" s="1"/>
  <c r="I30" i="123"/>
  <c r="L13" i="123"/>
  <c r="L12" i="123" s="1"/>
  <c r="M13" i="123"/>
  <c r="M12" i="123" s="1"/>
  <c r="J199" i="123"/>
  <c r="K198" i="123"/>
  <c r="F17" i="122"/>
  <c r="G17" i="122"/>
  <c r="H17" i="122"/>
  <c r="I17" i="122"/>
  <c r="K17" i="122"/>
  <c r="L17" i="122"/>
  <c r="M17" i="122"/>
  <c r="O17" i="122"/>
  <c r="L18" i="122"/>
  <c r="M18" i="122"/>
  <c r="G194" i="122"/>
  <c r="G192" i="122" s="1"/>
  <c r="G191" i="122" s="1"/>
  <c r="H194" i="122"/>
  <c r="I194" i="122"/>
  <c r="K194" i="122"/>
  <c r="L194" i="122"/>
  <c r="M194" i="122"/>
  <c r="N194" i="122"/>
  <c r="O194" i="122"/>
  <c r="F193" i="122"/>
  <c r="G193" i="122"/>
  <c r="H193" i="122"/>
  <c r="I193" i="122"/>
  <c r="K193" i="122"/>
  <c r="K192" i="122" s="1"/>
  <c r="L193" i="122"/>
  <c r="M193" i="122"/>
  <c r="N193" i="122"/>
  <c r="O193" i="122"/>
  <c r="O192" i="122" s="1"/>
  <c r="O191" i="122" s="1"/>
  <c r="F195" i="122"/>
  <c r="G195" i="122"/>
  <c r="H195" i="122"/>
  <c r="I195" i="122"/>
  <c r="K195" i="122"/>
  <c r="L195" i="122"/>
  <c r="M195" i="122"/>
  <c r="N195" i="122"/>
  <c r="O195" i="122"/>
  <c r="F189" i="122"/>
  <c r="G189" i="122"/>
  <c r="H189" i="122"/>
  <c r="H188" i="122" s="1"/>
  <c r="H187" i="122" s="1"/>
  <c r="I189" i="122"/>
  <c r="K189" i="122"/>
  <c r="L189" i="122"/>
  <c r="M189" i="122"/>
  <c r="M188" i="122" s="1"/>
  <c r="M187" i="122" s="1"/>
  <c r="F190" i="122"/>
  <c r="G190" i="122"/>
  <c r="H190" i="122"/>
  <c r="I190" i="122"/>
  <c r="K190" i="122"/>
  <c r="L190" i="122"/>
  <c r="M190" i="122"/>
  <c r="O190" i="122"/>
  <c r="F183" i="122"/>
  <c r="G183" i="122"/>
  <c r="H183" i="122"/>
  <c r="I183" i="122"/>
  <c r="K183" i="122"/>
  <c r="L183" i="122"/>
  <c r="M183" i="122"/>
  <c r="O183" i="122"/>
  <c r="F184" i="122"/>
  <c r="G184" i="122"/>
  <c r="H184" i="122"/>
  <c r="I184" i="122"/>
  <c r="K184" i="122"/>
  <c r="L184" i="122"/>
  <c r="M184" i="122"/>
  <c r="O184" i="122"/>
  <c r="E185" i="122"/>
  <c r="F185" i="122"/>
  <c r="G185" i="122"/>
  <c r="H185" i="122"/>
  <c r="I185" i="122"/>
  <c r="K185" i="122"/>
  <c r="L185" i="122"/>
  <c r="M185" i="122"/>
  <c r="O185" i="122"/>
  <c r="E186" i="122"/>
  <c r="F186" i="122"/>
  <c r="G186" i="122"/>
  <c r="H186" i="122"/>
  <c r="I186" i="122"/>
  <c r="K186" i="122"/>
  <c r="L186" i="122"/>
  <c r="M186" i="122"/>
  <c r="O186" i="122"/>
  <c r="G176" i="122"/>
  <c r="H176" i="122"/>
  <c r="I176" i="122"/>
  <c r="K176" i="122"/>
  <c r="L176" i="122"/>
  <c r="M176" i="122"/>
  <c r="O176" i="122"/>
  <c r="F177" i="122"/>
  <c r="G177" i="122"/>
  <c r="H177" i="122"/>
  <c r="I177" i="122"/>
  <c r="K177" i="122"/>
  <c r="L177" i="122"/>
  <c r="M177" i="122"/>
  <c r="O177" i="122"/>
  <c r="G178" i="122"/>
  <c r="H178" i="122"/>
  <c r="I178" i="122"/>
  <c r="L178" i="122"/>
  <c r="M178" i="122"/>
  <c r="G179" i="122"/>
  <c r="H179" i="122"/>
  <c r="I179" i="122"/>
  <c r="K179" i="122"/>
  <c r="L179" i="122"/>
  <c r="M179" i="122"/>
  <c r="M175" i="122"/>
  <c r="L175" i="122"/>
  <c r="K175" i="122"/>
  <c r="I175" i="122"/>
  <c r="H175" i="122"/>
  <c r="G175" i="122"/>
  <c r="F175" i="122"/>
  <c r="F172" i="122"/>
  <c r="G172" i="122"/>
  <c r="H172" i="122"/>
  <c r="I172" i="122"/>
  <c r="I171" i="122" s="1"/>
  <c r="I170" i="122" s="1"/>
  <c r="K172" i="122"/>
  <c r="K171" i="122" s="1"/>
  <c r="L172" i="122"/>
  <c r="M172" i="122"/>
  <c r="M171" i="122" s="1"/>
  <c r="M170" i="122" s="1"/>
  <c r="F166" i="122"/>
  <c r="G166" i="122"/>
  <c r="H166" i="122"/>
  <c r="I166" i="122"/>
  <c r="K166" i="122"/>
  <c r="L166" i="122"/>
  <c r="M166" i="122"/>
  <c r="F167" i="122"/>
  <c r="G167" i="122"/>
  <c r="H167" i="122"/>
  <c r="I167" i="122"/>
  <c r="K167" i="122"/>
  <c r="L167" i="122"/>
  <c r="M167" i="122"/>
  <c r="F168" i="122"/>
  <c r="G168" i="122"/>
  <c r="H168" i="122"/>
  <c r="I168" i="122"/>
  <c r="K168" i="122"/>
  <c r="L168" i="122"/>
  <c r="M168" i="122"/>
  <c r="F169" i="122"/>
  <c r="G169" i="122"/>
  <c r="H169" i="122"/>
  <c r="I169" i="122"/>
  <c r="K169" i="122"/>
  <c r="L169" i="122"/>
  <c r="M169" i="122"/>
  <c r="O169" i="122"/>
  <c r="G147" i="122"/>
  <c r="H147" i="122"/>
  <c r="I147" i="122"/>
  <c r="K147" i="122"/>
  <c r="L147" i="122"/>
  <c r="M147" i="122"/>
  <c r="F148" i="122"/>
  <c r="G148" i="122"/>
  <c r="H148" i="122"/>
  <c r="I148" i="122"/>
  <c r="K148" i="122"/>
  <c r="L148" i="122"/>
  <c r="M148" i="122"/>
  <c r="O148" i="122"/>
  <c r="F149" i="122"/>
  <c r="G149" i="122"/>
  <c r="H149" i="122"/>
  <c r="I149" i="122"/>
  <c r="K149" i="122"/>
  <c r="L149" i="122"/>
  <c r="M149" i="122"/>
  <c r="O149" i="122"/>
  <c r="F150" i="122"/>
  <c r="G150" i="122"/>
  <c r="H150" i="122"/>
  <c r="I150" i="122"/>
  <c r="K150" i="122"/>
  <c r="L150" i="122"/>
  <c r="M150" i="122"/>
  <c r="G151" i="122"/>
  <c r="H151" i="122"/>
  <c r="I151" i="122"/>
  <c r="K151" i="122"/>
  <c r="L151" i="122"/>
  <c r="M151" i="122"/>
  <c r="O151" i="122"/>
  <c r="G152" i="122"/>
  <c r="H152" i="122"/>
  <c r="I152" i="122"/>
  <c r="K152" i="122"/>
  <c r="L152" i="122"/>
  <c r="M152" i="122"/>
  <c r="F153" i="122"/>
  <c r="G153" i="122"/>
  <c r="H153" i="122"/>
  <c r="I153" i="122"/>
  <c r="K153" i="122"/>
  <c r="L153" i="122"/>
  <c r="M153" i="122"/>
  <c r="E154" i="122"/>
  <c r="F154" i="122"/>
  <c r="G154" i="122"/>
  <c r="H154" i="122"/>
  <c r="I154" i="122"/>
  <c r="K154" i="122"/>
  <c r="L154" i="122"/>
  <c r="M154" i="122"/>
  <c r="O154" i="122"/>
  <c r="G155" i="122"/>
  <c r="H155" i="122"/>
  <c r="I155" i="122"/>
  <c r="L155" i="122"/>
  <c r="M155" i="122"/>
  <c r="F156" i="122"/>
  <c r="G156" i="122"/>
  <c r="H156" i="122"/>
  <c r="I156" i="122"/>
  <c r="K156" i="122"/>
  <c r="L156" i="122"/>
  <c r="M156" i="122"/>
  <c r="O156" i="122"/>
  <c r="G157" i="122"/>
  <c r="H157" i="122"/>
  <c r="I157" i="122"/>
  <c r="L157" i="122"/>
  <c r="M157" i="122"/>
  <c r="G158" i="122"/>
  <c r="H158" i="122"/>
  <c r="I158" i="122"/>
  <c r="K158" i="122"/>
  <c r="L158" i="122"/>
  <c r="M158" i="122"/>
  <c r="G159" i="122"/>
  <c r="H159" i="122"/>
  <c r="I159" i="122"/>
  <c r="K159" i="122"/>
  <c r="L159" i="122"/>
  <c r="M159" i="122"/>
  <c r="F160" i="122"/>
  <c r="G160" i="122"/>
  <c r="H160" i="122"/>
  <c r="I160" i="122"/>
  <c r="K160" i="122"/>
  <c r="L160" i="122"/>
  <c r="M160" i="122"/>
  <c r="F161" i="122"/>
  <c r="G161" i="122"/>
  <c r="H161" i="122"/>
  <c r="I161" i="122"/>
  <c r="K161" i="122"/>
  <c r="L161" i="122"/>
  <c r="M161" i="122"/>
  <c r="O161" i="122"/>
  <c r="G162" i="122"/>
  <c r="H162" i="122"/>
  <c r="I162" i="122"/>
  <c r="K162" i="122"/>
  <c r="L162" i="122"/>
  <c r="M162" i="122"/>
  <c r="O162" i="122"/>
  <c r="G146" i="122"/>
  <c r="H146" i="122"/>
  <c r="I146" i="122"/>
  <c r="L146" i="122"/>
  <c r="M146" i="122"/>
  <c r="F125" i="122"/>
  <c r="G125" i="122"/>
  <c r="H125" i="122"/>
  <c r="I125" i="122"/>
  <c r="K125" i="122"/>
  <c r="L125" i="122"/>
  <c r="M125" i="122"/>
  <c r="O125" i="122"/>
  <c r="F126" i="122"/>
  <c r="G126" i="122"/>
  <c r="H126" i="122"/>
  <c r="I126" i="122"/>
  <c r="K126" i="122"/>
  <c r="L126" i="122"/>
  <c r="M126" i="122"/>
  <c r="F127" i="122"/>
  <c r="G127" i="122"/>
  <c r="H127" i="122"/>
  <c r="I127" i="122"/>
  <c r="K127" i="122"/>
  <c r="L127" i="122"/>
  <c r="M127" i="122"/>
  <c r="F128" i="122"/>
  <c r="G128" i="122"/>
  <c r="H128" i="122"/>
  <c r="I128" i="122"/>
  <c r="K128" i="122"/>
  <c r="L128" i="122"/>
  <c r="M128" i="122"/>
  <c r="F129" i="122"/>
  <c r="G129" i="122"/>
  <c r="H129" i="122"/>
  <c r="I129" i="122"/>
  <c r="K129" i="122"/>
  <c r="L129" i="122"/>
  <c r="M129" i="122"/>
  <c r="O129" i="122"/>
  <c r="I130" i="122"/>
  <c r="H131" i="122"/>
  <c r="I131" i="122"/>
  <c r="K131" i="122"/>
  <c r="L131" i="122"/>
  <c r="M131" i="122"/>
  <c r="G132" i="122"/>
  <c r="H132" i="122"/>
  <c r="I132" i="122"/>
  <c r="K132" i="122"/>
  <c r="L132" i="122"/>
  <c r="M132" i="122"/>
  <c r="O132" i="122"/>
  <c r="F133" i="122"/>
  <c r="G133" i="122"/>
  <c r="H133" i="122"/>
  <c r="I133" i="122"/>
  <c r="K133" i="122"/>
  <c r="L133" i="122"/>
  <c r="M133" i="122"/>
  <c r="O133" i="122"/>
  <c r="H137" i="122"/>
  <c r="I137" i="122"/>
  <c r="K137" i="122"/>
  <c r="L137" i="122"/>
  <c r="M137" i="122"/>
  <c r="F139" i="122"/>
  <c r="G139" i="122"/>
  <c r="H139" i="122"/>
  <c r="I139" i="122"/>
  <c r="K139" i="122"/>
  <c r="L139" i="122"/>
  <c r="M139" i="122"/>
  <c r="O139" i="122"/>
  <c r="G140" i="122"/>
  <c r="H140" i="122"/>
  <c r="I140" i="122"/>
  <c r="K140" i="122"/>
  <c r="L140" i="122"/>
  <c r="M140" i="122"/>
  <c r="F141" i="122"/>
  <c r="G141" i="122"/>
  <c r="H141" i="122"/>
  <c r="I141" i="122"/>
  <c r="K141" i="122"/>
  <c r="L141" i="122"/>
  <c r="M141" i="122"/>
  <c r="N141" i="122"/>
  <c r="O141" i="122"/>
  <c r="I142" i="122"/>
  <c r="L142" i="122"/>
  <c r="M142" i="122"/>
  <c r="G143" i="122"/>
  <c r="H143" i="122"/>
  <c r="I143" i="122"/>
  <c r="K143" i="122"/>
  <c r="L143" i="122"/>
  <c r="M143" i="122"/>
  <c r="O143" i="122"/>
  <c r="G124" i="122"/>
  <c r="H124" i="122"/>
  <c r="I124" i="122"/>
  <c r="K124" i="122"/>
  <c r="L124" i="122"/>
  <c r="M124" i="122"/>
  <c r="O124" i="122"/>
  <c r="F113" i="122"/>
  <c r="G113" i="122"/>
  <c r="H113" i="122"/>
  <c r="I113" i="122"/>
  <c r="K113" i="122"/>
  <c r="L113" i="122"/>
  <c r="M113" i="122"/>
  <c r="O113" i="122"/>
  <c r="F114" i="122"/>
  <c r="G114" i="122"/>
  <c r="H114" i="122"/>
  <c r="I114" i="122"/>
  <c r="K114" i="122"/>
  <c r="L114" i="122"/>
  <c r="M114" i="122"/>
  <c r="F115" i="122"/>
  <c r="G115" i="122"/>
  <c r="H115" i="122"/>
  <c r="I115" i="122"/>
  <c r="K115" i="122"/>
  <c r="L115" i="122"/>
  <c r="M115" i="122"/>
  <c r="F116" i="122"/>
  <c r="G116" i="122"/>
  <c r="H116" i="122"/>
  <c r="I116" i="122"/>
  <c r="K116" i="122"/>
  <c r="L116" i="122"/>
  <c r="M116" i="122"/>
  <c r="F117" i="122"/>
  <c r="G117" i="122"/>
  <c r="H117" i="122"/>
  <c r="I117" i="122"/>
  <c r="K117" i="122"/>
  <c r="L117" i="122"/>
  <c r="M117" i="122"/>
  <c r="O117" i="122"/>
  <c r="I118" i="122"/>
  <c r="H119" i="122"/>
  <c r="I119" i="122"/>
  <c r="K119" i="122"/>
  <c r="L119" i="122"/>
  <c r="M119" i="122"/>
  <c r="G120" i="122"/>
  <c r="H120" i="122"/>
  <c r="I120" i="122"/>
  <c r="K120" i="122"/>
  <c r="L120" i="122"/>
  <c r="M120" i="122"/>
  <c r="O120" i="122"/>
  <c r="F121" i="122"/>
  <c r="G121" i="122"/>
  <c r="H121" i="122"/>
  <c r="I121" i="122"/>
  <c r="K121" i="122"/>
  <c r="L121" i="122"/>
  <c r="M121" i="122"/>
  <c r="O121" i="122"/>
  <c r="G112" i="122"/>
  <c r="H112" i="122"/>
  <c r="I112" i="122"/>
  <c r="K112" i="122"/>
  <c r="L112" i="122"/>
  <c r="M112" i="122"/>
  <c r="O112" i="122"/>
  <c r="I105" i="122"/>
  <c r="I106" i="122"/>
  <c r="K106" i="122"/>
  <c r="L106" i="122"/>
  <c r="M106" i="122"/>
  <c r="G107" i="122"/>
  <c r="H107" i="122"/>
  <c r="I107" i="122"/>
  <c r="K107" i="122"/>
  <c r="L107" i="122"/>
  <c r="M107" i="122"/>
  <c r="O107" i="122"/>
  <c r="I108" i="122"/>
  <c r="F109" i="122"/>
  <c r="G109" i="122"/>
  <c r="H109" i="122"/>
  <c r="I109" i="122"/>
  <c r="K109" i="122"/>
  <c r="L109" i="122"/>
  <c r="M109" i="122"/>
  <c r="O109" i="122"/>
  <c r="F100" i="122"/>
  <c r="G100" i="122"/>
  <c r="H100" i="122"/>
  <c r="I100" i="122"/>
  <c r="J100" i="122"/>
  <c r="K100" i="122"/>
  <c r="L100" i="122"/>
  <c r="M100" i="122"/>
  <c r="N100" i="122"/>
  <c r="O100" i="122"/>
  <c r="P100" i="122"/>
  <c r="E100" i="122"/>
  <c r="F99" i="122"/>
  <c r="G99" i="122"/>
  <c r="H99" i="122"/>
  <c r="I99" i="122"/>
  <c r="L99" i="122"/>
  <c r="M99" i="122"/>
  <c r="E99" i="122"/>
  <c r="F94" i="122"/>
  <c r="G94" i="122"/>
  <c r="H94" i="122"/>
  <c r="I94" i="122"/>
  <c r="K94" i="122"/>
  <c r="L94" i="122"/>
  <c r="M94" i="122"/>
  <c r="O94" i="122"/>
  <c r="F95" i="122"/>
  <c r="G95" i="122"/>
  <c r="H95" i="122"/>
  <c r="I95" i="122"/>
  <c r="K95" i="122"/>
  <c r="L95" i="122"/>
  <c r="M95" i="122"/>
  <c r="O95" i="122"/>
  <c r="F96" i="122"/>
  <c r="I96" i="122"/>
  <c r="I97" i="122"/>
  <c r="F98" i="122"/>
  <c r="G98" i="122"/>
  <c r="H98" i="122"/>
  <c r="I98" i="122"/>
  <c r="K98" i="122"/>
  <c r="L98" i="122"/>
  <c r="M98" i="122"/>
  <c r="O98" i="122"/>
  <c r="G90" i="122"/>
  <c r="H90" i="122"/>
  <c r="I90" i="122"/>
  <c r="K90" i="122"/>
  <c r="L90" i="122"/>
  <c r="M90" i="122"/>
  <c r="I91" i="122"/>
  <c r="K91" i="122"/>
  <c r="L91" i="122"/>
  <c r="M91" i="122"/>
  <c r="G92" i="122"/>
  <c r="H92" i="122"/>
  <c r="I92" i="122"/>
  <c r="K92" i="122"/>
  <c r="L92" i="122"/>
  <c r="M92" i="122"/>
  <c r="O92" i="122"/>
  <c r="G93" i="122"/>
  <c r="H93" i="122"/>
  <c r="I93" i="122"/>
  <c r="K93" i="122"/>
  <c r="L93" i="122"/>
  <c r="M93" i="122"/>
  <c r="O93" i="122"/>
  <c r="G84" i="122"/>
  <c r="H84" i="122"/>
  <c r="I84" i="122"/>
  <c r="K84" i="122"/>
  <c r="L84" i="122"/>
  <c r="M84" i="122"/>
  <c r="O84" i="122"/>
  <c r="G85" i="122"/>
  <c r="H85" i="122"/>
  <c r="I85" i="122"/>
  <c r="K85" i="122"/>
  <c r="L85" i="122"/>
  <c r="M85" i="122"/>
  <c r="N85" i="122"/>
  <c r="O85" i="122"/>
  <c r="G86" i="122"/>
  <c r="H86" i="122"/>
  <c r="I86" i="122"/>
  <c r="K86" i="122"/>
  <c r="L86" i="122"/>
  <c r="M86" i="122"/>
  <c r="N86" i="122"/>
  <c r="O86" i="122"/>
  <c r="F87" i="122"/>
  <c r="G87" i="122"/>
  <c r="H87" i="122"/>
  <c r="I87" i="122"/>
  <c r="K87" i="122"/>
  <c r="L87" i="122"/>
  <c r="M87" i="122"/>
  <c r="N87" i="122"/>
  <c r="O87" i="122"/>
  <c r="F88" i="122"/>
  <c r="G88" i="122"/>
  <c r="H88" i="122"/>
  <c r="I88" i="122"/>
  <c r="K88" i="122"/>
  <c r="L88" i="122"/>
  <c r="M88" i="122"/>
  <c r="O88" i="122"/>
  <c r="G83" i="122"/>
  <c r="H83" i="122"/>
  <c r="I83" i="122"/>
  <c r="K83" i="122"/>
  <c r="L83" i="122"/>
  <c r="M83" i="122"/>
  <c r="O83" i="122"/>
  <c r="G81" i="122"/>
  <c r="H81" i="122"/>
  <c r="I81" i="122"/>
  <c r="K81" i="122"/>
  <c r="L81" i="122"/>
  <c r="M81" i="122"/>
  <c r="O81" i="122"/>
  <c r="F79" i="122"/>
  <c r="G79" i="122"/>
  <c r="H79" i="122"/>
  <c r="I79" i="122"/>
  <c r="K79" i="122"/>
  <c r="L79" i="122"/>
  <c r="M79" i="122"/>
  <c r="O79" i="122"/>
  <c r="F80" i="122"/>
  <c r="G80" i="122"/>
  <c r="H80" i="122"/>
  <c r="I80" i="122"/>
  <c r="K80" i="122"/>
  <c r="L80" i="122"/>
  <c r="M80" i="122"/>
  <c r="O80" i="122"/>
  <c r="F74" i="122"/>
  <c r="G74" i="122"/>
  <c r="H74" i="122"/>
  <c r="I74" i="122"/>
  <c r="K74" i="122"/>
  <c r="L74" i="122"/>
  <c r="M74" i="122"/>
  <c r="O74" i="122"/>
  <c r="G75" i="122"/>
  <c r="H75" i="122"/>
  <c r="I75" i="122"/>
  <c r="K75" i="122"/>
  <c r="L75" i="122"/>
  <c r="M75" i="122"/>
  <c r="O75" i="122"/>
  <c r="F76" i="122"/>
  <c r="G76" i="122"/>
  <c r="H76" i="122"/>
  <c r="I76" i="122"/>
  <c r="K76" i="122"/>
  <c r="L76" i="122"/>
  <c r="M76" i="122"/>
  <c r="O76" i="122"/>
  <c r="F77" i="122"/>
  <c r="G77" i="122"/>
  <c r="H77" i="122"/>
  <c r="I77" i="122"/>
  <c r="K77" i="122"/>
  <c r="L77" i="122"/>
  <c r="M77" i="122"/>
  <c r="O77" i="122"/>
  <c r="F78" i="122"/>
  <c r="G78" i="122"/>
  <c r="H78" i="122"/>
  <c r="I78" i="122"/>
  <c r="K78" i="122"/>
  <c r="L78" i="122"/>
  <c r="M78" i="122"/>
  <c r="O78" i="122"/>
  <c r="F69" i="122"/>
  <c r="G69" i="122"/>
  <c r="H69" i="122"/>
  <c r="I69" i="122"/>
  <c r="K69" i="122"/>
  <c r="L69" i="122"/>
  <c r="M69" i="122"/>
  <c r="O69" i="122"/>
  <c r="F70" i="122"/>
  <c r="G70" i="122"/>
  <c r="H70" i="122"/>
  <c r="I70" i="122"/>
  <c r="K70" i="122"/>
  <c r="L70" i="122"/>
  <c r="M70" i="122"/>
  <c r="O70" i="122"/>
  <c r="F71" i="122"/>
  <c r="G71" i="122"/>
  <c r="H71" i="122"/>
  <c r="I71" i="122"/>
  <c r="K71" i="122"/>
  <c r="L71" i="122"/>
  <c r="M71" i="122"/>
  <c r="O71" i="122"/>
  <c r="F73" i="122"/>
  <c r="G73" i="122"/>
  <c r="H73" i="122"/>
  <c r="I73" i="122"/>
  <c r="K73" i="122"/>
  <c r="L73" i="122"/>
  <c r="M73" i="122"/>
  <c r="O73" i="122"/>
  <c r="F64" i="122"/>
  <c r="G64" i="122"/>
  <c r="H64" i="122"/>
  <c r="I64" i="122"/>
  <c r="K64" i="122"/>
  <c r="L64" i="122"/>
  <c r="M64" i="122"/>
  <c r="O64" i="122"/>
  <c r="G65" i="122"/>
  <c r="H65" i="122"/>
  <c r="I65" i="122"/>
  <c r="K65" i="122"/>
  <c r="L65" i="122"/>
  <c r="M65" i="122"/>
  <c r="O65" i="122"/>
  <c r="F67" i="122"/>
  <c r="G67" i="122"/>
  <c r="H67" i="122"/>
  <c r="I67" i="122"/>
  <c r="K67" i="122"/>
  <c r="L67" i="122"/>
  <c r="M67" i="122"/>
  <c r="O67" i="122"/>
  <c r="F68" i="122"/>
  <c r="G68" i="122"/>
  <c r="H68" i="122"/>
  <c r="I68" i="122"/>
  <c r="K68" i="122"/>
  <c r="L68" i="122"/>
  <c r="M68" i="122"/>
  <c r="O68" i="122"/>
  <c r="F61" i="122"/>
  <c r="G61" i="122"/>
  <c r="H61" i="122"/>
  <c r="I61" i="122"/>
  <c r="K61" i="122"/>
  <c r="L61" i="122"/>
  <c r="M61" i="122"/>
  <c r="O61" i="122"/>
  <c r="F62" i="122"/>
  <c r="G62" i="122"/>
  <c r="H62" i="122"/>
  <c r="I62" i="122"/>
  <c r="K62" i="122"/>
  <c r="L62" i="122"/>
  <c r="M62" i="122"/>
  <c r="O62" i="122"/>
  <c r="G46" i="122"/>
  <c r="H46" i="122"/>
  <c r="I46" i="122"/>
  <c r="L46" i="122"/>
  <c r="M46" i="122"/>
  <c r="O46" i="122"/>
  <c r="G47" i="122"/>
  <c r="H47" i="122"/>
  <c r="I47" i="122"/>
  <c r="L47" i="122"/>
  <c r="M47" i="122"/>
  <c r="G48" i="122"/>
  <c r="H48" i="122"/>
  <c r="I48" i="122"/>
  <c r="L48" i="122"/>
  <c r="M48" i="122"/>
  <c r="O48" i="122"/>
  <c r="G49" i="122"/>
  <c r="H49" i="122"/>
  <c r="I49" i="122"/>
  <c r="L49" i="122"/>
  <c r="M49" i="122"/>
  <c r="G50" i="122"/>
  <c r="H50" i="122"/>
  <c r="I50" i="122"/>
  <c r="K50" i="122"/>
  <c r="L50" i="122"/>
  <c r="M50" i="122"/>
  <c r="I51" i="122"/>
  <c r="O51" i="122"/>
  <c r="G52" i="122"/>
  <c r="H52" i="122"/>
  <c r="I52" i="122"/>
  <c r="K52" i="122"/>
  <c r="L52" i="122"/>
  <c r="M52" i="122"/>
  <c r="O52" i="122"/>
  <c r="G53" i="122"/>
  <c r="H53" i="122"/>
  <c r="I53" i="122"/>
  <c r="K53" i="122"/>
  <c r="L53" i="122"/>
  <c r="M53" i="122"/>
  <c r="O53" i="122"/>
  <c r="I54" i="122"/>
  <c r="G55" i="122"/>
  <c r="H55" i="122"/>
  <c r="I55" i="122"/>
  <c r="K55" i="122"/>
  <c r="L55" i="122"/>
  <c r="M55" i="122"/>
  <c r="F56" i="122"/>
  <c r="G56" i="122"/>
  <c r="H56" i="122"/>
  <c r="I56" i="122"/>
  <c r="K56" i="122"/>
  <c r="L56" i="122"/>
  <c r="M56" i="122"/>
  <c r="O56" i="122"/>
  <c r="F57" i="122"/>
  <c r="G57" i="122"/>
  <c r="H57" i="122"/>
  <c r="I57" i="122"/>
  <c r="K57" i="122"/>
  <c r="L57" i="122"/>
  <c r="M57" i="122"/>
  <c r="O57" i="122"/>
  <c r="G45" i="122"/>
  <c r="H45" i="122"/>
  <c r="I45" i="122"/>
  <c r="K45" i="122"/>
  <c r="L45" i="122"/>
  <c r="M45" i="122"/>
  <c r="F42" i="122"/>
  <c r="G42" i="122"/>
  <c r="H42" i="122"/>
  <c r="I42" i="122"/>
  <c r="K42" i="122"/>
  <c r="L42" i="122"/>
  <c r="M42" i="122"/>
  <c r="F41" i="122"/>
  <c r="G41" i="122"/>
  <c r="H41" i="122"/>
  <c r="I41" i="122"/>
  <c r="K41" i="122"/>
  <c r="L41" i="122"/>
  <c r="M41" i="122"/>
  <c r="O41" i="122"/>
  <c r="I32" i="122"/>
  <c r="M32" i="122"/>
  <c r="I33" i="122"/>
  <c r="K33" i="122"/>
  <c r="L33" i="122"/>
  <c r="M33" i="122"/>
  <c r="O33" i="122"/>
  <c r="I34" i="122"/>
  <c r="K34" i="122"/>
  <c r="L34" i="122"/>
  <c r="M34" i="122"/>
  <c r="I35" i="122"/>
  <c r="K35" i="122"/>
  <c r="L35" i="122"/>
  <c r="M35" i="122"/>
  <c r="I36" i="122"/>
  <c r="O36" i="122"/>
  <c r="H37" i="122"/>
  <c r="I37" i="122"/>
  <c r="K37" i="122"/>
  <c r="L37" i="122"/>
  <c r="M37" i="122"/>
  <c r="I38" i="122"/>
  <c r="I39" i="122"/>
  <c r="K39" i="122"/>
  <c r="L39" i="122"/>
  <c r="M39" i="122"/>
  <c r="O39" i="122"/>
  <c r="G40" i="122"/>
  <c r="H40" i="122"/>
  <c r="I40" i="122"/>
  <c r="K40" i="122"/>
  <c r="L40" i="122"/>
  <c r="M40" i="122"/>
  <c r="N40" i="122"/>
  <c r="O40" i="122"/>
  <c r="I43" i="122"/>
  <c r="I31" i="122"/>
  <c r="K31" i="122"/>
  <c r="L31" i="122"/>
  <c r="M31" i="122"/>
  <c r="G26" i="122"/>
  <c r="H26" i="122"/>
  <c r="I26" i="122"/>
  <c r="K26" i="122"/>
  <c r="L26" i="122"/>
  <c r="M26" i="122"/>
  <c r="O26" i="122"/>
  <c r="F27" i="122"/>
  <c r="G27" i="122"/>
  <c r="H27" i="122"/>
  <c r="I27" i="122"/>
  <c r="J27" i="122"/>
  <c r="K27" i="122"/>
  <c r="L27" i="122"/>
  <c r="M27" i="122"/>
  <c r="O27" i="122"/>
  <c r="G28" i="122"/>
  <c r="H28" i="122"/>
  <c r="I28" i="122"/>
  <c r="K28" i="122"/>
  <c r="L28" i="122"/>
  <c r="M28" i="122"/>
  <c r="F24" i="122"/>
  <c r="G24" i="122"/>
  <c r="H24" i="122"/>
  <c r="I24" i="122"/>
  <c r="L24" i="122"/>
  <c r="M24" i="122"/>
  <c r="O24" i="122"/>
  <c r="F21" i="122"/>
  <c r="G21" i="122"/>
  <c r="H21" i="122"/>
  <c r="I21" i="122"/>
  <c r="K21" i="122"/>
  <c r="L21" i="122"/>
  <c r="M21" i="122"/>
  <c r="O21" i="122"/>
  <c r="F22" i="122"/>
  <c r="G22" i="122"/>
  <c r="H22" i="122"/>
  <c r="I22" i="122"/>
  <c r="K22" i="122"/>
  <c r="L22" i="122"/>
  <c r="M22" i="122"/>
  <c r="O22" i="122"/>
  <c r="F23" i="122"/>
  <c r="G23" i="122"/>
  <c r="H23" i="122"/>
  <c r="I23" i="122"/>
  <c r="L23" i="122"/>
  <c r="M23" i="122"/>
  <c r="G20" i="122"/>
  <c r="H20" i="122"/>
  <c r="I20" i="122"/>
  <c r="K20" i="122"/>
  <c r="L20" i="122"/>
  <c r="M20" i="122"/>
  <c r="O20" i="122"/>
  <c r="F19" i="122"/>
  <c r="G19" i="122"/>
  <c r="H19" i="122"/>
  <c r="I19" i="122"/>
  <c r="K19" i="122"/>
  <c r="L19" i="122"/>
  <c r="M19" i="122"/>
  <c r="O19" i="122"/>
  <c r="E19" i="122"/>
  <c r="G15" i="122"/>
  <c r="H15" i="122"/>
  <c r="I15" i="122"/>
  <c r="K15" i="122"/>
  <c r="L15" i="122"/>
  <c r="M15" i="122"/>
  <c r="G16" i="122"/>
  <c r="H16" i="122"/>
  <c r="I16" i="122"/>
  <c r="K16" i="122"/>
  <c r="L16" i="122"/>
  <c r="M16" i="122"/>
  <c r="O16" i="122"/>
  <c r="G14" i="122"/>
  <c r="H14" i="122"/>
  <c r="I14" i="122"/>
  <c r="K14" i="122"/>
  <c r="L14" i="122"/>
  <c r="M14" i="122"/>
  <c r="N192" i="122"/>
  <c r="N191" i="122" s="1"/>
  <c r="H192" i="122"/>
  <c r="H191" i="122" s="1"/>
  <c r="I191" i="122"/>
  <c r="L188" i="122"/>
  <c r="L187" i="122" s="1"/>
  <c r="K188" i="122"/>
  <c r="K187" i="122" s="1"/>
  <c r="G188" i="122"/>
  <c r="G187" i="122" s="1"/>
  <c r="F188" i="122"/>
  <c r="F187" i="122" s="1"/>
  <c r="E180" i="122"/>
  <c r="G174" i="122"/>
  <c r="G173" i="122" s="1"/>
  <c r="L171" i="122"/>
  <c r="L170" i="122" s="1"/>
  <c r="H171" i="122"/>
  <c r="H170" i="122" s="1"/>
  <c r="G171" i="122"/>
  <c r="G170" i="122" s="1"/>
  <c r="I110" i="122"/>
  <c r="I58" i="122"/>
  <c r="I12" i="122"/>
  <c r="J188" i="121"/>
  <c r="E188" i="121"/>
  <c r="J187" i="121"/>
  <c r="E187" i="121"/>
  <c r="J186" i="121"/>
  <c r="F186" i="121"/>
  <c r="E186" i="121" s="1"/>
  <c r="O185" i="121"/>
  <c r="O184" i="121" s="1"/>
  <c r="N185" i="121"/>
  <c r="M185" i="121"/>
  <c r="M184" i="121" s="1"/>
  <c r="L185" i="121"/>
  <c r="L184" i="121" s="1"/>
  <c r="K185" i="121"/>
  <c r="H185" i="121"/>
  <c r="G185" i="121"/>
  <c r="G184" i="121" s="1"/>
  <c r="N184" i="121"/>
  <c r="I184" i="121"/>
  <c r="H184" i="121"/>
  <c r="N183" i="121"/>
  <c r="J183" i="121"/>
  <c r="E183" i="121"/>
  <c r="O182" i="121"/>
  <c r="E182" i="121"/>
  <c r="M181" i="121"/>
  <c r="M180" i="121" s="1"/>
  <c r="L181" i="121"/>
  <c r="K181" i="121"/>
  <c r="K180" i="121" s="1"/>
  <c r="I181" i="121"/>
  <c r="I180" i="121" s="1"/>
  <c r="H181" i="121"/>
  <c r="H180" i="121" s="1"/>
  <c r="G181" i="121"/>
  <c r="F181" i="121"/>
  <c r="F180" i="121" s="1"/>
  <c r="E181" i="121"/>
  <c r="E180" i="121" s="1"/>
  <c r="L180" i="121"/>
  <c r="G180" i="121"/>
  <c r="N179" i="121"/>
  <c r="N178" i="121"/>
  <c r="J178" i="121" s="1"/>
  <c r="P178" i="121" s="1"/>
  <c r="N177" i="121"/>
  <c r="J177" i="121" s="1"/>
  <c r="E177" i="121"/>
  <c r="N176" i="121"/>
  <c r="J176" i="121" s="1"/>
  <c r="E176" i="121"/>
  <c r="O175" i="121"/>
  <c r="O174" i="121" s="1"/>
  <c r="O173" i="121" s="1"/>
  <c r="M175" i="121"/>
  <c r="M174" i="121" s="1"/>
  <c r="M173" i="121" s="1"/>
  <c r="L175" i="121"/>
  <c r="L174" i="121" s="1"/>
  <c r="L173" i="121" s="1"/>
  <c r="K175" i="121"/>
  <c r="I175" i="121"/>
  <c r="I174" i="121" s="1"/>
  <c r="I173" i="121" s="1"/>
  <c r="H175" i="121"/>
  <c r="H174" i="121" s="1"/>
  <c r="H173" i="121" s="1"/>
  <c r="G175" i="121"/>
  <c r="G174" i="121" s="1"/>
  <c r="G173" i="121" s="1"/>
  <c r="F175" i="121"/>
  <c r="E175" i="121"/>
  <c r="K174" i="121"/>
  <c r="K173" i="121" s="1"/>
  <c r="F174" i="121"/>
  <c r="F173" i="121" s="1"/>
  <c r="E173" i="121"/>
  <c r="O172" i="121"/>
  <c r="F172" i="121"/>
  <c r="K171" i="121"/>
  <c r="K167" i="121" s="1"/>
  <c r="K166" i="121" s="1"/>
  <c r="N170" i="121"/>
  <c r="J170" i="121" s="1"/>
  <c r="E170" i="121"/>
  <c r="N169" i="121"/>
  <c r="J169" i="121" s="1"/>
  <c r="F169" i="121"/>
  <c r="O168" i="121"/>
  <c r="N168" i="121" s="1"/>
  <c r="E168" i="121"/>
  <c r="M167" i="121"/>
  <c r="M166" i="121" s="1"/>
  <c r="L167" i="121"/>
  <c r="L166" i="121" s="1"/>
  <c r="I167" i="121"/>
  <c r="H167" i="121"/>
  <c r="H166" i="121" s="1"/>
  <c r="G167" i="121"/>
  <c r="G166" i="121" s="1"/>
  <c r="I166" i="121"/>
  <c r="O165" i="121"/>
  <c r="E165" i="121"/>
  <c r="M164" i="121"/>
  <c r="L164" i="121"/>
  <c r="L163" i="121" s="1"/>
  <c r="K164" i="121"/>
  <c r="K163" i="121" s="1"/>
  <c r="I164" i="121"/>
  <c r="H164" i="121"/>
  <c r="H163" i="121" s="1"/>
  <c r="G164" i="121"/>
  <c r="G163" i="121" s="1"/>
  <c r="F164" i="121"/>
  <c r="F163" i="121" s="1"/>
  <c r="E164" i="121"/>
  <c r="M163" i="121"/>
  <c r="I163" i="121"/>
  <c r="E163" i="121"/>
  <c r="N162" i="121"/>
  <c r="J162" i="121" s="1"/>
  <c r="E162" i="121"/>
  <c r="O161" i="121"/>
  <c r="N161" i="121" s="1"/>
  <c r="J161" i="121" s="1"/>
  <c r="E161" i="121"/>
  <c r="O160" i="121"/>
  <c r="N160" i="121" s="1"/>
  <c r="J160" i="121" s="1"/>
  <c r="E160" i="121"/>
  <c r="O159" i="121"/>
  <c r="E159" i="121"/>
  <c r="M158" i="121"/>
  <c r="M157" i="121" s="1"/>
  <c r="L158" i="121"/>
  <c r="K158" i="121"/>
  <c r="K157" i="121" s="1"/>
  <c r="K156" i="121" s="1"/>
  <c r="I158" i="121"/>
  <c r="I157" i="121" s="1"/>
  <c r="I156" i="121" s="1"/>
  <c r="H158" i="121"/>
  <c r="H157" i="121" s="1"/>
  <c r="G158" i="121"/>
  <c r="G157" i="121" s="1"/>
  <c r="G156" i="121" s="1"/>
  <c r="F158" i="121"/>
  <c r="E158" i="121" s="1"/>
  <c r="L157" i="121"/>
  <c r="L156" i="121" s="1"/>
  <c r="M156" i="121"/>
  <c r="H156" i="121"/>
  <c r="N155" i="121"/>
  <c r="J155" i="121" s="1"/>
  <c r="F155" i="121"/>
  <c r="E155" i="121" s="1"/>
  <c r="N154" i="121"/>
  <c r="J154" i="121" s="1"/>
  <c r="P154" i="121" s="1"/>
  <c r="E154" i="121"/>
  <c r="O153" i="121"/>
  <c r="N153" i="121" s="1"/>
  <c r="J153" i="121" s="1"/>
  <c r="E153" i="121"/>
  <c r="O152" i="121"/>
  <c r="N152" i="121" s="1"/>
  <c r="J152" i="121" s="1"/>
  <c r="F152" i="121"/>
  <c r="E152" i="121" s="1"/>
  <c r="O151" i="121"/>
  <c r="F151" i="121"/>
  <c r="K150" i="121"/>
  <c r="N149" i="121"/>
  <c r="J149" i="121" s="1"/>
  <c r="P149" i="121" s="1"/>
  <c r="E149" i="121"/>
  <c r="O148" i="121"/>
  <c r="N148" i="121" s="1"/>
  <c r="K148" i="121"/>
  <c r="F148" i="121"/>
  <c r="E148" i="121" s="1"/>
  <c r="N147" i="121"/>
  <c r="J147" i="121" s="1"/>
  <c r="P147" i="121" s="1"/>
  <c r="O146" i="121"/>
  <c r="N146" i="121" s="1"/>
  <c r="J146" i="121" s="1"/>
  <c r="E146" i="121"/>
  <c r="O145" i="121"/>
  <c r="N145" i="121" s="1"/>
  <c r="J145" i="121" s="1"/>
  <c r="F145" i="121"/>
  <c r="E145" i="121" s="1"/>
  <c r="P145" i="121" s="1"/>
  <c r="N144" i="121"/>
  <c r="J144" i="121" s="1"/>
  <c r="F144" i="121"/>
  <c r="O143" i="121"/>
  <c r="N143" i="121" s="1"/>
  <c r="J143" i="121" s="1"/>
  <c r="P143" i="121" s="1"/>
  <c r="E143" i="121"/>
  <c r="N142" i="121"/>
  <c r="J142" i="121" s="1"/>
  <c r="E142" i="121"/>
  <c r="N141" i="121"/>
  <c r="J141" i="121" s="1"/>
  <c r="E141" i="121"/>
  <c r="O140" i="121"/>
  <c r="F140" i="121"/>
  <c r="F139" i="121" s="1"/>
  <c r="E139" i="121" s="1"/>
  <c r="K139" i="121"/>
  <c r="M138" i="121"/>
  <c r="M137" i="121" s="1"/>
  <c r="L138" i="121"/>
  <c r="L137" i="121" s="1"/>
  <c r="I138" i="121"/>
  <c r="I137" i="121" s="1"/>
  <c r="H138" i="121"/>
  <c r="H137" i="121" s="1"/>
  <c r="G138" i="121"/>
  <c r="G137" i="121" s="1"/>
  <c r="N136" i="121"/>
  <c r="J136" i="121"/>
  <c r="P136" i="121" s="1"/>
  <c r="E136" i="121"/>
  <c r="N135" i="121"/>
  <c r="J135" i="121" s="1"/>
  <c r="P135" i="121" s="1"/>
  <c r="E135" i="121"/>
  <c r="N134" i="121"/>
  <c r="J134" i="121" s="1"/>
  <c r="F134" i="121"/>
  <c r="E134" i="121" s="1"/>
  <c r="O133" i="121"/>
  <c r="K133" i="121"/>
  <c r="E133" i="121"/>
  <c r="N132" i="121"/>
  <c r="E132" i="121"/>
  <c r="M131" i="121"/>
  <c r="L131" i="121"/>
  <c r="I131" i="121"/>
  <c r="H131" i="121"/>
  <c r="G131" i="121"/>
  <c r="F131" i="121"/>
  <c r="E131" i="121" s="1"/>
  <c r="N130" i="121"/>
  <c r="F130" i="121"/>
  <c r="E130" i="121" s="1"/>
  <c r="O129" i="121"/>
  <c r="F129" i="121"/>
  <c r="E129" i="121" s="1"/>
  <c r="M128" i="121"/>
  <c r="L128" i="121"/>
  <c r="K128" i="121"/>
  <c r="I128" i="121"/>
  <c r="H128" i="121"/>
  <c r="G128" i="121"/>
  <c r="E127" i="121"/>
  <c r="O126" i="121"/>
  <c r="M126" i="121"/>
  <c r="L126" i="121"/>
  <c r="K126" i="121"/>
  <c r="H126" i="121"/>
  <c r="G126" i="121"/>
  <c r="F126" i="121"/>
  <c r="E126" i="121" s="1"/>
  <c r="N125" i="121"/>
  <c r="J125" i="121" s="1"/>
  <c r="F125" i="121"/>
  <c r="N124" i="121"/>
  <c r="J124" i="121" s="1"/>
  <c r="F124" i="121"/>
  <c r="E124" i="121"/>
  <c r="O123" i="121"/>
  <c r="N123" i="121" s="1"/>
  <c r="K123" i="121"/>
  <c r="H123" i="121"/>
  <c r="G123" i="121"/>
  <c r="J122" i="121"/>
  <c r="E122" i="121"/>
  <c r="P122" i="121" s="1"/>
  <c r="O121" i="121"/>
  <c r="F121" i="121"/>
  <c r="N120" i="121"/>
  <c r="J120" i="121" s="1"/>
  <c r="E120" i="121"/>
  <c r="M119" i="121"/>
  <c r="L119" i="121"/>
  <c r="K119" i="121"/>
  <c r="I119" i="121"/>
  <c r="H119" i="121"/>
  <c r="G119" i="121"/>
  <c r="O118" i="121"/>
  <c r="O117" i="121" s="1"/>
  <c r="N117" i="121" s="1"/>
  <c r="G118" i="121"/>
  <c r="G117" i="121" s="1"/>
  <c r="F118" i="121"/>
  <c r="E118" i="121" s="1"/>
  <c r="M117" i="121"/>
  <c r="L117" i="121"/>
  <c r="K117" i="121"/>
  <c r="J117" i="121" s="1"/>
  <c r="I117" i="121"/>
  <c r="H117" i="121"/>
  <c r="L116" i="121"/>
  <c r="L115" i="121" s="1"/>
  <c r="N114" i="121"/>
  <c r="J114" i="121"/>
  <c r="E114" i="121"/>
  <c r="N113" i="121"/>
  <c r="J113" i="121" s="1"/>
  <c r="F113" i="121"/>
  <c r="E113" i="121"/>
  <c r="O112" i="121"/>
  <c r="N112" i="121" s="1"/>
  <c r="G112" i="121"/>
  <c r="G111" i="121" s="1"/>
  <c r="G104" i="121" s="1"/>
  <c r="G103" i="121" s="1"/>
  <c r="F112" i="121"/>
  <c r="E112" i="121" s="1"/>
  <c r="O111" i="121"/>
  <c r="M111" i="121"/>
  <c r="M104" i="121" s="1"/>
  <c r="M103" i="121" s="1"/>
  <c r="L111" i="121"/>
  <c r="L104" i="121" s="1"/>
  <c r="L103" i="121" s="1"/>
  <c r="K111" i="121"/>
  <c r="H111" i="121"/>
  <c r="N110" i="121"/>
  <c r="J110" i="121"/>
  <c r="E110" i="121"/>
  <c r="O109" i="121"/>
  <c r="N109" i="121" s="1"/>
  <c r="J109" i="121" s="1"/>
  <c r="E109" i="121"/>
  <c r="O108" i="121"/>
  <c r="N108" i="121" s="1"/>
  <c r="J108" i="121" s="1"/>
  <c r="E108" i="121"/>
  <c r="O107" i="121"/>
  <c r="E107" i="121"/>
  <c r="N106" i="121"/>
  <c r="J106" i="121" s="1"/>
  <c r="E106" i="121"/>
  <c r="N105" i="121"/>
  <c r="J105" i="121" s="1"/>
  <c r="F105" i="121"/>
  <c r="E105" i="121" s="1"/>
  <c r="H104" i="121"/>
  <c r="H103" i="121" s="1"/>
  <c r="I103" i="121"/>
  <c r="N102" i="121"/>
  <c r="J102" i="121" s="1"/>
  <c r="E102" i="121"/>
  <c r="O101" i="121"/>
  <c r="N101" i="121" s="1"/>
  <c r="M101" i="121"/>
  <c r="L101" i="121"/>
  <c r="K101" i="121"/>
  <c r="H101" i="121"/>
  <c r="G101" i="121"/>
  <c r="F101" i="121"/>
  <c r="E101" i="121" s="1"/>
  <c r="N100" i="121"/>
  <c r="F100" i="121"/>
  <c r="E100" i="121" s="1"/>
  <c r="O99" i="121"/>
  <c r="O98" i="121" s="1"/>
  <c r="H99" i="121"/>
  <c r="H98" i="121" s="1"/>
  <c r="G99" i="121"/>
  <c r="G98" i="121" s="1"/>
  <c r="F99" i="121"/>
  <c r="M98" i="121"/>
  <c r="L98" i="121"/>
  <c r="K98" i="121"/>
  <c r="N96" i="121"/>
  <c r="J96" i="121" s="1"/>
  <c r="E96" i="121"/>
  <c r="N95" i="121"/>
  <c r="J95" i="121" s="1"/>
  <c r="E95" i="121"/>
  <c r="O94" i="121"/>
  <c r="M94" i="121"/>
  <c r="M93" i="121" s="1"/>
  <c r="L94" i="121"/>
  <c r="L93" i="121" s="1"/>
  <c r="K94" i="121"/>
  <c r="H94" i="121"/>
  <c r="H93" i="121" s="1"/>
  <c r="G94" i="121"/>
  <c r="G93" i="121" s="1"/>
  <c r="F94" i="121"/>
  <c r="E94" i="121" s="1"/>
  <c r="E93" i="121"/>
  <c r="N92" i="121"/>
  <c r="J92" i="121" s="1"/>
  <c r="E92" i="121"/>
  <c r="N91" i="121"/>
  <c r="J91" i="121" s="1"/>
  <c r="P91" i="121" s="1"/>
  <c r="E91" i="121"/>
  <c r="N90" i="121"/>
  <c r="J90" i="121" s="1"/>
  <c r="F90" i="121"/>
  <c r="E90" i="121" s="1"/>
  <c r="N89" i="121"/>
  <c r="J89" i="121" s="1"/>
  <c r="F89" i="121"/>
  <c r="E89" i="121" s="1"/>
  <c r="O88" i="121"/>
  <c r="N88" i="121" s="1"/>
  <c r="J88" i="121" s="1"/>
  <c r="H88" i="121"/>
  <c r="G88" i="121"/>
  <c r="G86" i="121" s="1"/>
  <c r="F88" i="121"/>
  <c r="O87" i="121"/>
  <c r="F87" i="121"/>
  <c r="E87" i="121" s="1"/>
  <c r="M86" i="121"/>
  <c r="L86" i="121"/>
  <c r="K86" i="121"/>
  <c r="I86" i="121"/>
  <c r="H86" i="121"/>
  <c r="N85" i="121"/>
  <c r="J85" i="121"/>
  <c r="E85" i="121"/>
  <c r="P84" i="121"/>
  <c r="J84" i="121"/>
  <c r="E84" i="121"/>
  <c r="J83" i="121"/>
  <c r="F83" i="121"/>
  <c r="E83" i="121" s="1"/>
  <c r="J82" i="121"/>
  <c r="F82" i="121"/>
  <c r="E82" i="121" s="1"/>
  <c r="P82" i="121" s="1"/>
  <c r="N81" i="121"/>
  <c r="J81" i="121" s="1"/>
  <c r="F81" i="121"/>
  <c r="E81" i="121" s="1"/>
  <c r="N80" i="121"/>
  <c r="J80" i="121"/>
  <c r="P80" i="121" s="1"/>
  <c r="E80" i="121"/>
  <c r="N78" i="121"/>
  <c r="J78" i="121" s="1"/>
  <c r="N77" i="121"/>
  <c r="J77" i="121"/>
  <c r="E77" i="121"/>
  <c r="N76" i="121"/>
  <c r="J76" i="121" s="1"/>
  <c r="E76" i="121"/>
  <c r="N75" i="121"/>
  <c r="J75" i="121" s="1"/>
  <c r="E75" i="121"/>
  <c r="N74" i="121"/>
  <c r="J74" i="121" s="1"/>
  <c r="E74" i="121"/>
  <c r="N73" i="121"/>
  <c r="J73" i="121" s="1"/>
  <c r="E73" i="121"/>
  <c r="N72" i="121"/>
  <c r="J72" i="121" s="1"/>
  <c r="F72" i="121"/>
  <c r="N71" i="121"/>
  <c r="E71" i="121"/>
  <c r="N70" i="121"/>
  <c r="J70" i="121"/>
  <c r="P70" i="121" s="1"/>
  <c r="E70" i="121"/>
  <c r="O69" i="121"/>
  <c r="M69" i="121"/>
  <c r="L69" i="121"/>
  <c r="K69" i="121"/>
  <c r="I69" i="121"/>
  <c r="H69" i="121"/>
  <c r="G69" i="121"/>
  <c r="N68" i="121"/>
  <c r="J68" i="121"/>
  <c r="E68" i="121"/>
  <c r="N67" i="121"/>
  <c r="J67" i="121" s="1"/>
  <c r="E67" i="121"/>
  <c r="N66" i="121"/>
  <c r="J66" i="121" s="1"/>
  <c r="P66" i="121" s="1"/>
  <c r="E66" i="121"/>
  <c r="N65" i="121"/>
  <c r="J65" i="121" s="1"/>
  <c r="E65" i="121"/>
  <c r="N64" i="121"/>
  <c r="J64" i="121" s="1"/>
  <c r="E64" i="121"/>
  <c r="O63" i="121"/>
  <c r="M63" i="121"/>
  <c r="L63" i="121"/>
  <c r="K63" i="121"/>
  <c r="I63" i="121"/>
  <c r="H63" i="121"/>
  <c r="G63" i="121"/>
  <c r="F63" i="121"/>
  <c r="E63" i="121" s="1"/>
  <c r="N62" i="121"/>
  <c r="J62" i="121" s="1"/>
  <c r="F62" i="121"/>
  <c r="E62" i="121" s="1"/>
  <c r="N61" i="121"/>
  <c r="E61" i="121"/>
  <c r="O60" i="121"/>
  <c r="M60" i="121"/>
  <c r="L60" i="121"/>
  <c r="K60" i="121"/>
  <c r="I60" i="121"/>
  <c r="H60" i="121"/>
  <c r="G60" i="121"/>
  <c r="N59" i="121"/>
  <c r="J59" i="121" s="1"/>
  <c r="E59" i="121"/>
  <c r="N58" i="121"/>
  <c r="E58" i="121"/>
  <c r="O57" i="121"/>
  <c r="M57" i="121"/>
  <c r="L57" i="121"/>
  <c r="K57" i="121"/>
  <c r="I57" i="121"/>
  <c r="H57" i="121"/>
  <c r="G57" i="121"/>
  <c r="F57" i="121"/>
  <c r="E57" i="121" s="1"/>
  <c r="I55" i="121"/>
  <c r="N54" i="121"/>
  <c r="J54" i="121" s="1"/>
  <c r="P54" i="121" s="1"/>
  <c r="E54" i="121"/>
  <c r="N53" i="121"/>
  <c r="J53" i="121" s="1"/>
  <c r="E53" i="121"/>
  <c r="O52" i="121"/>
  <c r="O51" i="121" s="1"/>
  <c r="F52" i="121"/>
  <c r="F51" i="121" s="1"/>
  <c r="E51" i="121" s="1"/>
  <c r="M51" i="121"/>
  <c r="M41" i="121" s="1"/>
  <c r="M40" i="121" s="1"/>
  <c r="L51" i="121"/>
  <c r="K51" i="121"/>
  <c r="H51" i="121"/>
  <c r="G51" i="121"/>
  <c r="G41" i="121" s="1"/>
  <c r="G40" i="121" s="1"/>
  <c r="N50" i="121"/>
  <c r="J50" i="121" s="1"/>
  <c r="E50" i="121"/>
  <c r="P50" i="121" s="1"/>
  <c r="N49" i="121"/>
  <c r="J49" i="121" s="1"/>
  <c r="E49" i="121"/>
  <c r="M48" i="121"/>
  <c r="L48" i="121"/>
  <c r="K48" i="121"/>
  <c r="H48" i="121"/>
  <c r="G48" i="121"/>
  <c r="F48" i="121"/>
  <c r="E48" i="121" s="1"/>
  <c r="O47" i="121"/>
  <c r="F47" i="121"/>
  <c r="F46" i="121" s="1"/>
  <c r="E46" i="121" s="1"/>
  <c r="K46" i="121"/>
  <c r="N45" i="121"/>
  <c r="K45" i="121"/>
  <c r="F45" i="121"/>
  <c r="E45" i="121" s="1"/>
  <c r="O44" i="121"/>
  <c r="N44" i="121" s="1"/>
  <c r="K44" i="121"/>
  <c r="F44" i="121"/>
  <c r="E44" i="121" s="1"/>
  <c r="N43" i="121"/>
  <c r="K43" i="121"/>
  <c r="F43" i="121"/>
  <c r="E43" i="121" s="1"/>
  <c r="O42" i="121"/>
  <c r="N42" i="121" s="1"/>
  <c r="J42" i="121" s="1"/>
  <c r="F42" i="121"/>
  <c r="E42" i="121" s="1"/>
  <c r="I40" i="121"/>
  <c r="O39" i="121"/>
  <c r="N39" i="121" s="1"/>
  <c r="J39" i="121" s="1"/>
  <c r="E39" i="121"/>
  <c r="N38" i="121"/>
  <c r="E38" i="121"/>
  <c r="E42" i="123" s="1"/>
  <c r="J37" i="121"/>
  <c r="F37" i="121"/>
  <c r="E37" i="121" s="1"/>
  <c r="N36" i="121"/>
  <c r="J36" i="121" s="1"/>
  <c r="G36" i="121"/>
  <c r="G35" i="121" s="1"/>
  <c r="F36" i="121"/>
  <c r="O35" i="121"/>
  <c r="M35" i="121"/>
  <c r="M27" i="121" s="1"/>
  <c r="M26" i="121" s="1"/>
  <c r="L35" i="121"/>
  <c r="K35" i="121"/>
  <c r="H35" i="121"/>
  <c r="O34" i="121"/>
  <c r="N34" i="121" s="1"/>
  <c r="J34" i="121" s="1"/>
  <c r="G34" i="121"/>
  <c r="F34" i="121"/>
  <c r="E34" i="121" s="1"/>
  <c r="N33" i="121"/>
  <c r="L33" i="121"/>
  <c r="K33" i="121"/>
  <c r="J33" i="121" s="1"/>
  <c r="H33" i="121"/>
  <c r="G33" i="121"/>
  <c r="F33" i="121"/>
  <c r="E33" i="121" s="1"/>
  <c r="P33" i="121" s="1"/>
  <c r="O32" i="121"/>
  <c r="N32" i="121" s="1"/>
  <c r="J32" i="121" s="1"/>
  <c r="G32" i="121"/>
  <c r="F32" i="121"/>
  <c r="E32" i="121" s="1"/>
  <c r="O31" i="121"/>
  <c r="N31" i="121" s="1"/>
  <c r="J31" i="121" s="1"/>
  <c r="H31" i="121"/>
  <c r="G31" i="121"/>
  <c r="F31" i="121"/>
  <c r="E31" i="121" s="1"/>
  <c r="P31" i="121" s="1"/>
  <c r="N30" i="121"/>
  <c r="J30" i="121" s="1"/>
  <c r="H30" i="121"/>
  <c r="G30" i="121"/>
  <c r="F30" i="121"/>
  <c r="O29" i="121"/>
  <c r="N29" i="121" s="1"/>
  <c r="L29" i="121"/>
  <c r="L27" i="121" s="1"/>
  <c r="L26" i="121" s="1"/>
  <c r="K29" i="121"/>
  <c r="K27" i="121" s="1"/>
  <c r="K26" i="121" s="1"/>
  <c r="H29" i="121"/>
  <c r="G29" i="121"/>
  <c r="F29" i="121"/>
  <c r="E29" i="121" s="1"/>
  <c r="O28" i="121"/>
  <c r="N28" i="121" s="1"/>
  <c r="J28" i="121" s="1"/>
  <c r="P28" i="121" s="1"/>
  <c r="G28" i="121"/>
  <c r="F28" i="121"/>
  <c r="E28" i="121" s="1"/>
  <c r="I27" i="121"/>
  <c r="O25" i="121"/>
  <c r="N25" i="121" s="1"/>
  <c r="J25" i="121" s="1"/>
  <c r="F25" i="121"/>
  <c r="E25" i="121" s="1"/>
  <c r="P25" i="121" s="1"/>
  <c r="N24" i="121"/>
  <c r="E24" i="121"/>
  <c r="P24" i="121" s="1"/>
  <c r="N23" i="121"/>
  <c r="J23" i="121" s="1"/>
  <c r="F23" i="121"/>
  <c r="E23" i="121" s="1"/>
  <c r="N21" i="121"/>
  <c r="K21" i="121"/>
  <c r="K20" i="121" s="1"/>
  <c r="K13" i="121" s="1"/>
  <c r="E21" i="121"/>
  <c r="O20" i="121"/>
  <c r="N20" i="121"/>
  <c r="E20" i="121"/>
  <c r="N19" i="121"/>
  <c r="J19" i="121" s="1"/>
  <c r="E19" i="121"/>
  <c r="N18" i="121"/>
  <c r="J18" i="121" s="1"/>
  <c r="E18" i="121"/>
  <c r="N17" i="121"/>
  <c r="J17" i="121" s="1"/>
  <c r="F17" i="121"/>
  <c r="E17" i="121" s="1"/>
  <c r="N16" i="121"/>
  <c r="J16" i="121"/>
  <c r="F16" i="121"/>
  <c r="E16" i="121" s="1"/>
  <c r="O15" i="121"/>
  <c r="N15" i="121" s="1"/>
  <c r="J15" i="121" s="1"/>
  <c r="F15" i="121"/>
  <c r="E15" i="121" s="1"/>
  <c r="O14" i="121"/>
  <c r="N14" i="121" s="1"/>
  <c r="J14" i="121" s="1"/>
  <c r="P14" i="121" s="1"/>
  <c r="F14" i="121"/>
  <c r="E14" i="121" s="1"/>
  <c r="M13" i="121"/>
  <c r="M12" i="121" s="1"/>
  <c r="L13" i="121"/>
  <c r="L12" i="121" s="1"/>
  <c r="H13" i="121"/>
  <c r="H12" i="121" s="1"/>
  <c r="G13" i="121"/>
  <c r="G12" i="121" s="1"/>
  <c r="I12" i="121"/>
  <c r="I237" i="98"/>
  <c r="G237" i="98"/>
  <c r="H225" i="98"/>
  <c r="G223" i="98"/>
  <c r="G221" i="98"/>
  <c r="I221" i="98" s="1"/>
  <c r="I217" i="98"/>
  <c r="G217" i="98"/>
  <c r="I216" i="98"/>
  <c r="G216" i="98"/>
  <c r="G213" i="98"/>
  <c r="G211" i="98"/>
  <c r="I210" i="98"/>
  <c r="G210" i="98"/>
  <c r="O27" i="121" l="1"/>
  <c r="O26" i="121" s="1"/>
  <c r="E140" i="121"/>
  <c r="P141" i="121"/>
  <c r="F185" i="121"/>
  <c r="F184" i="121" s="1"/>
  <c r="G145" i="122"/>
  <c r="G144" i="122" s="1"/>
  <c r="P34" i="121"/>
  <c r="P113" i="121"/>
  <c r="H174" i="122"/>
  <c r="H173" i="122" s="1"/>
  <c r="H27" i="121"/>
  <c r="H26" i="121" s="1"/>
  <c r="P92" i="121"/>
  <c r="M116" i="121"/>
  <c r="M115" i="121" s="1"/>
  <c r="J101" i="121"/>
  <c r="P101" i="121" s="1"/>
  <c r="J21" i="121"/>
  <c r="K41" i="121"/>
  <c r="J44" i="121"/>
  <c r="P44" i="121" s="1"/>
  <c r="P49" i="121"/>
  <c r="H41" i="121"/>
  <c r="H40" i="121" s="1"/>
  <c r="E52" i="121"/>
  <c r="P83" i="121"/>
  <c r="P85" i="121"/>
  <c r="N99" i="121"/>
  <c r="J99" i="121" s="1"/>
  <c r="P110" i="121"/>
  <c r="F128" i="121"/>
  <c r="E128" i="121" s="1"/>
  <c r="J148" i="121"/>
  <c r="P148" i="121" s="1"/>
  <c r="P187" i="121"/>
  <c r="J38" i="121"/>
  <c r="N42" i="123"/>
  <c r="P76" i="121"/>
  <c r="P102" i="121"/>
  <c r="F13" i="121"/>
  <c r="P19" i="121"/>
  <c r="F60" i="121"/>
  <c r="E60" i="121" s="1"/>
  <c r="F78" i="121"/>
  <c r="E78" i="121" s="1"/>
  <c r="P78" i="121" s="1"/>
  <c r="P170" i="121"/>
  <c r="P188" i="121"/>
  <c r="E41" i="122"/>
  <c r="N35" i="121"/>
  <c r="J35" i="121" s="1"/>
  <c r="M56" i="121"/>
  <c r="M55" i="121" s="1"/>
  <c r="O13" i="121"/>
  <c r="E47" i="121"/>
  <c r="P47" i="121" s="1"/>
  <c r="L56" i="121"/>
  <c r="L55" i="121" s="1"/>
  <c r="P64" i="121"/>
  <c r="O86" i="121"/>
  <c r="O56" i="121" s="1"/>
  <c r="O55" i="121" s="1"/>
  <c r="P109" i="121"/>
  <c r="F117" i="121"/>
  <c r="P155" i="121"/>
  <c r="F157" i="121"/>
  <c r="F156" i="121" s="1"/>
  <c r="P177" i="121"/>
  <c r="I188" i="122"/>
  <c r="I187" i="122" s="1"/>
  <c r="J198" i="123"/>
  <c r="E72" i="121"/>
  <c r="P72" i="121" s="1"/>
  <c r="F69" i="121"/>
  <c r="E69" i="121" s="1"/>
  <c r="P69" i="121" s="1"/>
  <c r="E121" i="121"/>
  <c r="F119" i="121"/>
  <c r="E119" i="121" s="1"/>
  <c r="N159" i="121"/>
  <c r="O158" i="121"/>
  <c r="O157" i="121" s="1"/>
  <c r="O156" i="121" s="1"/>
  <c r="K104" i="121"/>
  <c r="K103" i="121" s="1"/>
  <c r="F35" i="121"/>
  <c r="E35" i="121" s="1"/>
  <c r="P35" i="121" s="1"/>
  <c r="E36" i="121"/>
  <c r="P36" i="121" s="1"/>
  <c r="N129" i="121"/>
  <c r="O128" i="121"/>
  <c r="P16" i="121"/>
  <c r="P32" i="121"/>
  <c r="N47" i="121"/>
  <c r="J47" i="121" s="1"/>
  <c r="O46" i="121"/>
  <c r="N46" i="121" s="1"/>
  <c r="J46" i="121" s="1"/>
  <c r="P46" i="121" s="1"/>
  <c r="P53" i="121"/>
  <c r="P68" i="121"/>
  <c r="P77" i="121"/>
  <c r="P96" i="121"/>
  <c r="F98" i="121"/>
  <c r="E98" i="121" s="1"/>
  <c r="E99" i="121"/>
  <c r="P99" i="121" s="1"/>
  <c r="P106" i="121"/>
  <c r="I116" i="121"/>
  <c r="I115" i="121" s="1"/>
  <c r="N133" i="121"/>
  <c r="J133" i="121" s="1"/>
  <c r="P133" i="121" s="1"/>
  <c r="O131" i="121"/>
  <c r="E151" i="121"/>
  <c r="F150" i="121"/>
  <c r="E150" i="121" s="1"/>
  <c r="P162" i="121"/>
  <c r="N182" i="121"/>
  <c r="J182" i="121" s="1"/>
  <c r="O181" i="121"/>
  <c r="N181" i="121" s="1"/>
  <c r="N180" i="121" s="1"/>
  <c r="P186" i="121"/>
  <c r="E185" i="121"/>
  <c r="E184" i="121" s="1"/>
  <c r="N41" i="122"/>
  <c r="J41" i="122"/>
  <c r="G27" i="121"/>
  <c r="G26" i="121" s="1"/>
  <c r="P37" i="121"/>
  <c r="P42" i="121"/>
  <c r="K56" i="121"/>
  <c r="K55" i="121" s="1"/>
  <c r="N69" i="121"/>
  <c r="J69" i="121" s="1"/>
  <c r="J71" i="121"/>
  <c r="P71" i="121" s="1"/>
  <c r="P73" i="121"/>
  <c r="P81" i="121"/>
  <c r="N87" i="121"/>
  <c r="G56" i="121"/>
  <c r="G55" i="121" s="1"/>
  <c r="F111" i="121"/>
  <c r="E111" i="121" s="1"/>
  <c r="J112" i="121"/>
  <c r="P112" i="121" s="1"/>
  <c r="N111" i="121"/>
  <c r="J111" i="121" s="1"/>
  <c r="P111" i="121" s="1"/>
  <c r="P161" i="121"/>
  <c r="N172" i="121"/>
  <c r="J172" i="121" s="1"/>
  <c r="O171" i="121"/>
  <c r="P134" i="121"/>
  <c r="M189" i="121"/>
  <c r="I189" i="121"/>
  <c r="P65" i="121"/>
  <c r="P142" i="121"/>
  <c r="P152" i="121"/>
  <c r="P153" i="121"/>
  <c r="P176" i="121"/>
  <c r="P182" i="121"/>
  <c r="P183" i="121"/>
  <c r="I30" i="122"/>
  <c r="P18" i="121"/>
  <c r="J43" i="121"/>
  <c r="P43" i="121" s="1"/>
  <c r="P90" i="121"/>
  <c r="P108" i="121"/>
  <c r="P114" i="121"/>
  <c r="P17" i="121"/>
  <c r="P23" i="121"/>
  <c r="I26" i="121"/>
  <c r="L41" i="121"/>
  <c r="L40" i="121" s="1"/>
  <c r="O41" i="121"/>
  <c r="O40" i="121" s="1"/>
  <c r="P59" i="121"/>
  <c r="P67" i="121"/>
  <c r="P74" i="121"/>
  <c r="P95" i="121"/>
  <c r="H116" i="121"/>
  <c r="H115" i="121" s="1"/>
  <c r="G116" i="121"/>
  <c r="G115" i="121" s="1"/>
  <c r="J123" i="121"/>
  <c r="P146" i="121"/>
  <c r="E157" i="121"/>
  <c r="E156" i="121" s="1"/>
  <c r="L192" i="122"/>
  <c r="L191" i="122" s="1"/>
  <c r="M145" i="122"/>
  <c r="M144" i="122" s="1"/>
  <c r="I145" i="122"/>
  <c r="I144" i="122" s="1"/>
  <c r="L145" i="122"/>
  <c r="L144" i="122" s="1"/>
  <c r="H145" i="122"/>
  <c r="H144" i="122" s="1"/>
  <c r="I174" i="122"/>
  <c r="I173" i="122" s="1"/>
  <c r="M174" i="122"/>
  <c r="M173" i="122" s="1"/>
  <c r="L174" i="122"/>
  <c r="L173" i="122" s="1"/>
  <c r="M192" i="122"/>
  <c r="M191" i="122" s="1"/>
  <c r="J192" i="122"/>
  <c r="J191" i="122" s="1"/>
  <c r="K191" i="122"/>
  <c r="L13" i="122"/>
  <c r="L12" i="122" s="1"/>
  <c r="H13" i="122"/>
  <c r="H12" i="122" s="1"/>
  <c r="G13" i="122"/>
  <c r="G12" i="122" s="1"/>
  <c r="M13" i="122"/>
  <c r="M12" i="122" s="1"/>
  <c r="K170" i="122"/>
  <c r="I29" i="122"/>
  <c r="O12" i="121"/>
  <c r="N27" i="121"/>
  <c r="N26" i="121" s="1"/>
  <c r="P39" i="121"/>
  <c r="P21" i="121"/>
  <c r="J29" i="121"/>
  <c r="P29" i="121" s="1"/>
  <c r="P62" i="121"/>
  <c r="N63" i="121"/>
  <c r="J63" i="121" s="1"/>
  <c r="P63" i="121" s="1"/>
  <c r="E88" i="121"/>
  <c r="P88" i="121" s="1"/>
  <c r="F86" i="121"/>
  <c r="K138" i="121"/>
  <c r="J159" i="121"/>
  <c r="N158" i="121"/>
  <c r="N157" i="121" s="1"/>
  <c r="N156" i="121" s="1"/>
  <c r="N165" i="121"/>
  <c r="O164" i="121"/>
  <c r="O163" i="121" s="1"/>
  <c r="K12" i="121"/>
  <c r="K93" i="121"/>
  <c r="J100" i="121"/>
  <c r="N98" i="121"/>
  <c r="J98" i="121" s="1"/>
  <c r="P98" i="121" s="1"/>
  <c r="P15" i="121"/>
  <c r="E30" i="121"/>
  <c r="P30" i="121" s="1"/>
  <c r="F27" i="121"/>
  <c r="F26" i="121" s="1"/>
  <c r="F41" i="121"/>
  <c r="F40" i="121" s="1"/>
  <c r="P100" i="121"/>
  <c r="E104" i="121"/>
  <c r="P105" i="121"/>
  <c r="N107" i="121"/>
  <c r="O104" i="121"/>
  <c r="O103" i="121" s="1"/>
  <c r="K131" i="121"/>
  <c r="F12" i="121"/>
  <c r="E13" i="121"/>
  <c r="N13" i="121"/>
  <c r="J20" i="121"/>
  <c r="P20" i="121" s="1"/>
  <c r="K40" i="121"/>
  <c r="J45" i="121"/>
  <c r="P45" i="121" s="1"/>
  <c r="N48" i="121"/>
  <c r="J48" i="121" s="1"/>
  <c r="P48" i="121" s="1"/>
  <c r="N52" i="121"/>
  <c r="J58" i="121"/>
  <c r="P58" i="121" s="1"/>
  <c r="N57" i="121"/>
  <c r="J57" i="121" s="1"/>
  <c r="P57" i="121" s="1"/>
  <c r="J61" i="121"/>
  <c r="P61" i="121" s="1"/>
  <c r="N60" i="121"/>
  <c r="J60" i="121" s="1"/>
  <c r="P75" i="121"/>
  <c r="H56" i="121"/>
  <c r="H55" i="121" s="1"/>
  <c r="J87" i="121"/>
  <c r="P87" i="121" s="1"/>
  <c r="N86" i="121"/>
  <c r="J86" i="121" s="1"/>
  <c r="P89" i="121"/>
  <c r="N94" i="121"/>
  <c r="J94" i="121" s="1"/>
  <c r="P94" i="121" s="1"/>
  <c r="O93" i="121"/>
  <c r="N93" i="121" s="1"/>
  <c r="E117" i="121"/>
  <c r="P117" i="121" s="1"/>
  <c r="J168" i="121"/>
  <c r="P168" i="121" s="1"/>
  <c r="N121" i="121"/>
  <c r="J121" i="121" s="1"/>
  <c r="O119" i="121"/>
  <c r="N119" i="121" s="1"/>
  <c r="J119" i="121" s="1"/>
  <c r="P119" i="121" s="1"/>
  <c r="P124" i="121"/>
  <c r="E125" i="121"/>
  <c r="P125" i="121" s="1"/>
  <c r="F123" i="121"/>
  <c r="E123" i="121" s="1"/>
  <c r="P123" i="121" s="1"/>
  <c r="J132" i="121"/>
  <c r="P132" i="121" s="1"/>
  <c r="N131" i="121"/>
  <c r="J157" i="121"/>
  <c r="P160" i="121"/>
  <c r="E169" i="121"/>
  <c r="E172" i="121"/>
  <c r="P172" i="121" s="1"/>
  <c r="F171" i="121"/>
  <c r="E171" i="121" s="1"/>
  <c r="J179" i="121"/>
  <c r="P179" i="121" s="1"/>
  <c r="E41" i="121"/>
  <c r="K116" i="121"/>
  <c r="P120" i="121"/>
  <c r="J130" i="121"/>
  <c r="P130" i="121" s="1"/>
  <c r="N127" i="121"/>
  <c r="N140" i="121"/>
  <c r="J140" i="121" s="1"/>
  <c r="P140" i="121" s="1"/>
  <c r="O139" i="121"/>
  <c r="E144" i="121"/>
  <c r="P144" i="121" s="1"/>
  <c r="F138" i="121"/>
  <c r="F137" i="121" s="1"/>
  <c r="N151" i="121"/>
  <c r="O150" i="121"/>
  <c r="J158" i="121"/>
  <c r="P158" i="121" s="1"/>
  <c r="P159" i="121"/>
  <c r="J185" i="121"/>
  <c r="J184" i="121" s="1"/>
  <c r="K184" i="121"/>
  <c r="N118" i="121"/>
  <c r="J118" i="121" s="1"/>
  <c r="P118" i="121" s="1"/>
  <c r="N175" i="121"/>
  <c r="J175" i="121" s="1"/>
  <c r="P175" i="121" s="1"/>
  <c r="L189" i="121" l="1"/>
  <c r="O180" i="121"/>
  <c r="P60" i="121"/>
  <c r="F116" i="121"/>
  <c r="F115" i="121" s="1"/>
  <c r="H189" i="121"/>
  <c r="J27" i="121"/>
  <c r="J26" i="121" s="1"/>
  <c r="P38" i="121"/>
  <c r="J42" i="123"/>
  <c r="G189" i="121"/>
  <c r="O167" i="121"/>
  <c r="O166" i="121" s="1"/>
  <c r="N171" i="121"/>
  <c r="J129" i="121"/>
  <c r="P129" i="121" s="1"/>
  <c r="N128" i="121"/>
  <c r="J128" i="121" s="1"/>
  <c r="P128" i="121" s="1"/>
  <c r="J181" i="121"/>
  <c r="E27" i="121"/>
  <c r="E26" i="121" s="1"/>
  <c r="F167" i="121"/>
  <c r="F166" i="121" s="1"/>
  <c r="P121" i="121"/>
  <c r="F104" i="121"/>
  <c r="F103" i="121" s="1"/>
  <c r="E12" i="121"/>
  <c r="K137" i="121"/>
  <c r="P185" i="121"/>
  <c r="P184" i="121" s="1"/>
  <c r="J151" i="121"/>
  <c r="P151" i="121" s="1"/>
  <c r="N150" i="121"/>
  <c r="J150" i="121" s="1"/>
  <c r="P150" i="121" s="1"/>
  <c r="O138" i="121"/>
  <c r="O137" i="121" s="1"/>
  <c r="N139" i="121"/>
  <c r="K115" i="121"/>
  <c r="N174" i="121"/>
  <c r="J156" i="121"/>
  <c r="P157" i="121"/>
  <c r="P156" i="121" s="1"/>
  <c r="J180" i="121"/>
  <c r="P181" i="121"/>
  <c r="P180" i="121" s="1"/>
  <c r="N56" i="121"/>
  <c r="J165" i="121"/>
  <c r="P165" i="121" s="1"/>
  <c r="N164" i="121"/>
  <c r="E86" i="121"/>
  <c r="F56" i="121"/>
  <c r="F55" i="121" s="1"/>
  <c r="F189" i="121" s="1"/>
  <c r="P169" i="121"/>
  <c r="E167" i="121"/>
  <c r="N12" i="121"/>
  <c r="J107" i="121"/>
  <c r="P107" i="121" s="1"/>
  <c r="N104" i="121"/>
  <c r="J52" i="121"/>
  <c r="P52" i="121" s="1"/>
  <c r="N51" i="121"/>
  <c r="J127" i="121"/>
  <c r="P127" i="121" s="1"/>
  <c r="N126" i="121"/>
  <c r="J126" i="121" s="1"/>
  <c r="P126" i="121" s="1"/>
  <c r="E138" i="121"/>
  <c r="E40" i="121"/>
  <c r="O116" i="121"/>
  <c r="E116" i="121"/>
  <c r="J13" i="121"/>
  <c r="J131" i="121"/>
  <c r="P131" i="121" s="1"/>
  <c r="E103" i="121"/>
  <c r="J93" i="121"/>
  <c r="P93" i="121" s="1"/>
  <c r="K189" i="121"/>
  <c r="P41" i="122" l="1"/>
  <c r="P42" i="123"/>
  <c r="J171" i="121"/>
  <c r="P171" i="121" s="1"/>
  <c r="N167" i="121"/>
  <c r="P27" i="121"/>
  <c r="P26" i="121" s="1"/>
  <c r="N138" i="121"/>
  <c r="J139" i="121"/>
  <c r="P139" i="121" s="1"/>
  <c r="E115" i="121"/>
  <c r="E137" i="121"/>
  <c r="P86" i="121"/>
  <c r="E56" i="121"/>
  <c r="E189" i="121" s="1"/>
  <c r="N173" i="121"/>
  <c r="J174" i="121"/>
  <c r="P13" i="121"/>
  <c r="J12" i="121"/>
  <c r="J51" i="121"/>
  <c r="P51" i="121" s="1"/>
  <c r="N41" i="121"/>
  <c r="O115" i="121"/>
  <c r="O189" i="121"/>
  <c r="Q189" i="121" s="1"/>
  <c r="N103" i="121"/>
  <c r="J104" i="121"/>
  <c r="E166" i="121"/>
  <c r="J164" i="121"/>
  <c r="N163" i="121"/>
  <c r="N55" i="121"/>
  <c r="J56" i="121"/>
  <c r="J55" i="121" s="1"/>
  <c r="N116" i="121"/>
  <c r="N166" i="121" l="1"/>
  <c r="J167" i="121"/>
  <c r="E55" i="121"/>
  <c r="P56" i="121"/>
  <c r="P55" i="121" s="1"/>
  <c r="N115" i="121"/>
  <c r="J116" i="121"/>
  <c r="N189" i="121"/>
  <c r="J103" i="121"/>
  <c r="P104" i="121"/>
  <c r="P103" i="121" s="1"/>
  <c r="N40" i="121"/>
  <c r="J41" i="121"/>
  <c r="E199" i="121"/>
  <c r="P12" i="121"/>
  <c r="J163" i="121"/>
  <c r="P164" i="121"/>
  <c r="P163" i="121" s="1"/>
  <c r="P174" i="121"/>
  <c r="P173" i="121" s="1"/>
  <c r="J173" i="121"/>
  <c r="N137" i="121"/>
  <c r="J138" i="121"/>
  <c r="J166" i="121" l="1"/>
  <c r="P167" i="121"/>
  <c r="P166" i="121" s="1"/>
  <c r="J115" i="121"/>
  <c r="J189" i="121"/>
  <c r="P116" i="121"/>
  <c r="J137" i="121"/>
  <c r="P138" i="121"/>
  <c r="P137" i="121" s="1"/>
  <c r="J40" i="121"/>
  <c r="P41" i="121"/>
  <c r="P40" i="121" s="1"/>
  <c r="P115" i="121" l="1"/>
  <c r="P189" i="121"/>
  <c r="F199" i="121" s="1"/>
  <c r="P197" i="121" l="1"/>
  <c r="D25" i="108" l="1"/>
  <c r="D28" i="108"/>
  <c r="J28" i="98" l="1"/>
  <c r="J23" i="98"/>
  <c r="O35" i="97"/>
  <c r="O35" i="123" s="1"/>
  <c r="F35" i="97"/>
  <c r="F35" i="123" s="1"/>
  <c r="O33" i="97"/>
  <c r="O33" i="123" s="1"/>
  <c r="F33" i="97"/>
  <c r="F33" i="123" s="1"/>
  <c r="O146" i="123" l="1"/>
  <c r="F130" i="123"/>
  <c r="O174" i="97"/>
  <c r="O175" i="123" s="1"/>
  <c r="I233" i="98"/>
  <c r="J233" i="98"/>
  <c r="F156" i="97"/>
  <c r="F157" i="123" s="1"/>
  <c r="F163" i="123" l="1"/>
  <c r="J140" i="98" l="1"/>
  <c r="J139" i="98"/>
  <c r="O166" i="97"/>
  <c r="O167" i="123" s="1"/>
  <c r="I138" i="120"/>
  <c r="F139" i="120"/>
  <c r="G139" i="120"/>
  <c r="H139" i="120"/>
  <c r="I139" i="120"/>
  <c r="K139" i="120"/>
  <c r="L139" i="120"/>
  <c r="M139" i="120"/>
  <c r="O139" i="120"/>
  <c r="F131" i="97"/>
  <c r="F132" i="123" s="1"/>
  <c r="J100" i="98"/>
  <c r="N139" i="97"/>
  <c r="J139" i="97" s="1"/>
  <c r="E139" i="97"/>
  <c r="O138" i="97"/>
  <c r="O139" i="123" s="1"/>
  <c r="M138" i="97"/>
  <c r="L138" i="97"/>
  <c r="K138" i="97"/>
  <c r="H138" i="97"/>
  <c r="H139" i="123" s="1"/>
  <c r="G138" i="97"/>
  <c r="F138" i="97"/>
  <c r="N134" i="97"/>
  <c r="N135" i="123" s="1"/>
  <c r="G13" i="104"/>
  <c r="O28" i="97"/>
  <c r="O28" i="123" s="1"/>
  <c r="N138" i="97" l="1"/>
  <c r="H138" i="104"/>
  <c r="J140" i="123"/>
  <c r="G138" i="120"/>
  <c r="G139" i="123"/>
  <c r="M138" i="120"/>
  <c r="M139" i="123"/>
  <c r="N138" i="120"/>
  <c r="N139" i="123"/>
  <c r="N139" i="120"/>
  <c r="N140" i="123"/>
  <c r="K138" i="120"/>
  <c r="K139" i="123"/>
  <c r="E138" i="97"/>
  <c r="F139" i="123"/>
  <c r="L138" i="120"/>
  <c r="L139" i="123"/>
  <c r="E139" i="120"/>
  <c r="E140" i="123"/>
  <c r="H138" i="120"/>
  <c r="J139" i="120"/>
  <c r="O138" i="120"/>
  <c r="F138" i="120"/>
  <c r="G137" i="104"/>
  <c r="G138" i="104"/>
  <c r="I138" i="104" s="1"/>
  <c r="J138" i="97"/>
  <c r="P139" i="97"/>
  <c r="P139" i="120" l="1"/>
  <c r="P140" i="123"/>
  <c r="P138" i="97"/>
  <c r="J139" i="123"/>
  <c r="E138" i="120"/>
  <c r="E139" i="123"/>
  <c r="J138" i="120"/>
  <c r="H137" i="104"/>
  <c r="P138" i="120" l="1"/>
  <c r="P139" i="123"/>
  <c r="I137" i="104"/>
  <c r="J93" i="98"/>
  <c r="F128" i="97"/>
  <c r="F129" i="123" s="1"/>
  <c r="O128" i="97"/>
  <c r="O129" i="123" s="1"/>
  <c r="F136" i="97" l="1"/>
  <c r="F137" i="123" s="1"/>
  <c r="F146" i="97"/>
  <c r="F147" i="123" s="1"/>
  <c r="D102" i="105" l="1"/>
  <c r="C108" i="105"/>
  <c r="O46" i="123" l="1"/>
  <c r="J16" i="98"/>
  <c r="H8" i="104"/>
  <c r="J9" i="98"/>
  <c r="O15" i="97"/>
  <c r="O15" i="123" s="1"/>
  <c r="H7" i="104"/>
  <c r="J8" i="98"/>
  <c r="O14" i="97"/>
  <c r="O14" i="123" s="1"/>
  <c r="F15" i="97"/>
  <c r="F15" i="123" s="1"/>
  <c r="G15" i="97"/>
  <c r="G15" i="123" s="1"/>
  <c r="F14" i="97"/>
  <c r="F14" i="123" s="1"/>
  <c r="G14" i="97"/>
  <c r="G14" i="123" s="1"/>
  <c r="F172" i="120" l="1"/>
  <c r="G172" i="120"/>
  <c r="H172" i="120"/>
  <c r="I172" i="120"/>
  <c r="K172" i="120"/>
  <c r="L172" i="120"/>
  <c r="M172" i="120"/>
  <c r="F173" i="120"/>
  <c r="G173" i="120"/>
  <c r="H173" i="120"/>
  <c r="I173" i="120"/>
  <c r="K173" i="120"/>
  <c r="L173" i="120"/>
  <c r="M173" i="120"/>
  <c r="F174" i="120"/>
  <c r="G174" i="120"/>
  <c r="H174" i="120"/>
  <c r="I174" i="120"/>
  <c r="K174" i="120"/>
  <c r="L174" i="120"/>
  <c r="M174" i="120"/>
  <c r="F175" i="120"/>
  <c r="G175" i="120"/>
  <c r="H175" i="120"/>
  <c r="I175" i="120"/>
  <c r="K175" i="120"/>
  <c r="L175" i="120"/>
  <c r="M175" i="120"/>
  <c r="N129" i="97"/>
  <c r="N130" i="123" s="1"/>
  <c r="H129" i="97"/>
  <c r="H130" i="123" s="1"/>
  <c r="G129" i="97"/>
  <c r="G130" i="123" s="1"/>
  <c r="J103" i="98"/>
  <c r="O142" i="97"/>
  <c r="O143" i="123" s="1"/>
  <c r="F142" i="97"/>
  <c r="F143" i="123" s="1"/>
  <c r="F127" i="97"/>
  <c r="F128" i="123" s="1"/>
  <c r="J92" i="98"/>
  <c r="I84" i="98"/>
  <c r="I83" i="98"/>
  <c r="J82" i="98"/>
  <c r="J75" i="98"/>
  <c r="F120" i="97"/>
  <c r="F121" i="123" s="1"/>
  <c r="O116" i="97"/>
  <c r="O117" i="123" s="1"/>
  <c r="O112" i="97"/>
  <c r="O113" i="123" s="1"/>
  <c r="J231" i="98"/>
  <c r="J238" i="98"/>
  <c r="J230" i="98"/>
  <c r="J228" i="98"/>
  <c r="J227" i="98"/>
  <c r="J226" i="98"/>
  <c r="J232" i="98"/>
  <c r="J225" i="98"/>
  <c r="J237" i="98"/>
  <c r="I224" i="98"/>
  <c r="J224" i="98"/>
  <c r="J217" i="98"/>
  <c r="J216" i="98"/>
  <c r="J215" i="98"/>
  <c r="I214" i="98"/>
  <c r="J214" i="98"/>
  <c r="I212" i="98"/>
  <c r="J212" i="98"/>
  <c r="J210" i="98"/>
  <c r="J211" i="98"/>
  <c r="I208" i="98"/>
  <c r="J208" i="98"/>
  <c r="I223" i="98"/>
  <c r="H223" i="98" s="1"/>
  <c r="J223" i="98"/>
  <c r="H221" i="98"/>
  <c r="J221" i="98"/>
  <c r="J219" i="98"/>
  <c r="J220" i="98"/>
  <c r="O175" i="97"/>
  <c r="O172" i="97"/>
  <c r="O173" i="123" s="1"/>
  <c r="O173" i="97"/>
  <c r="O174" i="123" s="1"/>
  <c r="O157" i="97"/>
  <c r="O158" i="123" s="1"/>
  <c r="O155" i="123"/>
  <c r="F156" i="123"/>
  <c r="F165" i="97"/>
  <c r="F166" i="123" s="1"/>
  <c r="O90" i="97"/>
  <c r="O91" i="123" s="1"/>
  <c r="I43" i="120"/>
  <c r="F57" i="97"/>
  <c r="F58" i="123" s="1"/>
  <c r="F48" i="97"/>
  <c r="F49" i="123" s="1"/>
  <c r="J41" i="98"/>
  <c r="O47" i="97"/>
  <c r="O48" i="123" s="1"/>
  <c r="F47" i="97"/>
  <c r="F48" i="123" s="1"/>
  <c r="F46" i="123"/>
  <c r="J17" i="98"/>
  <c r="O29" i="97"/>
  <c r="O29" i="123" s="1"/>
  <c r="O175" i="120" l="1"/>
  <c r="O176" i="123"/>
  <c r="M37" i="97"/>
  <c r="M37" i="123" s="1"/>
  <c r="L37" i="97"/>
  <c r="L37" i="123" s="1"/>
  <c r="K37" i="97"/>
  <c r="K37" i="123" s="1"/>
  <c r="J40" i="98" l="1"/>
  <c r="O46" i="97"/>
  <c r="O47" i="123" s="1"/>
  <c r="O160" i="97" l="1"/>
  <c r="F107" i="97" l="1"/>
  <c r="F108" i="123" s="1"/>
  <c r="I106" i="120" l="1"/>
  <c r="K106" i="120"/>
  <c r="L106" i="120"/>
  <c r="M106" i="120"/>
  <c r="G107" i="120"/>
  <c r="H107" i="120"/>
  <c r="I107" i="120"/>
  <c r="K107" i="120"/>
  <c r="L107" i="120"/>
  <c r="M107" i="120"/>
  <c r="I108" i="120"/>
  <c r="F109" i="120"/>
  <c r="G109" i="120"/>
  <c r="H109" i="120"/>
  <c r="I109" i="120"/>
  <c r="K109" i="120"/>
  <c r="L109" i="120"/>
  <c r="M109" i="120"/>
  <c r="I105" i="120"/>
  <c r="G98" i="120"/>
  <c r="H98" i="120"/>
  <c r="I98" i="120"/>
  <c r="K98" i="120"/>
  <c r="L98" i="120"/>
  <c r="M98" i="120"/>
  <c r="O98" i="120"/>
  <c r="E99" i="120"/>
  <c r="F99" i="120"/>
  <c r="G99" i="120"/>
  <c r="H99" i="120"/>
  <c r="I99" i="120"/>
  <c r="L99" i="120"/>
  <c r="M99" i="120"/>
  <c r="J169" i="98" l="1"/>
  <c r="I47" i="104"/>
  <c r="G46" i="104"/>
  <c r="G56" i="104" l="1"/>
  <c r="G55" i="104"/>
  <c r="G45" i="104"/>
  <c r="G43" i="104"/>
  <c r="G92" i="120"/>
  <c r="H92" i="120"/>
  <c r="I92" i="120"/>
  <c r="K92" i="120"/>
  <c r="L92" i="120"/>
  <c r="M92" i="120"/>
  <c r="O92" i="120"/>
  <c r="G93" i="120"/>
  <c r="H93" i="120"/>
  <c r="I93" i="120"/>
  <c r="K93" i="120"/>
  <c r="L93" i="120"/>
  <c r="M93" i="120"/>
  <c r="O93" i="120"/>
  <c r="F94" i="120"/>
  <c r="G94" i="120"/>
  <c r="H94" i="120"/>
  <c r="I94" i="120"/>
  <c r="K94" i="120"/>
  <c r="L94" i="120"/>
  <c r="M94" i="120"/>
  <c r="O94" i="120"/>
  <c r="F95" i="120"/>
  <c r="G95" i="120"/>
  <c r="H95" i="120"/>
  <c r="I95" i="120"/>
  <c r="K95" i="120"/>
  <c r="L95" i="120"/>
  <c r="M95" i="120"/>
  <c r="O95" i="120"/>
  <c r="F96" i="120"/>
  <c r="I96" i="120"/>
  <c r="I97" i="120"/>
  <c r="F88" i="120"/>
  <c r="G88" i="120"/>
  <c r="H88" i="120"/>
  <c r="I88" i="120"/>
  <c r="K88" i="120"/>
  <c r="L88" i="120"/>
  <c r="M88" i="120"/>
  <c r="O88" i="120"/>
  <c r="I90" i="120"/>
  <c r="K90" i="120"/>
  <c r="L90" i="120"/>
  <c r="M90" i="120"/>
  <c r="I91" i="120"/>
  <c r="K91" i="120"/>
  <c r="L91" i="120"/>
  <c r="M91" i="120"/>
  <c r="G84" i="120"/>
  <c r="H84" i="120"/>
  <c r="I84" i="120"/>
  <c r="K84" i="120"/>
  <c r="L84" i="120"/>
  <c r="M84" i="120"/>
  <c r="O84" i="120"/>
  <c r="G85" i="120"/>
  <c r="H85" i="120"/>
  <c r="I85" i="120"/>
  <c r="K85" i="120"/>
  <c r="L85" i="120"/>
  <c r="M85" i="120"/>
  <c r="N85" i="120"/>
  <c r="O85" i="120"/>
  <c r="G86" i="120"/>
  <c r="H86" i="120"/>
  <c r="I86" i="120"/>
  <c r="K86" i="120"/>
  <c r="L86" i="120"/>
  <c r="M86" i="120"/>
  <c r="N86" i="120"/>
  <c r="O86" i="120"/>
  <c r="F87" i="120"/>
  <c r="G87" i="120"/>
  <c r="H87" i="120"/>
  <c r="I87" i="120"/>
  <c r="K87" i="120"/>
  <c r="L87" i="120"/>
  <c r="M87" i="120"/>
  <c r="N87" i="120"/>
  <c r="O87" i="120"/>
  <c r="G83" i="120"/>
  <c r="H83" i="120"/>
  <c r="I83" i="120"/>
  <c r="K83" i="120"/>
  <c r="L83" i="120"/>
  <c r="M83" i="120"/>
  <c r="O83" i="120"/>
  <c r="N81" i="120"/>
  <c r="J81" i="120" s="1"/>
  <c r="F78" i="120"/>
  <c r="G78" i="120"/>
  <c r="H78" i="120"/>
  <c r="I78" i="120"/>
  <c r="K78" i="120"/>
  <c r="L78" i="120"/>
  <c r="M78" i="120"/>
  <c r="O78" i="120"/>
  <c r="F79" i="120"/>
  <c r="G79" i="120"/>
  <c r="H79" i="120"/>
  <c r="I79" i="120"/>
  <c r="K79" i="120"/>
  <c r="L79" i="120"/>
  <c r="M79" i="120"/>
  <c r="O79" i="120"/>
  <c r="F80" i="120"/>
  <c r="G80" i="120"/>
  <c r="H80" i="120"/>
  <c r="I80" i="120"/>
  <c r="K80" i="120"/>
  <c r="L80" i="120"/>
  <c r="M80" i="120"/>
  <c r="O80" i="120"/>
  <c r="F69" i="120"/>
  <c r="G69" i="120"/>
  <c r="H69" i="120"/>
  <c r="I69" i="120"/>
  <c r="K69" i="120"/>
  <c r="L69" i="120"/>
  <c r="M69" i="120"/>
  <c r="O69" i="120"/>
  <c r="F70" i="120"/>
  <c r="G70" i="120"/>
  <c r="H70" i="120"/>
  <c r="I70" i="120"/>
  <c r="K70" i="120"/>
  <c r="L70" i="120"/>
  <c r="M70" i="120"/>
  <c r="O70" i="120"/>
  <c r="G71" i="120"/>
  <c r="H71" i="120"/>
  <c r="I71" i="120"/>
  <c r="K71" i="120"/>
  <c r="L71" i="120"/>
  <c r="M71" i="120"/>
  <c r="O71" i="120"/>
  <c r="F73" i="120"/>
  <c r="G73" i="120"/>
  <c r="H73" i="120"/>
  <c r="I73" i="120"/>
  <c r="K73" i="120"/>
  <c r="L73" i="120"/>
  <c r="M73" i="120"/>
  <c r="O73" i="120"/>
  <c r="F74" i="120"/>
  <c r="G74" i="120"/>
  <c r="H74" i="120"/>
  <c r="I74" i="120"/>
  <c r="K74" i="120"/>
  <c r="L74" i="120"/>
  <c r="M74" i="120"/>
  <c r="O74" i="120"/>
  <c r="G75" i="120"/>
  <c r="H75" i="120"/>
  <c r="I75" i="120"/>
  <c r="K75" i="120"/>
  <c r="L75" i="120"/>
  <c r="M75" i="120"/>
  <c r="O75" i="120"/>
  <c r="F76" i="120"/>
  <c r="G76" i="120"/>
  <c r="H76" i="120"/>
  <c r="I76" i="120"/>
  <c r="K76" i="120"/>
  <c r="L76" i="120"/>
  <c r="M76" i="120"/>
  <c r="O76" i="120"/>
  <c r="F77" i="120"/>
  <c r="G77" i="120"/>
  <c r="H77" i="120"/>
  <c r="I77" i="120"/>
  <c r="K77" i="120"/>
  <c r="L77" i="120"/>
  <c r="M77" i="120"/>
  <c r="O77" i="120"/>
  <c r="F67" i="120"/>
  <c r="G67" i="120"/>
  <c r="H67" i="120"/>
  <c r="I67" i="120"/>
  <c r="K67" i="120"/>
  <c r="L67" i="120"/>
  <c r="M67" i="120"/>
  <c r="O67" i="120"/>
  <c r="G68" i="120"/>
  <c r="H68" i="120"/>
  <c r="I68" i="120"/>
  <c r="K68" i="120"/>
  <c r="L68" i="120"/>
  <c r="M68" i="120"/>
  <c r="O68" i="120"/>
  <c r="F61" i="120"/>
  <c r="G61" i="120"/>
  <c r="H61" i="120"/>
  <c r="I61" i="120"/>
  <c r="K61" i="120"/>
  <c r="L61" i="120"/>
  <c r="M61" i="120"/>
  <c r="O61" i="120"/>
  <c r="F62" i="120"/>
  <c r="G62" i="120"/>
  <c r="H62" i="120"/>
  <c r="I62" i="120"/>
  <c r="K62" i="120"/>
  <c r="L62" i="120"/>
  <c r="M62" i="120"/>
  <c r="O62" i="120"/>
  <c r="F64" i="120"/>
  <c r="G64" i="120"/>
  <c r="H64" i="120"/>
  <c r="I64" i="120"/>
  <c r="K64" i="120"/>
  <c r="L64" i="120"/>
  <c r="M64" i="120"/>
  <c r="O64" i="120"/>
  <c r="G65" i="120"/>
  <c r="H65" i="120"/>
  <c r="I65" i="120"/>
  <c r="K65" i="120"/>
  <c r="L65" i="120"/>
  <c r="M65" i="120"/>
  <c r="O65" i="120"/>
  <c r="G103" i="104"/>
  <c r="F68" i="97"/>
  <c r="J72" i="98"/>
  <c r="O109" i="97"/>
  <c r="F71" i="97"/>
  <c r="F98" i="97"/>
  <c r="J67" i="98"/>
  <c r="O107" i="97"/>
  <c r="J70" i="98"/>
  <c r="G70" i="98"/>
  <c r="H70" i="98" s="1"/>
  <c r="J69" i="98"/>
  <c r="G69" i="98"/>
  <c r="H69" i="98" s="1"/>
  <c r="H68" i="98"/>
  <c r="F98" i="120" l="1"/>
  <c r="F99" i="123"/>
  <c r="F68" i="120"/>
  <c r="F69" i="123"/>
  <c r="F71" i="120"/>
  <c r="F72" i="123"/>
  <c r="O107" i="120"/>
  <c r="O108" i="123"/>
  <c r="O109" i="120"/>
  <c r="O110" i="123"/>
  <c r="J66" i="98"/>
  <c r="J65" i="98" s="1"/>
  <c r="O106" i="97"/>
  <c r="O107" i="123" s="1"/>
  <c r="J158" i="98" l="1"/>
  <c r="F106" i="97"/>
  <c r="F107" i="123" s="1"/>
  <c r="H90" i="97"/>
  <c r="G90" i="97"/>
  <c r="F90" i="97"/>
  <c r="F91" i="123" s="1"/>
  <c r="H90" i="120" l="1"/>
  <c r="H91" i="123"/>
  <c r="G90" i="120"/>
  <c r="G91" i="123"/>
  <c r="G161" i="120"/>
  <c r="H161" i="120"/>
  <c r="I161" i="120"/>
  <c r="L161" i="120"/>
  <c r="M161" i="120"/>
  <c r="F162" i="120"/>
  <c r="G162" i="120"/>
  <c r="H162" i="120"/>
  <c r="I162" i="120"/>
  <c r="K162" i="120"/>
  <c r="L162" i="120"/>
  <c r="M162" i="120"/>
  <c r="O162" i="120"/>
  <c r="G163" i="120"/>
  <c r="H163" i="120"/>
  <c r="I163" i="120"/>
  <c r="L163" i="120"/>
  <c r="M163" i="120"/>
  <c r="G164" i="120"/>
  <c r="H164" i="120"/>
  <c r="I164" i="120"/>
  <c r="K164" i="120"/>
  <c r="L164" i="120"/>
  <c r="M164" i="120"/>
  <c r="G165" i="120"/>
  <c r="H165" i="120"/>
  <c r="I165" i="120"/>
  <c r="K165" i="120"/>
  <c r="L165" i="120"/>
  <c r="M165" i="120"/>
  <c r="F166" i="120"/>
  <c r="G166" i="120"/>
  <c r="H166" i="120"/>
  <c r="I166" i="120"/>
  <c r="K166" i="120"/>
  <c r="L166" i="120"/>
  <c r="M166" i="120"/>
  <c r="F167" i="120"/>
  <c r="G167" i="120"/>
  <c r="H167" i="120"/>
  <c r="I167" i="120"/>
  <c r="K167" i="120"/>
  <c r="L167" i="120"/>
  <c r="M167" i="120"/>
  <c r="O167" i="120"/>
  <c r="H168" i="120"/>
  <c r="I168" i="120"/>
  <c r="K168" i="120"/>
  <c r="L168" i="120"/>
  <c r="M168" i="120"/>
  <c r="O168" i="120"/>
  <c r="G152" i="120"/>
  <c r="H152" i="120"/>
  <c r="I152" i="120"/>
  <c r="K152" i="120"/>
  <c r="L152" i="120"/>
  <c r="M152" i="120"/>
  <c r="O152" i="120"/>
  <c r="F153" i="120"/>
  <c r="G153" i="120"/>
  <c r="H153" i="120"/>
  <c r="I153" i="120"/>
  <c r="K153" i="120"/>
  <c r="L153" i="120"/>
  <c r="M153" i="120"/>
  <c r="F154" i="120"/>
  <c r="G154" i="120"/>
  <c r="H154" i="120"/>
  <c r="I154" i="120"/>
  <c r="K154" i="120"/>
  <c r="L154" i="120"/>
  <c r="M154" i="120"/>
  <c r="G155" i="120"/>
  <c r="H155" i="120"/>
  <c r="I155" i="120"/>
  <c r="K155" i="120"/>
  <c r="L155" i="120"/>
  <c r="M155" i="120"/>
  <c r="O155" i="120"/>
  <c r="G156" i="120"/>
  <c r="H156" i="120"/>
  <c r="I156" i="120"/>
  <c r="K156" i="120"/>
  <c r="L156" i="120"/>
  <c r="M156" i="120"/>
  <c r="F157" i="120"/>
  <c r="G157" i="120"/>
  <c r="H157" i="120"/>
  <c r="I157" i="120"/>
  <c r="K157" i="120"/>
  <c r="L157" i="120"/>
  <c r="M157" i="120"/>
  <c r="F158" i="120"/>
  <c r="G158" i="120"/>
  <c r="H158" i="120"/>
  <c r="I158" i="120"/>
  <c r="K158" i="120"/>
  <c r="L158" i="120"/>
  <c r="M158" i="120"/>
  <c r="O158" i="120"/>
  <c r="E158" i="120"/>
  <c r="G149" i="120"/>
  <c r="H149" i="120"/>
  <c r="I149" i="120"/>
  <c r="I148" i="120" s="1"/>
  <c r="I147" i="120" s="1"/>
  <c r="L149" i="120"/>
  <c r="M149" i="120"/>
  <c r="G150" i="120"/>
  <c r="H150" i="120"/>
  <c r="I150" i="120"/>
  <c r="K150" i="120"/>
  <c r="L150" i="120"/>
  <c r="M150" i="120"/>
  <c r="I158" i="104"/>
  <c r="J136" i="98"/>
  <c r="J135" i="98"/>
  <c r="J202" i="98"/>
  <c r="J162" i="98"/>
  <c r="J173" i="98"/>
  <c r="J167" i="98"/>
  <c r="J160" i="98"/>
  <c r="J168" i="98"/>
  <c r="J151" i="98"/>
  <c r="J150" i="98"/>
  <c r="J145" i="98"/>
  <c r="J146" i="98"/>
  <c r="J119" i="98"/>
  <c r="J117" i="98"/>
  <c r="J116" i="98"/>
  <c r="I115" i="98"/>
  <c r="J115" i="98"/>
  <c r="J114" i="98"/>
  <c r="J118" i="98"/>
  <c r="J110" i="98"/>
  <c r="J109" i="98"/>
  <c r="J112" i="98"/>
  <c r="L148" i="120" l="1"/>
  <c r="L147" i="120" s="1"/>
  <c r="H148" i="120"/>
  <c r="H147" i="120" s="1"/>
  <c r="M148" i="120"/>
  <c r="M147" i="120" s="1"/>
  <c r="J128" i="98"/>
  <c r="G159" i="120"/>
  <c r="H159" i="120"/>
  <c r="I159" i="120"/>
  <c r="L159" i="120"/>
  <c r="M159" i="120"/>
  <c r="F160" i="120"/>
  <c r="G160" i="120"/>
  <c r="H160" i="120"/>
  <c r="I160" i="120"/>
  <c r="K160" i="120"/>
  <c r="L160" i="120"/>
  <c r="M160" i="120"/>
  <c r="O160" i="120"/>
  <c r="F151" i="120"/>
  <c r="G151" i="120"/>
  <c r="H151" i="120"/>
  <c r="I151" i="120"/>
  <c r="K151" i="120"/>
  <c r="L151" i="120"/>
  <c r="M151" i="120"/>
  <c r="O151" i="120"/>
  <c r="N160" i="97"/>
  <c r="J160" i="97" s="1"/>
  <c r="E160" i="97"/>
  <c r="O159" i="97"/>
  <c r="N159" i="97" s="1"/>
  <c r="N159" i="120" s="1"/>
  <c r="K159" i="97"/>
  <c r="K159" i="120" s="1"/>
  <c r="F159" i="97"/>
  <c r="E159" i="97" s="1"/>
  <c r="E159" i="120" s="1"/>
  <c r="O165" i="97"/>
  <c r="O166" i="123" s="1"/>
  <c r="O164" i="97"/>
  <c r="O165" i="123" s="1"/>
  <c r="O153" i="97"/>
  <c r="O150" i="97"/>
  <c r="O151" i="123" s="1"/>
  <c r="O156" i="97"/>
  <c r="O157" i="123" s="1"/>
  <c r="F152" i="97"/>
  <c r="N151" i="97"/>
  <c r="E151" i="97"/>
  <c r="F150" i="97"/>
  <c r="F151" i="123" s="1"/>
  <c r="F152" i="120" l="1"/>
  <c r="F153" i="123"/>
  <c r="G151" i="104"/>
  <c r="E152" i="123"/>
  <c r="J151" i="97"/>
  <c r="J151" i="120" s="1"/>
  <c r="N152" i="123"/>
  <c r="O153" i="120"/>
  <c r="O154" i="123"/>
  <c r="N151" i="120"/>
  <c r="E151" i="120"/>
  <c r="F159" i="120"/>
  <c r="E160" i="120"/>
  <c r="O159" i="120"/>
  <c r="N160" i="120"/>
  <c r="J160" i="120"/>
  <c r="P160" i="97"/>
  <c r="P160" i="120" s="1"/>
  <c r="J159" i="97"/>
  <c r="G46" i="120"/>
  <c r="H46" i="120"/>
  <c r="I46" i="120"/>
  <c r="L46" i="120"/>
  <c r="M46" i="120"/>
  <c r="O46" i="120"/>
  <c r="G47" i="120"/>
  <c r="H47" i="120"/>
  <c r="I47" i="120"/>
  <c r="L47" i="120"/>
  <c r="M47" i="120"/>
  <c r="G48" i="120"/>
  <c r="H48" i="120"/>
  <c r="I48" i="120"/>
  <c r="L48" i="120"/>
  <c r="M48" i="120"/>
  <c r="G49" i="120"/>
  <c r="H49" i="120"/>
  <c r="I49" i="120"/>
  <c r="L49" i="120"/>
  <c r="M49" i="120"/>
  <c r="G50" i="120"/>
  <c r="H50" i="120"/>
  <c r="I50" i="120"/>
  <c r="K50" i="120"/>
  <c r="L50" i="120"/>
  <c r="M50" i="120"/>
  <c r="I51" i="120"/>
  <c r="O51" i="120"/>
  <c r="G52" i="120"/>
  <c r="H52" i="120"/>
  <c r="I52" i="120"/>
  <c r="K52" i="120"/>
  <c r="L52" i="120"/>
  <c r="M52" i="120"/>
  <c r="O52" i="120"/>
  <c r="G53" i="120"/>
  <c r="H53" i="120"/>
  <c r="I53" i="120"/>
  <c r="K53" i="120"/>
  <c r="L53" i="120"/>
  <c r="M53" i="120"/>
  <c r="O53" i="120"/>
  <c r="I54" i="120"/>
  <c r="G55" i="120"/>
  <c r="H55" i="120"/>
  <c r="I55" i="120"/>
  <c r="K55" i="120"/>
  <c r="L55" i="120"/>
  <c r="M55" i="120"/>
  <c r="F56" i="120"/>
  <c r="G56" i="120"/>
  <c r="H56" i="120"/>
  <c r="I56" i="120"/>
  <c r="K56" i="120"/>
  <c r="L56" i="120"/>
  <c r="M56" i="120"/>
  <c r="O56" i="120"/>
  <c r="F57" i="120"/>
  <c r="G57" i="120"/>
  <c r="H57" i="120"/>
  <c r="I57" i="120"/>
  <c r="K57" i="120"/>
  <c r="L57" i="120"/>
  <c r="M57" i="120"/>
  <c r="G45" i="120"/>
  <c r="H45" i="120"/>
  <c r="I45" i="120"/>
  <c r="K45" i="120"/>
  <c r="L45" i="120"/>
  <c r="M45" i="120"/>
  <c r="J51" i="98"/>
  <c r="O55" i="97"/>
  <c r="O56" i="123" s="1"/>
  <c r="F55" i="97"/>
  <c r="F52" i="97"/>
  <c r="J48" i="98"/>
  <c r="J47" i="98" s="1"/>
  <c r="O50" i="97"/>
  <c r="O51" i="123" s="1"/>
  <c r="F50" i="97"/>
  <c r="J46" i="98"/>
  <c r="O48" i="97"/>
  <c r="F141" i="97"/>
  <c r="F142" i="123" s="1"/>
  <c r="J45" i="98"/>
  <c r="J44" i="98"/>
  <c r="N47" i="97"/>
  <c r="N48" i="123" s="1"/>
  <c r="K47" i="97"/>
  <c r="K48" i="123" s="1"/>
  <c r="G168" i="97"/>
  <c r="N46" i="97"/>
  <c r="N47" i="123" s="1"/>
  <c r="K46" i="97"/>
  <c r="K47" i="123" s="1"/>
  <c r="F46" i="97"/>
  <c r="F199" i="120"/>
  <c r="G199" i="120"/>
  <c r="H199" i="120"/>
  <c r="I199" i="120"/>
  <c r="K199" i="120"/>
  <c r="L199" i="120"/>
  <c r="M199" i="120"/>
  <c r="N199" i="120"/>
  <c r="O199" i="120"/>
  <c r="G200" i="120"/>
  <c r="H200" i="120"/>
  <c r="I200" i="120"/>
  <c r="K200" i="120"/>
  <c r="L200" i="120"/>
  <c r="M200" i="120"/>
  <c r="N200" i="120"/>
  <c r="O200" i="120"/>
  <c r="F201" i="120"/>
  <c r="G201" i="120"/>
  <c r="H201" i="120"/>
  <c r="I201" i="120"/>
  <c r="K201" i="120"/>
  <c r="L201" i="120"/>
  <c r="M201" i="120"/>
  <c r="N201" i="120"/>
  <c r="O201" i="120"/>
  <c r="F195" i="120"/>
  <c r="G195" i="120"/>
  <c r="H195" i="120"/>
  <c r="I195" i="120"/>
  <c r="K195" i="120"/>
  <c r="L195" i="120"/>
  <c r="M195" i="120"/>
  <c r="F196" i="120"/>
  <c r="G196" i="120"/>
  <c r="H196" i="120"/>
  <c r="I196" i="120"/>
  <c r="K196" i="120"/>
  <c r="L196" i="120"/>
  <c r="M196" i="120"/>
  <c r="O196" i="120"/>
  <c r="F189" i="120"/>
  <c r="G189" i="120"/>
  <c r="H189" i="120"/>
  <c r="I189" i="120"/>
  <c r="K189" i="120"/>
  <c r="L189" i="120"/>
  <c r="M189" i="120"/>
  <c r="O189" i="120"/>
  <c r="F190" i="120"/>
  <c r="G190" i="120"/>
  <c r="H190" i="120"/>
  <c r="I190" i="120"/>
  <c r="K190" i="120"/>
  <c r="L190" i="120"/>
  <c r="M190" i="120"/>
  <c r="O190" i="120"/>
  <c r="E191" i="120"/>
  <c r="F191" i="120"/>
  <c r="G191" i="120"/>
  <c r="H191" i="120"/>
  <c r="I191" i="120"/>
  <c r="K191" i="120"/>
  <c r="L191" i="120"/>
  <c r="M191" i="120"/>
  <c r="O191" i="120"/>
  <c r="E192" i="120"/>
  <c r="F192" i="120"/>
  <c r="G192" i="120"/>
  <c r="H192" i="120"/>
  <c r="I192" i="120"/>
  <c r="K192" i="120"/>
  <c r="L192" i="120"/>
  <c r="M192" i="120"/>
  <c r="O192" i="120"/>
  <c r="F178" i="120"/>
  <c r="G178" i="120"/>
  <c r="H178" i="120"/>
  <c r="I178" i="120"/>
  <c r="K178" i="120"/>
  <c r="L178" i="120"/>
  <c r="M178" i="120"/>
  <c r="J245" i="98"/>
  <c r="J241" i="98"/>
  <c r="O178" i="97"/>
  <c r="O179" i="123" s="1"/>
  <c r="O178" i="123" s="1"/>
  <c r="O177" i="123" s="1"/>
  <c r="J257" i="98"/>
  <c r="O195" i="97"/>
  <c r="O196" i="123" s="1"/>
  <c r="O195" i="123" s="1"/>
  <c r="G182" i="120"/>
  <c r="H182" i="120"/>
  <c r="I182" i="120"/>
  <c r="K182" i="120"/>
  <c r="L182" i="120"/>
  <c r="M182" i="120"/>
  <c r="O182" i="120"/>
  <c r="G183" i="120"/>
  <c r="H183" i="120"/>
  <c r="I183" i="120"/>
  <c r="K183" i="120"/>
  <c r="L183" i="120"/>
  <c r="M183" i="120"/>
  <c r="O183" i="120"/>
  <c r="G184" i="120"/>
  <c r="H184" i="120"/>
  <c r="I184" i="120"/>
  <c r="L184" i="120"/>
  <c r="M184" i="120"/>
  <c r="G185" i="120"/>
  <c r="H185" i="120"/>
  <c r="I185" i="120"/>
  <c r="K185" i="120"/>
  <c r="L185" i="120"/>
  <c r="M185" i="120"/>
  <c r="F181" i="120"/>
  <c r="G181" i="120"/>
  <c r="H181" i="120"/>
  <c r="I181" i="120"/>
  <c r="K181" i="120"/>
  <c r="L181" i="120"/>
  <c r="M181" i="120"/>
  <c r="G185" i="104"/>
  <c r="G184" i="104"/>
  <c r="G188" i="104"/>
  <c r="H188" i="104"/>
  <c r="J251" i="98"/>
  <c r="O185" i="97"/>
  <c r="O186" i="123" s="1"/>
  <c r="F185" i="97"/>
  <c r="F186" i="123" s="1"/>
  <c r="G189" i="104"/>
  <c r="H183" i="104"/>
  <c r="J248" i="98"/>
  <c r="O181" i="97"/>
  <c r="O182" i="123" s="1"/>
  <c r="G186" i="104"/>
  <c r="F183" i="97"/>
  <c r="I33" i="120"/>
  <c r="M33" i="120"/>
  <c r="I34" i="120"/>
  <c r="K34" i="120"/>
  <c r="L34" i="120"/>
  <c r="M34" i="120"/>
  <c r="O34" i="120"/>
  <c r="I35" i="120"/>
  <c r="K35" i="120"/>
  <c r="L35" i="120"/>
  <c r="M35" i="120"/>
  <c r="I36" i="120"/>
  <c r="K36" i="120"/>
  <c r="L36" i="120"/>
  <c r="M36" i="120"/>
  <c r="I37" i="120"/>
  <c r="O37" i="120"/>
  <c r="H38" i="120"/>
  <c r="I38" i="120"/>
  <c r="K38" i="120"/>
  <c r="L38" i="120"/>
  <c r="M38" i="120"/>
  <c r="I39" i="120"/>
  <c r="I40" i="120"/>
  <c r="K40" i="120"/>
  <c r="L40" i="120"/>
  <c r="M40" i="120"/>
  <c r="G41" i="120"/>
  <c r="H41" i="120"/>
  <c r="I41" i="120"/>
  <c r="K41" i="120"/>
  <c r="L41" i="120"/>
  <c r="M41" i="120"/>
  <c r="N41" i="120"/>
  <c r="O41" i="120"/>
  <c r="F42" i="120"/>
  <c r="G42" i="120"/>
  <c r="H42" i="120"/>
  <c r="I42" i="120"/>
  <c r="K42" i="120"/>
  <c r="L42" i="120"/>
  <c r="M42" i="120"/>
  <c r="I32" i="120"/>
  <c r="K32" i="120"/>
  <c r="L32" i="120"/>
  <c r="M32" i="120"/>
  <c r="J33" i="98"/>
  <c r="O40" i="97"/>
  <c r="F40" i="97"/>
  <c r="F40" i="123" s="1"/>
  <c r="G38" i="97"/>
  <c r="G38" i="123" s="1"/>
  <c r="F38" i="97"/>
  <c r="F38" i="123" s="1"/>
  <c r="G37" i="97"/>
  <c r="G37" i="123" s="1"/>
  <c r="F37" i="97"/>
  <c r="F37" i="123" s="1"/>
  <c r="J29" i="98"/>
  <c r="O36" i="97"/>
  <c r="O36" i="123" s="1"/>
  <c r="H36" i="97"/>
  <c r="H36" i="123" s="1"/>
  <c r="G36" i="97"/>
  <c r="G36" i="123" s="1"/>
  <c r="F36" i="97"/>
  <c r="F36" i="123" s="1"/>
  <c r="G35" i="97"/>
  <c r="G35" i="123" s="1"/>
  <c r="H34" i="97"/>
  <c r="H34" i="123" s="1"/>
  <c r="G34" i="97"/>
  <c r="G34" i="123" s="1"/>
  <c r="F34" i="97"/>
  <c r="F34" i="123" s="1"/>
  <c r="J27" i="98"/>
  <c r="J26" i="98"/>
  <c r="H33" i="97"/>
  <c r="H33" i="123" s="1"/>
  <c r="G33" i="97"/>
  <c r="G33" i="123" s="1"/>
  <c r="J22" i="98"/>
  <c r="O32" i="97"/>
  <c r="O32" i="123" s="1"/>
  <c r="G32" i="97"/>
  <c r="G32" i="123" s="1"/>
  <c r="F32" i="97"/>
  <c r="F32" i="123" s="1"/>
  <c r="P151" i="97" l="1"/>
  <c r="G168" i="120"/>
  <c r="G148" i="120" s="1"/>
  <c r="G147" i="120" s="1"/>
  <c r="G169" i="123"/>
  <c r="G149" i="123" s="1"/>
  <c r="G148" i="123" s="1"/>
  <c r="G49" i="104"/>
  <c r="F51" i="123"/>
  <c r="G54" i="104"/>
  <c r="F56" i="123"/>
  <c r="P151" i="120"/>
  <c r="P152" i="123"/>
  <c r="O40" i="120"/>
  <c r="O40" i="123"/>
  <c r="F183" i="120"/>
  <c r="F184" i="123"/>
  <c r="G44" i="104"/>
  <c r="F47" i="123"/>
  <c r="N195" i="123"/>
  <c r="O194" i="123"/>
  <c r="O48" i="120"/>
  <c r="O49" i="123"/>
  <c r="G51" i="104"/>
  <c r="F53" i="123"/>
  <c r="O57" i="120"/>
  <c r="O58" i="123"/>
  <c r="H151" i="104"/>
  <c r="I151" i="104" s="1"/>
  <c r="J152" i="123"/>
  <c r="P159" i="97"/>
  <c r="P159" i="120" s="1"/>
  <c r="J159" i="120"/>
  <c r="F16" i="119"/>
  <c r="F16" i="122" s="1"/>
  <c r="E17" i="119"/>
  <c r="E17" i="122" s="1"/>
  <c r="N194" i="123" l="1"/>
  <c r="J195" i="123"/>
  <c r="G29" i="120"/>
  <c r="H29" i="120"/>
  <c r="I29" i="120"/>
  <c r="K29" i="120"/>
  <c r="L29" i="120"/>
  <c r="M29" i="120"/>
  <c r="F28" i="120"/>
  <c r="G28" i="120"/>
  <c r="H28" i="120"/>
  <c r="I28" i="120"/>
  <c r="K28" i="120"/>
  <c r="L28" i="120"/>
  <c r="M28" i="120"/>
  <c r="O28" i="120"/>
  <c r="E28" i="120"/>
  <c r="F27" i="120"/>
  <c r="G27" i="120"/>
  <c r="H27" i="120"/>
  <c r="I27" i="120"/>
  <c r="J27" i="120"/>
  <c r="K27" i="120"/>
  <c r="L27" i="120"/>
  <c r="M27" i="120"/>
  <c r="O27" i="120"/>
  <c r="G26" i="120"/>
  <c r="H26" i="120"/>
  <c r="I26" i="120"/>
  <c r="K26" i="120"/>
  <c r="L26" i="120"/>
  <c r="M26" i="120"/>
  <c r="F24" i="120"/>
  <c r="G24" i="120"/>
  <c r="H24" i="120"/>
  <c r="I24" i="120"/>
  <c r="L24" i="120"/>
  <c r="M24" i="120"/>
  <c r="O24" i="120"/>
  <c r="G20" i="120"/>
  <c r="H20" i="120"/>
  <c r="I20" i="120"/>
  <c r="K20" i="120"/>
  <c r="L20" i="120"/>
  <c r="M20" i="120"/>
  <c r="O20" i="120"/>
  <c r="F21" i="120"/>
  <c r="G21" i="120"/>
  <c r="H21" i="120"/>
  <c r="I21" i="120"/>
  <c r="K21" i="120"/>
  <c r="L21" i="120"/>
  <c r="M21" i="120"/>
  <c r="F22" i="120"/>
  <c r="G22" i="120"/>
  <c r="H22" i="120"/>
  <c r="I22" i="120"/>
  <c r="K22" i="120"/>
  <c r="L22" i="120"/>
  <c r="M22" i="120"/>
  <c r="O22" i="120"/>
  <c r="F23" i="120"/>
  <c r="G23" i="120"/>
  <c r="H23" i="120"/>
  <c r="I23" i="120"/>
  <c r="L23" i="120"/>
  <c r="M23" i="120"/>
  <c r="F17" i="120"/>
  <c r="H17" i="120"/>
  <c r="I17" i="120"/>
  <c r="K17" i="120"/>
  <c r="L17" i="120"/>
  <c r="M17" i="120"/>
  <c r="O17" i="120"/>
  <c r="L18" i="120"/>
  <c r="M18" i="120"/>
  <c r="E19" i="120"/>
  <c r="F19" i="120"/>
  <c r="G19" i="120"/>
  <c r="H19" i="120"/>
  <c r="I19" i="120"/>
  <c r="K19" i="120"/>
  <c r="L19" i="120"/>
  <c r="M19" i="120"/>
  <c r="O19" i="120"/>
  <c r="G15" i="120"/>
  <c r="I15" i="120"/>
  <c r="K15" i="120"/>
  <c r="L15" i="120"/>
  <c r="M15" i="120"/>
  <c r="H16" i="120"/>
  <c r="I16" i="120"/>
  <c r="K16" i="120"/>
  <c r="L16" i="120"/>
  <c r="M16" i="120"/>
  <c r="O16" i="120"/>
  <c r="G14" i="120"/>
  <c r="I14" i="120"/>
  <c r="K14" i="120"/>
  <c r="L14" i="120"/>
  <c r="M14" i="120"/>
  <c r="J194" i="123" l="1"/>
  <c r="F113" i="120"/>
  <c r="G113" i="120"/>
  <c r="H113" i="120"/>
  <c r="I113" i="120"/>
  <c r="K113" i="120"/>
  <c r="L113" i="120"/>
  <c r="M113" i="120"/>
  <c r="O113" i="120"/>
  <c r="F114" i="120"/>
  <c r="G114" i="120"/>
  <c r="H114" i="120"/>
  <c r="I114" i="120"/>
  <c r="K114" i="120"/>
  <c r="L114" i="120"/>
  <c r="M114" i="120"/>
  <c r="F115" i="120"/>
  <c r="G115" i="120"/>
  <c r="H115" i="120"/>
  <c r="I115" i="120"/>
  <c r="K115" i="120"/>
  <c r="L115" i="120"/>
  <c r="M115" i="120"/>
  <c r="G116" i="120"/>
  <c r="H116" i="120"/>
  <c r="I116" i="120"/>
  <c r="K116" i="120"/>
  <c r="L116" i="120"/>
  <c r="M116" i="120"/>
  <c r="G117" i="120"/>
  <c r="H117" i="120"/>
  <c r="I117" i="120"/>
  <c r="K117" i="120"/>
  <c r="L117" i="120"/>
  <c r="M117" i="120"/>
  <c r="O117" i="120"/>
  <c r="I118" i="120"/>
  <c r="H119" i="120"/>
  <c r="I119" i="120"/>
  <c r="K119" i="120"/>
  <c r="L119" i="120"/>
  <c r="M119" i="120"/>
  <c r="G120" i="120"/>
  <c r="H120" i="120"/>
  <c r="I120" i="120"/>
  <c r="K120" i="120"/>
  <c r="L120" i="120"/>
  <c r="M120" i="120"/>
  <c r="O120" i="120"/>
  <c r="F121" i="120"/>
  <c r="G121" i="120"/>
  <c r="H121" i="120"/>
  <c r="I121" i="120"/>
  <c r="K121" i="120"/>
  <c r="L121" i="120"/>
  <c r="M121" i="120"/>
  <c r="G112" i="120"/>
  <c r="H112" i="120"/>
  <c r="I112" i="120"/>
  <c r="K112" i="120"/>
  <c r="L112" i="120"/>
  <c r="M112" i="120"/>
  <c r="O112" i="120"/>
  <c r="J87" i="98"/>
  <c r="O121" i="97"/>
  <c r="J86" i="98"/>
  <c r="O119" i="97"/>
  <c r="O120" i="123" s="1"/>
  <c r="F119" i="97"/>
  <c r="F120" i="123" s="1"/>
  <c r="F117" i="97"/>
  <c r="H84" i="98"/>
  <c r="J83" i="98"/>
  <c r="F116" i="97"/>
  <c r="J79" i="98"/>
  <c r="J80" i="98"/>
  <c r="O115" i="97"/>
  <c r="O116" i="123" s="1"/>
  <c r="J78" i="98"/>
  <c r="O114" i="97"/>
  <c r="O115" i="123" s="1"/>
  <c r="I76" i="98"/>
  <c r="H76" i="98" s="1"/>
  <c r="F112" i="97"/>
  <c r="F113" i="123" s="1"/>
  <c r="F146" i="120"/>
  <c r="G146" i="120"/>
  <c r="H146" i="120"/>
  <c r="I146" i="120"/>
  <c r="K146" i="120"/>
  <c r="L146" i="120"/>
  <c r="M146" i="120"/>
  <c r="O146" i="120"/>
  <c r="H125" i="120"/>
  <c r="I125" i="120"/>
  <c r="K125" i="120"/>
  <c r="L125" i="120"/>
  <c r="M125" i="120"/>
  <c r="F127" i="120"/>
  <c r="G127" i="120"/>
  <c r="H127" i="120"/>
  <c r="I127" i="120"/>
  <c r="K127" i="120"/>
  <c r="L127" i="120"/>
  <c r="M127" i="120"/>
  <c r="O127" i="120"/>
  <c r="G128" i="120"/>
  <c r="H128" i="120"/>
  <c r="I128" i="120"/>
  <c r="K128" i="120"/>
  <c r="L128" i="120"/>
  <c r="M128" i="120"/>
  <c r="F129" i="120"/>
  <c r="G129" i="120"/>
  <c r="H129" i="120"/>
  <c r="I129" i="120"/>
  <c r="K129" i="120"/>
  <c r="L129" i="120"/>
  <c r="M129" i="120"/>
  <c r="N129" i="120"/>
  <c r="O129" i="120"/>
  <c r="I130" i="120"/>
  <c r="L130" i="120"/>
  <c r="M130" i="120"/>
  <c r="G131" i="120"/>
  <c r="H131" i="120"/>
  <c r="I131" i="120"/>
  <c r="K131" i="120"/>
  <c r="L131" i="120"/>
  <c r="M131" i="120"/>
  <c r="O131" i="120"/>
  <c r="G132" i="120"/>
  <c r="H132" i="120"/>
  <c r="I132" i="120"/>
  <c r="K132" i="120"/>
  <c r="L132" i="120"/>
  <c r="M132" i="120"/>
  <c r="O132" i="120"/>
  <c r="I133" i="120"/>
  <c r="F134" i="120"/>
  <c r="G134" i="120"/>
  <c r="H134" i="120"/>
  <c r="I134" i="120"/>
  <c r="K134" i="120"/>
  <c r="L134" i="120"/>
  <c r="M134" i="120"/>
  <c r="O134" i="120"/>
  <c r="I136" i="120"/>
  <c r="K136" i="120"/>
  <c r="L136" i="120"/>
  <c r="G137" i="120"/>
  <c r="H137" i="120"/>
  <c r="I137" i="120"/>
  <c r="K137" i="120"/>
  <c r="L137" i="120"/>
  <c r="M137" i="120"/>
  <c r="O137" i="120"/>
  <c r="F141" i="120"/>
  <c r="G141" i="120"/>
  <c r="H141" i="120"/>
  <c r="I141" i="120"/>
  <c r="K141" i="120"/>
  <c r="L141" i="120"/>
  <c r="M141" i="120"/>
  <c r="O141" i="120"/>
  <c r="F142" i="120"/>
  <c r="H142" i="120"/>
  <c r="I142" i="120"/>
  <c r="L142" i="120"/>
  <c r="M142" i="120"/>
  <c r="G143" i="120"/>
  <c r="H143" i="120"/>
  <c r="I143" i="120"/>
  <c r="K143" i="120"/>
  <c r="L143" i="120"/>
  <c r="M143" i="120"/>
  <c r="O143" i="120"/>
  <c r="F144" i="120"/>
  <c r="G144" i="120"/>
  <c r="H144" i="120"/>
  <c r="I144" i="120"/>
  <c r="K144" i="120"/>
  <c r="L144" i="120"/>
  <c r="M144" i="120"/>
  <c r="O144" i="120"/>
  <c r="F145" i="120"/>
  <c r="G145" i="120"/>
  <c r="H145" i="120"/>
  <c r="I145" i="120"/>
  <c r="K145" i="120"/>
  <c r="L145" i="120"/>
  <c r="M145" i="120"/>
  <c r="O198" i="120"/>
  <c r="O197" i="120" s="1"/>
  <c r="N198" i="120"/>
  <c r="N197" i="120" s="1"/>
  <c r="M198" i="120"/>
  <c r="M197" i="120" s="1"/>
  <c r="L198" i="120"/>
  <c r="L197" i="120" s="1"/>
  <c r="K198" i="120"/>
  <c r="H198" i="120"/>
  <c r="H197" i="120" s="1"/>
  <c r="G198" i="120"/>
  <c r="G197" i="120" s="1"/>
  <c r="I197" i="120"/>
  <c r="M194" i="120"/>
  <c r="M193" i="120" s="1"/>
  <c r="L194" i="120"/>
  <c r="L193" i="120" s="1"/>
  <c r="K194" i="120"/>
  <c r="K193" i="120" s="1"/>
  <c r="I194" i="120"/>
  <c r="I193" i="120" s="1"/>
  <c r="H194" i="120"/>
  <c r="H193" i="120" s="1"/>
  <c r="G194" i="120"/>
  <c r="G193" i="120" s="1"/>
  <c r="F194" i="120"/>
  <c r="F193" i="120" s="1"/>
  <c r="E186" i="120"/>
  <c r="M180" i="120"/>
  <c r="M179" i="120" s="1"/>
  <c r="L180" i="120"/>
  <c r="L179" i="120" s="1"/>
  <c r="I180" i="120"/>
  <c r="I179" i="120" s="1"/>
  <c r="H180" i="120"/>
  <c r="H179" i="120" s="1"/>
  <c r="G180" i="120"/>
  <c r="G179" i="120" s="1"/>
  <c r="M177" i="120"/>
  <c r="M176" i="120" s="1"/>
  <c r="L177" i="120"/>
  <c r="L176" i="120" s="1"/>
  <c r="K177" i="120"/>
  <c r="I177" i="120"/>
  <c r="I176" i="120" s="1"/>
  <c r="H177" i="120"/>
  <c r="H176" i="120" s="1"/>
  <c r="G177" i="120"/>
  <c r="G176" i="120" s="1"/>
  <c r="I110" i="120"/>
  <c r="I58" i="120"/>
  <c r="I31" i="120"/>
  <c r="I30" i="120" s="1"/>
  <c r="M13" i="120"/>
  <c r="M12" i="120" s="1"/>
  <c r="L13" i="120"/>
  <c r="L12" i="120" s="1"/>
  <c r="I12" i="120"/>
  <c r="N146" i="97"/>
  <c r="E146" i="97"/>
  <c r="J105" i="98"/>
  <c r="O145" i="120"/>
  <c r="G142" i="97"/>
  <c r="F137" i="97"/>
  <c r="F138" i="123" s="1"/>
  <c r="J96" i="98"/>
  <c r="J99" i="98"/>
  <c r="O136" i="97"/>
  <c r="O137" i="123" s="1"/>
  <c r="H136" i="97"/>
  <c r="G136" i="97"/>
  <c r="F132" i="97"/>
  <c r="F133" i="123" s="1"/>
  <c r="N24" i="97"/>
  <c r="N24" i="123" s="1"/>
  <c r="K24" i="97"/>
  <c r="K24" i="123" s="1"/>
  <c r="G136" i="120" l="1"/>
  <c r="G137" i="123"/>
  <c r="H136" i="120"/>
  <c r="H137" i="123"/>
  <c r="E146" i="120"/>
  <c r="E147" i="123"/>
  <c r="F117" i="120"/>
  <c r="F118" i="123"/>
  <c r="O121" i="120"/>
  <c r="O122" i="123"/>
  <c r="G142" i="120"/>
  <c r="G143" i="123"/>
  <c r="J146" i="97"/>
  <c r="N147" i="123"/>
  <c r="F116" i="120"/>
  <c r="F117" i="123"/>
  <c r="N146" i="120"/>
  <c r="K176" i="120"/>
  <c r="J198" i="120"/>
  <c r="J197" i="120" s="1"/>
  <c r="K197" i="120"/>
  <c r="P146" i="97"/>
  <c r="N24" i="119"/>
  <c r="K24" i="119"/>
  <c r="D22" i="108"/>
  <c r="D27" i="108"/>
  <c r="D20" i="108"/>
  <c r="D26" i="108"/>
  <c r="D21" i="108"/>
  <c r="D23" i="108"/>
  <c r="P146" i="120" l="1"/>
  <c r="P147" i="123"/>
  <c r="J146" i="120"/>
  <c r="J147" i="123"/>
  <c r="K24" i="120"/>
  <c r="K24" i="122"/>
  <c r="N24" i="120"/>
  <c r="N24" i="122"/>
  <c r="N28" i="97"/>
  <c r="N28" i="123" s="1"/>
  <c r="G14" i="104"/>
  <c r="H14" i="104"/>
  <c r="H16" i="104"/>
  <c r="G20" i="104"/>
  <c r="H19" i="104"/>
  <c r="F29" i="97"/>
  <c r="F29" i="123" s="1"/>
  <c r="J13" i="98"/>
  <c r="J12" i="98"/>
  <c r="O21" i="97"/>
  <c r="G12" i="104"/>
  <c r="H11" i="104"/>
  <c r="G11" i="104"/>
  <c r="J14" i="98"/>
  <c r="O26" i="97"/>
  <c r="F26" i="97"/>
  <c r="F26" i="123" s="1"/>
  <c r="G17" i="97"/>
  <c r="F16" i="97"/>
  <c r="H15" i="97"/>
  <c r="H14" i="97"/>
  <c r="H14" i="120" l="1"/>
  <c r="H14" i="123"/>
  <c r="O26" i="120"/>
  <c r="O26" i="123"/>
  <c r="O21" i="120"/>
  <c r="O21" i="123"/>
  <c r="H15" i="120"/>
  <c r="H15" i="123"/>
  <c r="H13" i="123" s="1"/>
  <c r="F16" i="120"/>
  <c r="F16" i="123"/>
  <c r="G17" i="120"/>
  <c r="G17" i="123"/>
  <c r="J28" i="97"/>
  <c r="N28" i="120"/>
  <c r="F85" i="97"/>
  <c r="F86" i="123" s="1"/>
  <c r="F84" i="97"/>
  <c r="F85" i="123" s="1"/>
  <c r="H12" i="123" l="1"/>
  <c r="H13" i="104"/>
  <c r="I13" i="104" s="1"/>
  <c r="J28" i="123"/>
  <c r="H13" i="120"/>
  <c r="H12" i="120" s="1"/>
  <c r="P28" i="97"/>
  <c r="J28" i="120"/>
  <c r="D61" i="105"/>
  <c r="C63" i="105"/>
  <c r="C51" i="105"/>
  <c r="P28" i="120" l="1"/>
  <c r="P28" i="123"/>
  <c r="J194" i="119"/>
  <c r="J195" i="122" s="1"/>
  <c r="E194" i="119"/>
  <c r="E195" i="122" s="1"/>
  <c r="J193" i="119"/>
  <c r="J194" i="122" s="1"/>
  <c r="F193" i="119"/>
  <c r="F194" i="122" s="1"/>
  <c r="F192" i="122" s="1"/>
  <c r="F191" i="122" s="1"/>
  <c r="J192" i="119"/>
  <c r="J193" i="122" s="1"/>
  <c r="E192" i="119"/>
  <c r="E193" i="122" s="1"/>
  <c r="O191" i="119"/>
  <c r="O190" i="119" s="1"/>
  <c r="N191" i="119"/>
  <c r="N190" i="119" s="1"/>
  <c r="M191" i="119"/>
  <c r="M190" i="119" s="1"/>
  <c r="L191" i="119"/>
  <c r="L190" i="119" s="1"/>
  <c r="K191" i="119"/>
  <c r="K190" i="119" s="1"/>
  <c r="H191" i="119"/>
  <c r="H190" i="119" s="1"/>
  <c r="G191" i="119"/>
  <c r="G190" i="119" s="1"/>
  <c r="I190" i="119"/>
  <c r="N189" i="119"/>
  <c r="E189" i="119"/>
  <c r="E190" i="122" s="1"/>
  <c r="O188" i="119"/>
  <c r="E188" i="119"/>
  <c r="E189" i="122" s="1"/>
  <c r="M187" i="119"/>
  <c r="M186" i="119" s="1"/>
  <c r="L187" i="119"/>
  <c r="L186" i="119" s="1"/>
  <c r="K187" i="119"/>
  <c r="K186" i="119" s="1"/>
  <c r="I187" i="119"/>
  <c r="H187" i="119"/>
  <c r="H186" i="119" s="1"/>
  <c r="G187" i="119"/>
  <c r="G186" i="119" s="1"/>
  <c r="F187" i="119"/>
  <c r="F186" i="119" s="1"/>
  <c r="I186" i="119"/>
  <c r="N185" i="119"/>
  <c r="N184" i="119"/>
  <c r="N183" i="119"/>
  <c r="E183" i="119"/>
  <c r="E184" i="122" s="1"/>
  <c r="N182" i="119"/>
  <c r="E182" i="119"/>
  <c r="E183" i="122" s="1"/>
  <c r="O181" i="119"/>
  <c r="O182" i="122" s="1"/>
  <c r="O181" i="122" s="1"/>
  <c r="O180" i="122" s="1"/>
  <c r="M181" i="119"/>
  <c r="L181" i="119"/>
  <c r="K181" i="119"/>
  <c r="I181" i="119"/>
  <c r="H181" i="119"/>
  <c r="G181" i="119"/>
  <c r="F181" i="119"/>
  <c r="O180" i="119"/>
  <c r="O179" i="119" s="1"/>
  <c r="E179" i="119"/>
  <c r="O178" i="119"/>
  <c r="F178" i="119"/>
  <c r="K177" i="119"/>
  <c r="K178" i="122" s="1"/>
  <c r="K174" i="122" s="1"/>
  <c r="N176" i="119"/>
  <c r="E176" i="119"/>
  <c r="E177" i="122" s="1"/>
  <c r="N175" i="119"/>
  <c r="F175" i="119"/>
  <c r="O174" i="119"/>
  <c r="E174" i="119"/>
  <c r="E175" i="122" s="1"/>
  <c r="M173" i="119"/>
  <c r="M172" i="119" s="1"/>
  <c r="L173" i="119"/>
  <c r="L172" i="119" s="1"/>
  <c r="I173" i="119"/>
  <c r="I172" i="119" s="1"/>
  <c r="H173" i="119"/>
  <c r="H172" i="119" s="1"/>
  <c r="G173" i="119"/>
  <c r="G172" i="119" s="1"/>
  <c r="O171" i="119"/>
  <c r="E171" i="119"/>
  <c r="M170" i="119"/>
  <c r="M169" i="119" s="1"/>
  <c r="L170" i="119"/>
  <c r="L169" i="119" s="1"/>
  <c r="K170" i="119"/>
  <c r="I170" i="119"/>
  <c r="I169" i="119" s="1"/>
  <c r="H170" i="119"/>
  <c r="H169" i="119" s="1"/>
  <c r="G170" i="119"/>
  <c r="G169" i="119" s="1"/>
  <c r="K169" i="119"/>
  <c r="N168" i="119"/>
  <c r="E168" i="119"/>
  <c r="E169" i="122" s="1"/>
  <c r="O167" i="119"/>
  <c r="O168" i="122" s="1"/>
  <c r="E167" i="119"/>
  <c r="E168" i="122" s="1"/>
  <c r="O166" i="119"/>
  <c r="E166" i="119"/>
  <c r="E167" i="122" s="1"/>
  <c r="O165" i="119"/>
  <c r="E165" i="119"/>
  <c r="E166" i="122" s="1"/>
  <c r="M164" i="119"/>
  <c r="L164" i="119"/>
  <c r="K164" i="119"/>
  <c r="I164" i="119"/>
  <c r="H164" i="119"/>
  <c r="G164" i="119"/>
  <c r="F164" i="119"/>
  <c r="N161" i="119"/>
  <c r="F161" i="119"/>
  <c r="N160" i="119"/>
  <c r="E160" i="119"/>
  <c r="E161" i="122" s="1"/>
  <c r="O159" i="119"/>
  <c r="O160" i="122" s="1"/>
  <c r="E159" i="119"/>
  <c r="E160" i="122" s="1"/>
  <c r="O158" i="119"/>
  <c r="F158" i="119"/>
  <c r="F159" i="122" s="1"/>
  <c r="O157" i="119"/>
  <c r="F157" i="119"/>
  <c r="K156" i="119"/>
  <c r="K157" i="122" s="1"/>
  <c r="N155" i="119"/>
  <c r="E155" i="119"/>
  <c r="E156" i="122" s="1"/>
  <c r="O154" i="119"/>
  <c r="K154" i="119"/>
  <c r="K155" i="122" s="1"/>
  <c r="F154" i="119"/>
  <c r="N153" i="119"/>
  <c r="O152" i="119"/>
  <c r="O153" i="122" s="1"/>
  <c r="E152" i="119"/>
  <c r="E153" i="122" s="1"/>
  <c r="O151" i="119"/>
  <c r="F151" i="119"/>
  <c r="F152" i="122" s="1"/>
  <c r="N150" i="119"/>
  <c r="F150" i="119"/>
  <c r="O149" i="119"/>
  <c r="O150" i="122" s="1"/>
  <c r="E149" i="119"/>
  <c r="E150" i="122" s="1"/>
  <c r="N148" i="119"/>
  <c r="E148" i="119"/>
  <c r="E149" i="122" s="1"/>
  <c r="N147" i="119"/>
  <c r="E147" i="119"/>
  <c r="E148" i="122" s="1"/>
  <c r="O146" i="119"/>
  <c r="F146" i="119"/>
  <c r="F147" i="122" s="1"/>
  <c r="K145" i="119"/>
  <c r="M144" i="119"/>
  <c r="M143" i="119" s="1"/>
  <c r="L144" i="119"/>
  <c r="L143" i="119" s="1"/>
  <c r="I144" i="119"/>
  <c r="I143" i="119" s="1"/>
  <c r="H144" i="119"/>
  <c r="H143" i="119" s="1"/>
  <c r="G144" i="119"/>
  <c r="G143" i="119" s="1"/>
  <c r="N142" i="119"/>
  <c r="J142" i="119" s="1"/>
  <c r="E142" i="119"/>
  <c r="N141" i="119"/>
  <c r="J141" i="119" s="1"/>
  <c r="E141" i="119"/>
  <c r="N140" i="119"/>
  <c r="J140" i="119" s="1"/>
  <c r="F140" i="119"/>
  <c r="E140" i="119" s="1"/>
  <c r="O139" i="119"/>
  <c r="O142" i="120" s="1"/>
  <c r="K139" i="119"/>
  <c r="K137" i="119" s="1"/>
  <c r="E139" i="119"/>
  <c r="N138" i="119"/>
  <c r="J138" i="119" s="1"/>
  <c r="E138" i="119"/>
  <c r="M137" i="119"/>
  <c r="L137" i="119"/>
  <c r="I137" i="119"/>
  <c r="H137" i="119"/>
  <c r="G137" i="119"/>
  <c r="F137" i="119"/>
  <c r="E137" i="119" s="1"/>
  <c r="N136" i="119"/>
  <c r="J136" i="119" s="1"/>
  <c r="F136" i="119"/>
  <c r="F137" i="120" s="1"/>
  <c r="O135" i="119"/>
  <c r="O136" i="120" s="1"/>
  <c r="M135" i="119"/>
  <c r="M134" i="119" s="1"/>
  <c r="F135" i="119"/>
  <c r="L134" i="119"/>
  <c r="K134" i="119"/>
  <c r="I134" i="119"/>
  <c r="H134" i="119"/>
  <c r="G134" i="119"/>
  <c r="E133" i="119"/>
  <c r="O132" i="119"/>
  <c r="M132" i="119"/>
  <c r="L132" i="119"/>
  <c r="K132" i="119"/>
  <c r="H132" i="119"/>
  <c r="G132" i="119"/>
  <c r="F132" i="119"/>
  <c r="E132" i="119" s="1"/>
  <c r="N131" i="119"/>
  <c r="J131" i="119" s="1"/>
  <c r="F131" i="119"/>
  <c r="N130" i="119"/>
  <c r="F130" i="119"/>
  <c r="O129" i="119"/>
  <c r="K129" i="119"/>
  <c r="K142" i="122" s="1"/>
  <c r="H129" i="119"/>
  <c r="H142" i="122" s="1"/>
  <c r="G129" i="119"/>
  <c r="G142" i="122" s="1"/>
  <c r="J128" i="119"/>
  <c r="J141" i="122" s="1"/>
  <c r="E128" i="119"/>
  <c r="E141" i="122" s="1"/>
  <c r="O127" i="119"/>
  <c r="O140" i="122" s="1"/>
  <c r="F127" i="119"/>
  <c r="N126" i="119"/>
  <c r="E126" i="119"/>
  <c r="E139" i="122" s="1"/>
  <c r="M125" i="119"/>
  <c r="M138" i="122" s="1"/>
  <c r="L125" i="119"/>
  <c r="L138" i="122" s="1"/>
  <c r="K125" i="119"/>
  <c r="K138" i="122" s="1"/>
  <c r="I125" i="119"/>
  <c r="I138" i="122" s="1"/>
  <c r="H125" i="119"/>
  <c r="H138" i="122" s="1"/>
  <c r="G125" i="119"/>
  <c r="G138" i="122" s="1"/>
  <c r="O124" i="119"/>
  <c r="O137" i="122" s="1"/>
  <c r="G124" i="119"/>
  <c r="F124" i="119"/>
  <c r="M123" i="119"/>
  <c r="M136" i="122" s="1"/>
  <c r="L123" i="119"/>
  <c r="L136" i="122" s="1"/>
  <c r="K123" i="119"/>
  <c r="K136" i="122" s="1"/>
  <c r="I123" i="119"/>
  <c r="I136" i="122" s="1"/>
  <c r="H123" i="119"/>
  <c r="H136" i="122" s="1"/>
  <c r="N120" i="119"/>
  <c r="E120" i="119"/>
  <c r="N119" i="119"/>
  <c r="F119" i="119"/>
  <c r="O118" i="119"/>
  <c r="G118" i="119"/>
  <c r="F118" i="119"/>
  <c r="M117" i="119"/>
  <c r="L117" i="119"/>
  <c r="K117" i="119"/>
  <c r="H117" i="119"/>
  <c r="N116" i="119"/>
  <c r="E116" i="119"/>
  <c r="O115" i="119"/>
  <c r="E115" i="119"/>
  <c r="O114" i="119"/>
  <c r="E114" i="119"/>
  <c r="O113" i="119"/>
  <c r="E113" i="119"/>
  <c r="N112" i="119"/>
  <c r="E112" i="119"/>
  <c r="N111" i="119"/>
  <c r="F111" i="119"/>
  <c r="I109" i="119"/>
  <c r="N108" i="119"/>
  <c r="E108" i="119"/>
  <c r="E109" i="122" s="1"/>
  <c r="O107" i="119"/>
  <c r="M107" i="119"/>
  <c r="M108" i="122" s="1"/>
  <c r="L107" i="119"/>
  <c r="L108" i="122" s="1"/>
  <c r="K107" i="119"/>
  <c r="K108" i="122" s="1"/>
  <c r="H107" i="119"/>
  <c r="H108" i="122" s="1"/>
  <c r="G107" i="119"/>
  <c r="G108" i="122" s="1"/>
  <c r="F107" i="119"/>
  <c r="N106" i="119"/>
  <c r="N107" i="122" s="1"/>
  <c r="F106" i="119"/>
  <c r="F107" i="122" s="1"/>
  <c r="O105" i="119"/>
  <c r="H105" i="119"/>
  <c r="G105" i="119"/>
  <c r="G106" i="122" s="1"/>
  <c r="F105" i="119"/>
  <c r="F106" i="122" s="1"/>
  <c r="M104" i="119"/>
  <c r="M105" i="122" s="1"/>
  <c r="L104" i="119"/>
  <c r="L105" i="122" s="1"/>
  <c r="K104" i="119"/>
  <c r="K105" i="122" s="1"/>
  <c r="G104" i="119"/>
  <c r="G105" i="122" s="1"/>
  <c r="N102" i="119"/>
  <c r="J102" i="119" s="1"/>
  <c r="E102" i="119"/>
  <c r="N99" i="119"/>
  <c r="J99" i="119" s="1"/>
  <c r="P99" i="119" s="1"/>
  <c r="O98" i="119"/>
  <c r="K98" i="119"/>
  <c r="K99" i="122" s="1"/>
  <c r="N97" i="119"/>
  <c r="E97" i="119"/>
  <c r="E98" i="122" s="1"/>
  <c r="O96" i="119"/>
  <c r="O97" i="122" s="1"/>
  <c r="M96" i="119"/>
  <c r="L96" i="119"/>
  <c r="K96" i="119"/>
  <c r="K97" i="122" s="1"/>
  <c r="H96" i="119"/>
  <c r="G96" i="119"/>
  <c r="F96" i="119"/>
  <c r="F97" i="122" s="1"/>
  <c r="E95" i="119"/>
  <c r="E96" i="122" s="1"/>
  <c r="N94" i="119"/>
  <c r="E94" i="119"/>
  <c r="E95" i="122" s="1"/>
  <c r="N93" i="119"/>
  <c r="E93" i="119"/>
  <c r="E94" i="122" s="1"/>
  <c r="N92" i="119"/>
  <c r="F92" i="119"/>
  <c r="N91" i="119"/>
  <c r="F91" i="119"/>
  <c r="O90" i="119"/>
  <c r="H90" i="119"/>
  <c r="G90" i="119"/>
  <c r="F90" i="119"/>
  <c r="F91" i="122" s="1"/>
  <c r="O89" i="119"/>
  <c r="F89" i="119"/>
  <c r="F90" i="122" s="1"/>
  <c r="M88" i="119"/>
  <c r="M89" i="122" s="1"/>
  <c r="L88" i="119"/>
  <c r="L89" i="122" s="1"/>
  <c r="K88" i="119"/>
  <c r="K89" i="122" s="1"/>
  <c r="I88" i="119"/>
  <c r="I89" i="122" s="1"/>
  <c r="N87" i="119"/>
  <c r="E87" i="119"/>
  <c r="E88" i="122" s="1"/>
  <c r="J86" i="119"/>
  <c r="J87" i="122" s="1"/>
  <c r="E86" i="119"/>
  <c r="E87" i="122" s="1"/>
  <c r="J85" i="119"/>
  <c r="J86" i="122" s="1"/>
  <c r="F85" i="119"/>
  <c r="J84" i="119"/>
  <c r="J85" i="122" s="1"/>
  <c r="F84" i="119"/>
  <c r="N83" i="119"/>
  <c r="F83" i="119"/>
  <c r="F84" i="122" s="1"/>
  <c r="N82" i="119"/>
  <c r="F82" i="119"/>
  <c r="N80" i="119"/>
  <c r="N79" i="119"/>
  <c r="E79" i="119"/>
  <c r="E80" i="122" s="1"/>
  <c r="N78" i="119"/>
  <c r="E78" i="119"/>
  <c r="E79" i="122" s="1"/>
  <c r="N77" i="119"/>
  <c r="E77" i="119"/>
  <c r="E78" i="122" s="1"/>
  <c r="N76" i="119"/>
  <c r="E76" i="119"/>
  <c r="E77" i="122" s="1"/>
  <c r="N75" i="119"/>
  <c r="E75" i="119"/>
  <c r="E76" i="122" s="1"/>
  <c r="N74" i="119"/>
  <c r="F74" i="119"/>
  <c r="N73" i="119"/>
  <c r="E73" i="119"/>
  <c r="E74" i="122" s="1"/>
  <c r="N72" i="119"/>
  <c r="N73" i="122" s="1"/>
  <c r="E72" i="119"/>
  <c r="E73" i="122" s="1"/>
  <c r="O71" i="119"/>
  <c r="O72" i="122" s="1"/>
  <c r="M71" i="119"/>
  <c r="M72" i="122" s="1"/>
  <c r="L71" i="119"/>
  <c r="L72" i="122" s="1"/>
  <c r="K71" i="119"/>
  <c r="K72" i="122" s="1"/>
  <c r="I71" i="119"/>
  <c r="I72" i="122" s="1"/>
  <c r="H71" i="119"/>
  <c r="H72" i="122" s="1"/>
  <c r="G71" i="119"/>
  <c r="G72" i="122" s="1"/>
  <c r="N70" i="119"/>
  <c r="E70" i="119"/>
  <c r="E71" i="122" s="1"/>
  <c r="N69" i="119"/>
  <c r="E69" i="119"/>
  <c r="E70" i="122" s="1"/>
  <c r="N68" i="119"/>
  <c r="E68" i="119"/>
  <c r="E69" i="122" s="1"/>
  <c r="N67" i="119"/>
  <c r="E67" i="119"/>
  <c r="E68" i="122" s="1"/>
  <c r="N66" i="119"/>
  <c r="N67" i="122" s="1"/>
  <c r="E66" i="119"/>
  <c r="E67" i="122" s="1"/>
  <c r="O65" i="119"/>
  <c r="O66" i="122" s="1"/>
  <c r="M65" i="119"/>
  <c r="M66" i="122" s="1"/>
  <c r="L65" i="119"/>
  <c r="L66" i="122" s="1"/>
  <c r="K65" i="119"/>
  <c r="K66" i="122" s="1"/>
  <c r="I65" i="119"/>
  <c r="I66" i="122" s="1"/>
  <c r="H65" i="119"/>
  <c r="H66" i="122" s="1"/>
  <c r="G65" i="119"/>
  <c r="G66" i="122" s="1"/>
  <c r="F65" i="119"/>
  <c r="N64" i="119"/>
  <c r="N65" i="122" s="1"/>
  <c r="F64" i="119"/>
  <c r="N63" i="119"/>
  <c r="E63" i="119"/>
  <c r="E64" i="122" s="1"/>
  <c r="O62" i="119"/>
  <c r="O63" i="122" s="1"/>
  <c r="M62" i="119"/>
  <c r="M63" i="122" s="1"/>
  <c r="L62" i="119"/>
  <c r="L63" i="122" s="1"/>
  <c r="K62" i="119"/>
  <c r="K63" i="122" s="1"/>
  <c r="I62" i="119"/>
  <c r="I63" i="122" s="1"/>
  <c r="H62" i="119"/>
  <c r="H63" i="122" s="1"/>
  <c r="G62" i="119"/>
  <c r="G63" i="122" s="1"/>
  <c r="N61" i="119"/>
  <c r="E61" i="119"/>
  <c r="E62" i="122" s="1"/>
  <c r="N60" i="119"/>
  <c r="E60" i="119"/>
  <c r="E61" i="122" s="1"/>
  <c r="O59" i="119"/>
  <c r="O60" i="122" s="1"/>
  <c r="M59" i="119"/>
  <c r="M60" i="122" s="1"/>
  <c r="L59" i="119"/>
  <c r="L60" i="122" s="1"/>
  <c r="K59" i="119"/>
  <c r="K60" i="122" s="1"/>
  <c r="I59" i="119"/>
  <c r="I60" i="122" s="1"/>
  <c r="H59" i="119"/>
  <c r="H60" i="122" s="1"/>
  <c r="G59" i="119"/>
  <c r="G60" i="122" s="1"/>
  <c r="F59" i="119"/>
  <c r="I57" i="119"/>
  <c r="N56" i="119"/>
  <c r="E56" i="119"/>
  <c r="E57" i="122" s="1"/>
  <c r="N55" i="119"/>
  <c r="E55" i="119"/>
  <c r="E56" i="122" s="1"/>
  <c r="O54" i="119"/>
  <c r="O55" i="122" s="1"/>
  <c r="F54" i="119"/>
  <c r="F55" i="122" s="1"/>
  <c r="M53" i="119"/>
  <c r="M54" i="122" s="1"/>
  <c r="L53" i="119"/>
  <c r="L54" i="122" s="1"/>
  <c r="K53" i="119"/>
  <c r="K54" i="122" s="1"/>
  <c r="H53" i="119"/>
  <c r="H54" i="122" s="1"/>
  <c r="G53" i="119"/>
  <c r="N52" i="119"/>
  <c r="F52" i="119"/>
  <c r="N51" i="119"/>
  <c r="N52" i="122" s="1"/>
  <c r="F51" i="119"/>
  <c r="M50" i="119"/>
  <c r="M51" i="122" s="1"/>
  <c r="L50" i="119"/>
  <c r="L51" i="122" s="1"/>
  <c r="K50" i="119"/>
  <c r="K51" i="122" s="1"/>
  <c r="H50" i="119"/>
  <c r="H51" i="122" s="1"/>
  <c r="G50" i="119"/>
  <c r="G51" i="122" s="1"/>
  <c r="O49" i="119"/>
  <c r="F49" i="119"/>
  <c r="K48" i="119"/>
  <c r="K49" i="122" s="1"/>
  <c r="N47" i="119"/>
  <c r="N48" i="122" s="1"/>
  <c r="K47" i="119"/>
  <c r="K48" i="122" s="1"/>
  <c r="F47" i="119"/>
  <c r="O46" i="119"/>
  <c r="O47" i="122" s="1"/>
  <c r="K46" i="119"/>
  <c r="F46" i="119"/>
  <c r="F47" i="122" s="1"/>
  <c r="N45" i="119"/>
  <c r="K45" i="119"/>
  <c r="K46" i="122" s="1"/>
  <c r="F45" i="119"/>
  <c r="O44" i="119"/>
  <c r="F44" i="119"/>
  <c r="M43" i="119"/>
  <c r="M42" i="119" s="1"/>
  <c r="I42" i="119"/>
  <c r="O41" i="119"/>
  <c r="E41" i="119"/>
  <c r="E42" i="122" s="1"/>
  <c r="J40" i="119"/>
  <c r="J40" i="122" s="1"/>
  <c r="F40" i="119"/>
  <c r="N39" i="119"/>
  <c r="H39" i="119"/>
  <c r="G39" i="119"/>
  <c r="F39" i="119"/>
  <c r="F39" i="122" s="1"/>
  <c r="O38" i="119"/>
  <c r="O38" i="122" s="1"/>
  <c r="M38" i="119"/>
  <c r="M38" i="122" s="1"/>
  <c r="L38" i="119"/>
  <c r="L38" i="122" s="1"/>
  <c r="K38" i="119"/>
  <c r="K38" i="122" s="1"/>
  <c r="O37" i="119"/>
  <c r="G37" i="119"/>
  <c r="F37" i="119"/>
  <c r="N36" i="119"/>
  <c r="N36" i="122" s="1"/>
  <c r="M36" i="119"/>
  <c r="L36" i="119"/>
  <c r="K36" i="119"/>
  <c r="K36" i="122" s="1"/>
  <c r="H36" i="119"/>
  <c r="H36" i="122" s="1"/>
  <c r="G36" i="119"/>
  <c r="F36" i="119"/>
  <c r="F36" i="122" s="1"/>
  <c r="O35" i="119"/>
  <c r="H35" i="119"/>
  <c r="G35" i="119"/>
  <c r="F35" i="119"/>
  <c r="F35" i="122" s="1"/>
  <c r="O34" i="119"/>
  <c r="H34" i="119"/>
  <c r="H34" i="122" s="1"/>
  <c r="G34" i="119"/>
  <c r="F34" i="119"/>
  <c r="F34" i="122" s="1"/>
  <c r="N33" i="119"/>
  <c r="H33" i="119"/>
  <c r="G33" i="119"/>
  <c r="F33" i="119"/>
  <c r="O32" i="119"/>
  <c r="L32" i="119"/>
  <c r="L32" i="122" s="1"/>
  <c r="K32" i="119"/>
  <c r="K32" i="122" s="1"/>
  <c r="K30" i="122" s="1"/>
  <c r="K29" i="122" s="1"/>
  <c r="H32" i="119"/>
  <c r="G32" i="119"/>
  <c r="F32" i="119"/>
  <c r="O31" i="119"/>
  <c r="O31" i="122" s="1"/>
  <c r="H31" i="119"/>
  <c r="H31" i="122" s="1"/>
  <c r="G31" i="119"/>
  <c r="F31" i="119"/>
  <c r="I30" i="119"/>
  <c r="I29" i="119" s="1"/>
  <c r="O28" i="119"/>
  <c r="O28" i="122" s="1"/>
  <c r="F28" i="119"/>
  <c r="N27" i="119"/>
  <c r="N27" i="122" s="1"/>
  <c r="E27" i="119"/>
  <c r="N26" i="119"/>
  <c r="F26" i="119"/>
  <c r="J24" i="119"/>
  <c r="J24" i="122" s="1"/>
  <c r="E24" i="119"/>
  <c r="E24" i="122" s="1"/>
  <c r="O23" i="119"/>
  <c r="O23" i="122" s="1"/>
  <c r="K23" i="119"/>
  <c r="K23" i="122" s="1"/>
  <c r="E23" i="119"/>
  <c r="E23" i="122" s="1"/>
  <c r="N22" i="119"/>
  <c r="E22" i="119"/>
  <c r="E22" i="122" s="1"/>
  <c r="N21" i="119"/>
  <c r="E21" i="119"/>
  <c r="E21" i="122" s="1"/>
  <c r="N20" i="119"/>
  <c r="F20" i="119"/>
  <c r="N19" i="119"/>
  <c r="O18" i="119"/>
  <c r="K18" i="119"/>
  <c r="K18" i="122" s="1"/>
  <c r="I18" i="119"/>
  <c r="I18" i="122" s="1"/>
  <c r="H18" i="119"/>
  <c r="H18" i="122" s="1"/>
  <c r="G18" i="119"/>
  <c r="G18" i="122" s="1"/>
  <c r="F18" i="119"/>
  <c r="F18" i="122" s="1"/>
  <c r="E18" i="119"/>
  <c r="E18" i="122" s="1"/>
  <c r="N17" i="119"/>
  <c r="N16" i="119"/>
  <c r="E16" i="119"/>
  <c r="E16" i="122" s="1"/>
  <c r="O15" i="119"/>
  <c r="O15" i="122" s="1"/>
  <c r="F15" i="119"/>
  <c r="F15" i="122" s="1"/>
  <c r="O14" i="119"/>
  <c r="F14" i="119"/>
  <c r="F14" i="122" s="1"/>
  <c r="M13" i="119"/>
  <c r="M12" i="119" s="1"/>
  <c r="L13" i="119"/>
  <c r="H13" i="119"/>
  <c r="H12" i="119" s="1"/>
  <c r="G13" i="119"/>
  <c r="G12" i="119" s="1"/>
  <c r="I12" i="119"/>
  <c r="M136" i="97"/>
  <c r="J61" i="98"/>
  <c r="N100" i="97"/>
  <c r="O99" i="97"/>
  <c r="O100" i="123" s="1"/>
  <c r="K99" i="97"/>
  <c r="K100" i="123" s="1"/>
  <c r="F83" i="97"/>
  <c r="F84" i="123" s="1"/>
  <c r="J100" i="97" l="1"/>
  <c r="J101" i="123" s="1"/>
  <c r="N101" i="123"/>
  <c r="M136" i="120"/>
  <c r="M137" i="123"/>
  <c r="J22" i="119"/>
  <c r="J22" i="122" s="1"/>
  <c r="N22" i="122"/>
  <c r="G36" i="120"/>
  <c r="G35" i="122"/>
  <c r="M37" i="120"/>
  <c r="M36" i="122"/>
  <c r="N37" i="119"/>
  <c r="O37" i="122"/>
  <c r="N41" i="119"/>
  <c r="O42" i="122"/>
  <c r="J56" i="119"/>
  <c r="J57" i="122" s="1"/>
  <c r="N57" i="122"/>
  <c r="O90" i="120"/>
  <c r="O90" i="122"/>
  <c r="J92" i="119"/>
  <c r="J93" i="122" s="1"/>
  <c r="N93" i="122"/>
  <c r="H95" i="119"/>
  <c r="H96" i="122" s="1"/>
  <c r="H97" i="122"/>
  <c r="N98" i="119"/>
  <c r="N99" i="122" s="1"/>
  <c r="O99" i="122"/>
  <c r="N107" i="119"/>
  <c r="N108" i="122" s="1"/>
  <c r="O108" i="122"/>
  <c r="H110" i="119"/>
  <c r="H109" i="119" s="1"/>
  <c r="H130" i="122"/>
  <c r="H118" i="122"/>
  <c r="H111" i="122" s="1"/>
  <c r="H110" i="122" s="1"/>
  <c r="J147" i="119"/>
  <c r="J148" i="122" s="1"/>
  <c r="N148" i="122"/>
  <c r="J175" i="119"/>
  <c r="J176" i="122" s="1"/>
  <c r="N176" i="122"/>
  <c r="E181" i="119"/>
  <c r="E182" i="122" s="1"/>
  <c r="F182" i="122"/>
  <c r="F181" i="122" s="1"/>
  <c r="F180" i="122" s="1"/>
  <c r="K180" i="119"/>
  <c r="K179" i="119" s="1"/>
  <c r="K182" i="122"/>
  <c r="K181" i="122" s="1"/>
  <c r="O14" i="120"/>
  <c r="O14" i="122"/>
  <c r="J16" i="119"/>
  <c r="J16" i="122" s="1"/>
  <c r="N16" i="122"/>
  <c r="N18" i="119"/>
  <c r="N18" i="122" s="1"/>
  <c r="O18" i="122"/>
  <c r="F32" i="120"/>
  <c r="F31" i="122"/>
  <c r="F33" i="120"/>
  <c r="F32" i="122"/>
  <c r="H34" i="120"/>
  <c r="H33" i="122"/>
  <c r="H36" i="120"/>
  <c r="H35" i="122"/>
  <c r="E40" i="119"/>
  <c r="E40" i="122" s="1"/>
  <c r="F40" i="122"/>
  <c r="F46" i="120"/>
  <c r="F46" i="122"/>
  <c r="K47" i="120"/>
  <c r="K47" i="122"/>
  <c r="J52" i="119"/>
  <c r="J53" i="122" s="1"/>
  <c r="N53" i="122"/>
  <c r="L44" i="122"/>
  <c r="L43" i="122" s="1"/>
  <c r="J61" i="119"/>
  <c r="J62" i="122" s="1"/>
  <c r="N62" i="122"/>
  <c r="E65" i="119"/>
  <c r="E66" i="122" s="1"/>
  <c r="F66" i="122"/>
  <c r="J73" i="119"/>
  <c r="J74" i="122" s="1"/>
  <c r="N74" i="122"/>
  <c r="J75" i="119"/>
  <c r="J76" i="122" s="1"/>
  <c r="N76" i="122"/>
  <c r="J77" i="119"/>
  <c r="J78" i="122" s="1"/>
  <c r="N78" i="122"/>
  <c r="J79" i="119"/>
  <c r="J80" i="122" s="1"/>
  <c r="N80" i="122"/>
  <c r="E85" i="119"/>
  <c r="E86" i="122" s="1"/>
  <c r="F86" i="122"/>
  <c r="E91" i="119"/>
  <c r="E92" i="122" s="1"/>
  <c r="F92" i="122"/>
  <c r="K59" i="122"/>
  <c r="J111" i="119"/>
  <c r="N124" i="122"/>
  <c r="N112" i="122"/>
  <c r="O126" i="122"/>
  <c r="O114" i="122"/>
  <c r="O128" i="122"/>
  <c r="O116" i="122"/>
  <c r="K110" i="119"/>
  <c r="K109" i="119" s="1"/>
  <c r="K130" i="122"/>
  <c r="K118" i="122"/>
  <c r="K111" i="122" s="1"/>
  <c r="G117" i="119"/>
  <c r="G131" i="122"/>
  <c r="G119" i="122"/>
  <c r="E121" i="122"/>
  <c r="E133" i="122"/>
  <c r="G123" i="119"/>
  <c r="G136" i="122" s="1"/>
  <c r="G137" i="122"/>
  <c r="F155" i="120"/>
  <c r="F151" i="122"/>
  <c r="O165" i="120"/>
  <c r="O159" i="122"/>
  <c r="J160" i="119"/>
  <c r="J161" i="122" s="1"/>
  <c r="N161" i="122"/>
  <c r="G163" i="119"/>
  <c r="G162" i="119" s="1"/>
  <c r="G165" i="122"/>
  <c r="G164" i="122" s="1"/>
  <c r="G163" i="122" s="1"/>
  <c r="L163" i="119"/>
  <c r="L162" i="119" s="1"/>
  <c r="L165" i="122"/>
  <c r="L164" i="122" s="1"/>
  <c r="L163" i="122" s="1"/>
  <c r="O177" i="119"/>
  <c r="O179" i="122"/>
  <c r="G180" i="119"/>
  <c r="G179" i="119" s="1"/>
  <c r="G182" i="122"/>
  <c r="G181" i="122" s="1"/>
  <c r="G180" i="122" s="1"/>
  <c r="L180" i="119"/>
  <c r="L179" i="119" s="1"/>
  <c r="L182" i="122"/>
  <c r="L181" i="122" s="1"/>
  <c r="L180" i="122" s="1"/>
  <c r="J182" i="119"/>
  <c r="J183" i="122" s="1"/>
  <c r="N183" i="122"/>
  <c r="J185" i="119"/>
  <c r="N186" i="122"/>
  <c r="J189" i="119"/>
  <c r="J190" i="122" s="1"/>
  <c r="N190" i="122"/>
  <c r="J20" i="119"/>
  <c r="J20" i="122" s="1"/>
  <c r="N20" i="122"/>
  <c r="G34" i="120"/>
  <c r="G33" i="122"/>
  <c r="G37" i="120"/>
  <c r="G36" i="122"/>
  <c r="J39" i="119"/>
  <c r="J39" i="122" s="1"/>
  <c r="N39" i="122"/>
  <c r="O50" i="120"/>
  <c r="O50" i="122"/>
  <c r="E52" i="119"/>
  <c r="E53" i="122" s="1"/>
  <c r="F53" i="122"/>
  <c r="J69" i="119"/>
  <c r="J70" i="122" s="1"/>
  <c r="N70" i="122"/>
  <c r="E126" i="122"/>
  <c r="E114" i="122"/>
  <c r="K163" i="119"/>
  <c r="K162" i="119" s="1"/>
  <c r="K165" i="122"/>
  <c r="K164" i="122" s="1"/>
  <c r="J17" i="119"/>
  <c r="N17" i="122"/>
  <c r="J19" i="119"/>
  <c r="N19" i="122"/>
  <c r="J21" i="119"/>
  <c r="J21" i="122" s="1"/>
  <c r="N21" i="122"/>
  <c r="K13" i="122"/>
  <c r="F26" i="120"/>
  <c r="F26" i="122"/>
  <c r="F29" i="120"/>
  <c r="F28" i="122"/>
  <c r="G32" i="120"/>
  <c r="G31" i="122"/>
  <c r="G33" i="120"/>
  <c r="G32" i="122"/>
  <c r="O33" i="120"/>
  <c r="O32" i="122"/>
  <c r="J33" i="119"/>
  <c r="J33" i="122" s="1"/>
  <c r="N33" i="122"/>
  <c r="N34" i="119"/>
  <c r="O34" i="122"/>
  <c r="O36" i="120"/>
  <c r="O35" i="122"/>
  <c r="F38" i="120"/>
  <c r="F37" i="122"/>
  <c r="G38" i="119"/>
  <c r="G38" i="122" s="1"/>
  <c r="G39" i="122"/>
  <c r="K44" i="122"/>
  <c r="F50" i="119"/>
  <c r="F52" i="122"/>
  <c r="G43" i="119"/>
  <c r="G42" i="119" s="1"/>
  <c r="G54" i="122"/>
  <c r="G44" i="122" s="1"/>
  <c r="G43" i="122" s="1"/>
  <c r="M44" i="122"/>
  <c r="M43" i="122" s="1"/>
  <c r="J55" i="119"/>
  <c r="J56" i="122" s="1"/>
  <c r="N56" i="122"/>
  <c r="E59" i="119"/>
  <c r="E60" i="122" s="1"/>
  <c r="F60" i="122"/>
  <c r="J63" i="119"/>
  <c r="J64" i="122" s="1"/>
  <c r="N64" i="122"/>
  <c r="J68" i="119"/>
  <c r="J69" i="122" s="1"/>
  <c r="N69" i="122"/>
  <c r="J70" i="119"/>
  <c r="J71" i="122" s="1"/>
  <c r="N71" i="122"/>
  <c r="E74" i="119"/>
  <c r="E75" i="122" s="1"/>
  <c r="F75" i="122"/>
  <c r="J80" i="119"/>
  <c r="J81" i="122" s="1"/>
  <c r="N81" i="122"/>
  <c r="J83" i="119"/>
  <c r="J84" i="122" s="1"/>
  <c r="N84" i="122"/>
  <c r="J87" i="119"/>
  <c r="J88" i="122" s="1"/>
  <c r="N88" i="122"/>
  <c r="G88" i="119"/>
  <c r="G89" i="122" s="1"/>
  <c r="G91" i="122"/>
  <c r="J91" i="119"/>
  <c r="J92" i="122" s="1"/>
  <c r="N92" i="122"/>
  <c r="J93" i="119"/>
  <c r="J94" i="122" s="1"/>
  <c r="N94" i="122"/>
  <c r="L95" i="119"/>
  <c r="L96" i="122" s="1"/>
  <c r="L97" i="122"/>
  <c r="L59" i="122" s="1"/>
  <c r="L58" i="122" s="1"/>
  <c r="J97" i="119"/>
  <c r="J98" i="122" s="1"/>
  <c r="N98" i="122"/>
  <c r="H104" i="119"/>
  <c r="H105" i="122" s="1"/>
  <c r="H106" i="122"/>
  <c r="E107" i="119"/>
  <c r="E108" i="122" s="1"/>
  <c r="F108" i="122"/>
  <c r="J108" i="119"/>
  <c r="J109" i="122" s="1"/>
  <c r="N109" i="122"/>
  <c r="E125" i="122"/>
  <c r="E113" i="122"/>
  <c r="E127" i="122"/>
  <c r="E115" i="122"/>
  <c r="E117" i="122"/>
  <c r="E129" i="122"/>
  <c r="L110" i="119"/>
  <c r="L109" i="119" s="1"/>
  <c r="L130" i="122"/>
  <c r="L118" i="122"/>
  <c r="L111" i="122" s="1"/>
  <c r="L110" i="122" s="1"/>
  <c r="O119" i="120"/>
  <c r="O131" i="122"/>
  <c r="O119" i="122"/>
  <c r="J120" i="119"/>
  <c r="N121" i="122"/>
  <c r="N133" i="122"/>
  <c r="J126" i="119"/>
  <c r="J139" i="122" s="1"/>
  <c r="N139" i="122"/>
  <c r="N129" i="119"/>
  <c r="N142" i="122" s="1"/>
  <c r="O142" i="122"/>
  <c r="O150" i="120"/>
  <c r="O147" i="122"/>
  <c r="J148" i="119"/>
  <c r="J149" i="122" s="1"/>
  <c r="N149" i="122"/>
  <c r="J150" i="119"/>
  <c r="J151" i="122" s="1"/>
  <c r="N151" i="122"/>
  <c r="N154" i="119"/>
  <c r="N155" i="122" s="1"/>
  <c r="O155" i="122"/>
  <c r="F156" i="119"/>
  <c r="F158" i="122"/>
  <c r="E161" i="119"/>
  <c r="E162" i="122" s="1"/>
  <c r="F162" i="122"/>
  <c r="H163" i="119"/>
  <c r="H162" i="119" s="1"/>
  <c r="H165" i="122"/>
  <c r="H164" i="122" s="1"/>
  <c r="H163" i="122" s="1"/>
  <c r="M163" i="119"/>
  <c r="M162" i="119" s="1"/>
  <c r="M165" i="122"/>
  <c r="M164" i="122" s="1"/>
  <c r="M163" i="122" s="1"/>
  <c r="O173" i="120"/>
  <c r="O167" i="122"/>
  <c r="J168" i="119"/>
  <c r="J169" i="122" s="1"/>
  <c r="N169" i="122"/>
  <c r="E170" i="119"/>
  <c r="F170" i="119" s="1"/>
  <c r="F169" i="119" s="1"/>
  <c r="E172" i="122"/>
  <c r="E171" i="122" s="1"/>
  <c r="O181" i="120"/>
  <c r="O175" i="122"/>
  <c r="J176" i="119"/>
  <c r="J177" i="122" s="1"/>
  <c r="N177" i="122"/>
  <c r="H180" i="119"/>
  <c r="H179" i="119" s="1"/>
  <c r="H182" i="122"/>
  <c r="H181" i="122" s="1"/>
  <c r="H180" i="122" s="1"/>
  <c r="M180" i="119"/>
  <c r="M179" i="119" s="1"/>
  <c r="M182" i="122"/>
  <c r="M181" i="122" s="1"/>
  <c r="M180" i="122" s="1"/>
  <c r="E188" i="122"/>
  <c r="E187" i="122" s="1"/>
  <c r="P27" i="119"/>
  <c r="P27" i="122" s="1"/>
  <c r="E27" i="122"/>
  <c r="G35" i="120"/>
  <c r="G34" i="122"/>
  <c r="O45" i="120"/>
  <c r="O45" i="122"/>
  <c r="J67" i="119"/>
  <c r="J68" i="122" s="1"/>
  <c r="N68" i="122"/>
  <c r="J82" i="119"/>
  <c r="J83" i="122" s="1"/>
  <c r="N83" i="122"/>
  <c r="N90" i="119"/>
  <c r="O91" i="122"/>
  <c r="J94" i="119"/>
  <c r="J95" i="122" s="1"/>
  <c r="N95" i="122"/>
  <c r="F112" i="120"/>
  <c r="F124" i="122"/>
  <c r="F112" i="122"/>
  <c r="E128" i="122"/>
  <c r="E116" i="122"/>
  <c r="F119" i="120"/>
  <c r="F119" i="122"/>
  <c r="F131" i="122"/>
  <c r="J119" i="119"/>
  <c r="N132" i="122"/>
  <c r="N120" i="122"/>
  <c r="E124" i="119"/>
  <c r="E137" i="122" s="1"/>
  <c r="F137" i="122"/>
  <c r="J130" i="119"/>
  <c r="J143" i="122" s="1"/>
  <c r="N143" i="122"/>
  <c r="K144" i="119"/>
  <c r="K143" i="119" s="1"/>
  <c r="K146" i="122"/>
  <c r="K145" i="122" s="1"/>
  <c r="O156" i="120"/>
  <c r="O152" i="122"/>
  <c r="E154" i="119"/>
  <c r="E155" i="122" s="1"/>
  <c r="F155" i="122"/>
  <c r="J155" i="119"/>
  <c r="J156" i="122" s="1"/>
  <c r="N156" i="122"/>
  <c r="E164" i="119"/>
  <c r="E165" i="122" s="1"/>
  <c r="E164" i="122" s="1"/>
  <c r="E163" i="122" s="1"/>
  <c r="F165" i="122"/>
  <c r="F164" i="122" s="1"/>
  <c r="F163" i="122" s="1"/>
  <c r="O172" i="120"/>
  <c r="O166" i="122"/>
  <c r="F185" i="120"/>
  <c r="F179" i="122"/>
  <c r="J184" i="119"/>
  <c r="N185" i="122"/>
  <c r="E20" i="119"/>
  <c r="E20" i="122" s="1"/>
  <c r="F20" i="122"/>
  <c r="J26" i="119"/>
  <c r="J26" i="122" s="1"/>
  <c r="N26" i="122"/>
  <c r="H30" i="122"/>
  <c r="H33" i="120"/>
  <c r="H32" i="122"/>
  <c r="F34" i="120"/>
  <c r="F33" i="122"/>
  <c r="L37" i="120"/>
  <c r="L36" i="122"/>
  <c r="L30" i="122" s="1"/>
  <c r="G38" i="120"/>
  <c r="G37" i="122"/>
  <c r="M30" i="122"/>
  <c r="H38" i="119"/>
  <c r="H38" i="122" s="1"/>
  <c r="H39" i="122"/>
  <c r="F45" i="120"/>
  <c r="F45" i="122"/>
  <c r="N46" i="120"/>
  <c r="N46" i="122"/>
  <c r="F48" i="120"/>
  <c r="F48" i="122"/>
  <c r="F48" i="119"/>
  <c r="F50" i="122"/>
  <c r="H44" i="122"/>
  <c r="H43" i="122" s="1"/>
  <c r="J60" i="119"/>
  <c r="J61" i="122" s="1"/>
  <c r="N61" i="122"/>
  <c r="E64" i="119"/>
  <c r="E65" i="122" s="1"/>
  <c r="F65" i="122"/>
  <c r="J74" i="119"/>
  <c r="J75" i="122" s="1"/>
  <c r="N75" i="122"/>
  <c r="J76" i="119"/>
  <c r="J77" i="122" s="1"/>
  <c r="N77" i="122"/>
  <c r="J78" i="119"/>
  <c r="J79" i="122" s="1"/>
  <c r="N79" i="122"/>
  <c r="E82" i="119"/>
  <c r="E83" i="122" s="1"/>
  <c r="F83" i="122"/>
  <c r="F85" i="120"/>
  <c r="F85" i="122"/>
  <c r="H88" i="119"/>
  <c r="H89" i="122" s="1"/>
  <c r="H59" i="122" s="1"/>
  <c r="H58" i="122" s="1"/>
  <c r="H91" i="122"/>
  <c r="E92" i="119"/>
  <c r="E93" i="122" s="1"/>
  <c r="F93" i="122"/>
  <c r="G95" i="119"/>
  <c r="G96" i="122" s="1"/>
  <c r="G97" i="122"/>
  <c r="M95" i="119"/>
  <c r="M96" i="122" s="1"/>
  <c r="M97" i="122"/>
  <c r="M59" i="122" s="1"/>
  <c r="M58" i="122" s="1"/>
  <c r="O106" i="120"/>
  <c r="O106" i="122"/>
  <c r="J112" i="119"/>
  <c r="N113" i="122"/>
  <c r="N125" i="122"/>
  <c r="O115" i="120"/>
  <c r="O127" i="122"/>
  <c r="O115" i="122"/>
  <c r="J116" i="119"/>
  <c r="N117" i="122"/>
  <c r="N129" i="122"/>
  <c r="M110" i="119"/>
  <c r="M109" i="119" s="1"/>
  <c r="M130" i="122"/>
  <c r="M118" i="122"/>
  <c r="M111" i="122" s="1"/>
  <c r="M110" i="122" s="1"/>
  <c r="F120" i="120"/>
  <c r="F132" i="122"/>
  <c r="F120" i="122"/>
  <c r="F128" i="120"/>
  <c r="F140" i="122"/>
  <c r="F131" i="120"/>
  <c r="F143" i="122"/>
  <c r="J153" i="119"/>
  <c r="N154" i="122"/>
  <c r="O164" i="120"/>
  <c r="O158" i="122"/>
  <c r="J161" i="119"/>
  <c r="J162" i="122" s="1"/>
  <c r="N162" i="122"/>
  <c r="I163" i="119"/>
  <c r="I162" i="119" s="1"/>
  <c r="I165" i="122"/>
  <c r="I164" i="122" s="1"/>
  <c r="I163" i="122" s="1"/>
  <c r="O178" i="120"/>
  <c r="O177" i="120" s="1"/>
  <c r="O176" i="120" s="1"/>
  <c r="O172" i="122"/>
  <c r="O171" i="122" s="1"/>
  <c r="O170" i="122" s="1"/>
  <c r="E175" i="119"/>
  <c r="E176" i="122" s="1"/>
  <c r="F176" i="122"/>
  <c r="K173" i="122"/>
  <c r="I180" i="119"/>
  <c r="I179" i="119" s="1"/>
  <c r="I182" i="122"/>
  <c r="I181" i="122" s="1"/>
  <c r="I180" i="122" s="1"/>
  <c r="J183" i="119"/>
  <c r="J184" i="122" s="1"/>
  <c r="N184" i="122"/>
  <c r="O195" i="120"/>
  <c r="O194" i="120" s="1"/>
  <c r="O189" i="122"/>
  <c r="O188" i="122" s="1"/>
  <c r="P147" i="119"/>
  <c r="P148" i="122" s="1"/>
  <c r="F134" i="119"/>
  <c r="E134" i="119" s="1"/>
  <c r="P138" i="119"/>
  <c r="E84" i="119"/>
  <c r="P87" i="119"/>
  <c r="P88" i="122" s="1"/>
  <c r="K13" i="119"/>
  <c r="K12" i="119" s="1"/>
  <c r="F62" i="119"/>
  <c r="P176" i="119"/>
  <c r="P177" i="122" s="1"/>
  <c r="P61" i="119"/>
  <c r="P62" i="122" s="1"/>
  <c r="F83" i="120"/>
  <c r="K43" i="119"/>
  <c r="K42" i="119" s="1"/>
  <c r="H43" i="119"/>
  <c r="H42" i="119" s="1"/>
  <c r="P22" i="119"/>
  <c r="P22" i="122" s="1"/>
  <c r="J47" i="119"/>
  <c r="J48" i="122" s="1"/>
  <c r="P60" i="119"/>
  <c r="P61" i="122" s="1"/>
  <c r="P75" i="119"/>
  <c r="P76" i="122" s="1"/>
  <c r="P77" i="119"/>
  <c r="P78" i="122" s="1"/>
  <c r="P79" i="119"/>
  <c r="P80" i="122" s="1"/>
  <c r="K99" i="120"/>
  <c r="N59" i="119"/>
  <c r="N60" i="122" s="1"/>
  <c r="P63" i="119"/>
  <c r="P64" i="122" s="1"/>
  <c r="J107" i="119"/>
  <c r="J108" i="122" s="1"/>
  <c r="J18" i="119"/>
  <c r="J18" i="122" s="1"/>
  <c r="E28" i="119"/>
  <c r="E28" i="122" s="1"/>
  <c r="J59" i="119"/>
  <c r="J60" i="122" s="1"/>
  <c r="M58" i="119"/>
  <c r="M57" i="119" s="1"/>
  <c r="N151" i="119"/>
  <c r="P120" i="119"/>
  <c r="N14" i="119"/>
  <c r="L30" i="119"/>
  <c r="L29" i="119" s="1"/>
  <c r="L43" i="119"/>
  <c r="L42" i="119" s="1"/>
  <c r="E37" i="119"/>
  <c r="F80" i="119"/>
  <c r="P108" i="119"/>
  <c r="P109" i="122" s="1"/>
  <c r="N133" i="119"/>
  <c r="J133" i="119" s="1"/>
  <c r="P133" i="119" s="1"/>
  <c r="N158" i="119"/>
  <c r="P160" i="119"/>
  <c r="P161" i="122" s="1"/>
  <c r="F177" i="119"/>
  <c r="N181" i="119"/>
  <c r="E187" i="119"/>
  <c r="E186" i="119" s="1"/>
  <c r="P192" i="119"/>
  <c r="P193" i="122" s="1"/>
  <c r="P194" i="119"/>
  <c r="P195" i="122" s="1"/>
  <c r="O104" i="119"/>
  <c r="O105" i="122" s="1"/>
  <c r="N105" i="119"/>
  <c r="N166" i="119"/>
  <c r="P107" i="119"/>
  <c r="P108" i="122" s="1"/>
  <c r="P182" i="119"/>
  <c r="P183" i="122" s="1"/>
  <c r="P21" i="119"/>
  <c r="P21" i="122" s="1"/>
  <c r="O48" i="119"/>
  <c r="P59" i="119"/>
  <c r="P60" i="122" s="1"/>
  <c r="P70" i="119"/>
  <c r="P71" i="122" s="1"/>
  <c r="P78" i="119"/>
  <c r="P79" i="122" s="1"/>
  <c r="P86" i="119"/>
  <c r="P87" i="122" s="1"/>
  <c r="P97" i="119"/>
  <c r="P98" i="122" s="1"/>
  <c r="N114" i="119"/>
  <c r="O137" i="119"/>
  <c r="P140" i="119"/>
  <c r="P148" i="119"/>
  <c r="P149" i="122" s="1"/>
  <c r="F163" i="119"/>
  <c r="F162" i="119" s="1"/>
  <c r="J191" i="119"/>
  <c r="J190" i="119" s="1"/>
  <c r="M30" i="119"/>
  <c r="M29" i="119" s="1"/>
  <c r="E31" i="119"/>
  <c r="E31" i="122" s="1"/>
  <c r="N38" i="119"/>
  <c r="P40" i="119"/>
  <c r="P40" i="122" s="1"/>
  <c r="E44" i="119"/>
  <c r="E45" i="122" s="1"/>
  <c r="N49" i="119"/>
  <c r="P67" i="119"/>
  <c r="P68" i="122" s="1"/>
  <c r="P69" i="119"/>
  <c r="P70" i="122" s="1"/>
  <c r="P85" i="119"/>
  <c r="P86" i="122" s="1"/>
  <c r="P94" i="119"/>
  <c r="P95" i="122" s="1"/>
  <c r="I122" i="119"/>
  <c r="I195" i="119" s="1"/>
  <c r="E136" i="119"/>
  <c r="P136" i="119" s="1"/>
  <c r="N146" i="119"/>
  <c r="P183" i="119"/>
  <c r="P184" i="122" s="1"/>
  <c r="E15" i="119"/>
  <c r="E15" i="122" s="1"/>
  <c r="F15" i="120"/>
  <c r="O13" i="119"/>
  <c r="O12" i="119" s="1"/>
  <c r="O15" i="120"/>
  <c r="N28" i="119"/>
  <c r="O29" i="120"/>
  <c r="N31" i="119"/>
  <c r="O32" i="120"/>
  <c r="E35" i="119"/>
  <c r="E35" i="122" s="1"/>
  <c r="F36" i="120"/>
  <c r="J36" i="119"/>
  <c r="J36" i="122" s="1"/>
  <c r="K37" i="120"/>
  <c r="E39" i="119"/>
  <c r="F40" i="120"/>
  <c r="P52" i="119"/>
  <c r="P53" i="122" s="1"/>
  <c r="N54" i="119"/>
  <c r="N55" i="122" s="1"/>
  <c r="O55" i="120"/>
  <c r="E89" i="119"/>
  <c r="E90" i="122" s="1"/>
  <c r="F90" i="120"/>
  <c r="N113" i="119"/>
  <c r="O114" i="120"/>
  <c r="G122" i="119"/>
  <c r="N127" i="119"/>
  <c r="O128" i="120"/>
  <c r="F145" i="119"/>
  <c r="F150" i="120"/>
  <c r="N152" i="119"/>
  <c r="O157" i="120"/>
  <c r="N194" i="120"/>
  <c r="O193" i="120"/>
  <c r="P24" i="119"/>
  <c r="P24" i="122" s="1"/>
  <c r="E32" i="119"/>
  <c r="E32" i="122" s="1"/>
  <c r="E33" i="119"/>
  <c r="E36" i="119"/>
  <c r="E36" i="122" s="1"/>
  <c r="F37" i="120"/>
  <c r="N44" i="119"/>
  <c r="J45" i="119"/>
  <c r="J46" i="122" s="1"/>
  <c r="K46" i="120"/>
  <c r="E49" i="119"/>
  <c r="F50" i="120"/>
  <c r="O53" i="119"/>
  <c r="F71" i="119"/>
  <c r="N89" i="119"/>
  <c r="N90" i="122" s="1"/>
  <c r="P91" i="119"/>
  <c r="P92" i="122" s="1"/>
  <c r="F104" i="119"/>
  <c r="F106" i="120"/>
  <c r="E119" i="119"/>
  <c r="L122" i="119"/>
  <c r="E127" i="119"/>
  <c r="E140" i="122" s="1"/>
  <c r="P128" i="119"/>
  <c r="P141" i="122" s="1"/>
  <c r="J129" i="119"/>
  <c r="J142" i="122" s="1"/>
  <c r="N132" i="119"/>
  <c r="J132" i="119" s="1"/>
  <c r="P132" i="119" s="1"/>
  <c r="P142" i="119"/>
  <c r="O156" i="119"/>
  <c r="O157" i="122" s="1"/>
  <c r="E158" i="119"/>
  <c r="E159" i="122" s="1"/>
  <c r="F165" i="120"/>
  <c r="N159" i="119"/>
  <c r="O166" i="120"/>
  <c r="O170" i="119"/>
  <c r="O169" i="119" s="1"/>
  <c r="F180" i="119"/>
  <c r="F179" i="119" s="1"/>
  <c r="N46" i="119"/>
  <c r="N47" i="122" s="1"/>
  <c r="O47" i="120"/>
  <c r="E51" i="119"/>
  <c r="E52" i="122" s="1"/>
  <c r="F52" i="120"/>
  <c r="E54" i="119"/>
  <c r="E55" i="122" s="1"/>
  <c r="F55" i="120"/>
  <c r="E83" i="119"/>
  <c r="F84" i="120"/>
  <c r="P92" i="119"/>
  <c r="P93" i="122" s="1"/>
  <c r="E106" i="119"/>
  <c r="E107" i="122" s="1"/>
  <c r="F107" i="120"/>
  <c r="N115" i="119"/>
  <c r="O116" i="120"/>
  <c r="O125" i="119"/>
  <c r="H122" i="119"/>
  <c r="E135" i="119"/>
  <c r="F136" i="120"/>
  <c r="O145" i="119"/>
  <c r="O154" i="120"/>
  <c r="N178" i="119"/>
  <c r="O185" i="120"/>
  <c r="N99" i="97"/>
  <c r="N100" i="123" s="1"/>
  <c r="O99" i="120"/>
  <c r="E14" i="119"/>
  <c r="E14" i="122" s="1"/>
  <c r="F14" i="120"/>
  <c r="N15" i="119"/>
  <c r="E26" i="119"/>
  <c r="N32" i="119"/>
  <c r="E34" i="119"/>
  <c r="F35" i="120"/>
  <c r="N35" i="119"/>
  <c r="E45" i="119"/>
  <c r="E46" i="122" s="1"/>
  <c r="E46" i="119"/>
  <c r="E47" i="122" s="1"/>
  <c r="F47" i="120"/>
  <c r="E47" i="119"/>
  <c r="F53" i="119"/>
  <c r="F54" i="122" s="1"/>
  <c r="O88" i="119"/>
  <c r="E111" i="119"/>
  <c r="P116" i="119"/>
  <c r="F125" i="119"/>
  <c r="E130" i="119"/>
  <c r="E131" i="119"/>
  <c r="P131" i="119" s="1"/>
  <c r="F132" i="120"/>
  <c r="N139" i="119"/>
  <c r="J139" i="119" s="1"/>
  <c r="P139" i="119" s="1"/>
  <c r="P141" i="119"/>
  <c r="E150" i="119"/>
  <c r="E151" i="119"/>
  <c r="F156" i="120"/>
  <c r="P155" i="119"/>
  <c r="P156" i="122" s="1"/>
  <c r="N157" i="119"/>
  <c r="N167" i="119"/>
  <c r="O174" i="120"/>
  <c r="N171" i="119"/>
  <c r="E178" i="119"/>
  <c r="E179" i="122" s="1"/>
  <c r="P16" i="119"/>
  <c r="P16" i="122" s="1"/>
  <c r="G30" i="119"/>
  <c r="G29" i="119" s="1"/>
  <c r="H30" i="119"/>
  <c r="H29" i="119" s="1"/>
  <c r="J64" i="119"/>
  <c r="N62" i="119"/>
  <c r="L12" i="119"/>
  <c r="F38" i="119"/>
  <c r="J51" i="119"/>
  <c r="J52" i="122" s="1"/>
  <c r="N50" i="119"/>
  <c r="E90" i="119"/>
  <c r="F88" i="119"/>
  <c r="K95" i="119"/>
  <c r="K96" i="122" s="1"/>
  <c r="K58" i="119"/>
  <c r="N124" i="119"/>
  <c r="O123" i="119"/>
  <c r="O136" i="122" s="1"/>
  <c r="M122" i="119"/>
  <c r="N96" i="119"/>
  <c r="O95" i="119"/>
  <c r="O117" i="119"/>
  <c r="N118" i="119"/>
  <c r="N23" i="119"/>
  <c r="K30" i="119"/>
  <c r="K29" i="119" s="1"/>
  <c r="O30" i="119"/>
  <c r="J72" i="119"/>
  <c r="N71" i="119"/>
  <c r="L58" i="119"/>
  <c r="L57" i="119" s="1"/>
  <c r="E96" i="119"/>
  <c r="E97" i="122" s="1"/>
  <c r="J106" i="119"/>
  <c r="J107" i="122" s="1"/>
  <c r="F13" i="119"/>
  <c r="P55" i="119"/>
  <c r="P56" i="122" s="1"/>
  <c r="J66" i="119"/>
  <c r="N65" i="119"/>
  <c r="P73" i="119"/>
  <c r="P74" i="122" s="1"/>
  <c r="H58" i="119"/>
  <c r="H57" i="119" s="1"/>
  <c r="P102" i="119"/>
  <c r="E105" i="119"/>
  <c r="E106" i="122" s="1"/>
  <c r="F117" i="119"/>
  <c r="E118" i="119"/>
  <c r="O134" i="119"/>
  <c r="N135" i="119"/>
  <c r="P168" i="119"/>
  <c r="P169" i="122" s="1"/>
  <c r="N174" i="119"/>
  <c r="N175" i="122" s="1"/>
  <c r="O173" i="119"/>
  <c r="N188" i="119"/>
  <c r="O187" i="119"/>
  <c r="K122" i="119"/>
  <c r="K135" i="122" s="1"/>
  <c r="P161" i="119"/>
  <c r="P162" i="122" s="1"/>
  <c r="N165" i="119"/>
  <c r="N166" i="122" s="1"/>
  <c r="O164" i="119"/>
  <c r="F123" i="119"/>
  <c r="F136" i="122" s="1"/>
  <c r="P126" i="119"/>
  <c r="P139" i="122" s="1"/>
  <c r="F129" i="119"/>
  <c r="J154" i="119"/>
  <c r="F173" i="119"/>
  <c r="F172" i="119" s="1"/>
  <c r="E146" i="119"/>
  <c r="E147" i="122" s="1"/>
  <c r="N149" i="119"/>
  <c r="E157" i="119"/>
  <c r="E158" i="122" s="1"/>
  <c r="K173" i="119"/>
  <c r="P189" i="119"/>
  <c r="P190" i="122" s="1"/>
  <c r="E193" i="119"/>
  <c r="E194" i="122" s="1"/>
  <c r="E192" i="122" s="1"/>
  <c r="P175" i="119"/>
  <c r="P176" i="122" s="1"/>
  <c r="F191" i="119"/>
  <c r="F190" i="119" s="1"/>
  <c r="P100" i="97"/>
  <c r="P101" i="123" s="1"/>
  <c r="N37" i="97"/>
  <c r="N36" i="97"/>
  <c r="N36" i="123" s="1"/>
  <c r="N33" i="97"/>
  <c r="N37" i="120" l="1"/>
  <c r="N37" i="123"/>
  <c r="O30" i="122"/>
  <c r="O29" i="122" s="1"/>
  <c r="F13" i="122"/>
  <c r="E13" i="122" s="1"/>
  <c r="O13" i="122"/>
  <c r="K123" i="122"/>
  <c r="N33" i="120"/>
  <c r="N33" i="123"/>
  <c r="L29" i="122"/>
  <c r="F12" i="122"/>
  <c r="N95" i="119"/>
  <c r="N96" i="122" s="1"/>
  <c r="O96" i="122"/>
  <c r="E88" i="119"/>
  <c r="E89" i="122" s="1"/>
  <c r="F89" i="122"/>
  <c r="P64" i="119"/>
  <c r="P65" i="122" s="1"/>
  <c r="J65" i="122"/>
  <c r="E152" i="122"/>
  <c r="J32" i="119"/>
  <c r="J32" i="122" s="1"/>
  <c r="N32" i="122"/>
  <c r="J178" i="119"/>
  <c r="J179" i="122" s="1"/>
  <c r="N179" i="122"/>
  <c r="J127" i="119"/>
  <c r="J140" i="122" s="1"/>
  <c r="N140" i="122"/>
  <c r="J31" i="119"/>
  <c r="J31" i="122" s="1"/>
  <c r="N31" i="122"/>
  <c r="J146" i="119"/>
  <c r="J147" i="122" s="1"/>
  <c r="N147" i="122"/>
  <c r="J105" i="119"/>
  <c r="J106" i="122" s="1"/>
  <c r="N106" i="122"/>
  <c r="E37" i="122"/>
  <c r="O187" i="122"/>
  <c r="N188" i="122"/>
  <c r="K163" i="122"/>
  <c r="J124" i="122"/>
  <c r="J112" i="122"/>
  <c r="J37" i="119"/>
  <c r="J37" i="122" s="1"/>
  <c r="N37" i="122"/>
  <c r="J71" i="119"/>
  <c r="J72" i="122" s="1"/>
  <c r="N72" i="122"/>
  <c r="J23" i="119"/>
  <c r="N23" i="122"/>
  <c r="J96" i="119"/>
  <c r="J97" i="122" s="1"/>
  <c r="N97" i="122"/>
  <c r="G58" i="119"/>
  <c r="G57" i="119" s="1"/>
  <c r="E91" i="122"/>
  <c r="J157" i="119"/>
  <c r="J158" i="122" s="1"/>
  <c r="N158" i="122"/>
  <c r="P150" i="119"/>
  <c r="P151" i="122" s="1"/>
  <c r="E151" i="122"/>
  <c r="P111" i="119"/>
  <c r="E124" i="122"/>
  <c r="E112" i="122"/>
  <c r="P47" i="119"/>
  <c r="P48" i="122" s="1"/>
  <c r="E48" i="122"/>
  <c r="J35" i="119"/>
  <c r="J35" i="122" s="1"/>
  <c r="N35" i="122"/>
  <c r="P26" i="119"/>
  <c r="P26" i="122" s="1"/>
  <c r="E26" i="122"/>
  <c r="E163" i="119"/>
  <c r="E162" i="119" s="1"/>
  <c r="J115" i="119"/>
  <c r="N128" i="122"/>
  <c r="N116" i="122"/>
  <c r="E71" i="119"/>
  <c r="E72" i="122" s="1"/>
  <c r="F72" i="122"/>
  <c r="G121" i="119"/>
  <c r="G134" i="122" s="1"/>
  <c r="G135" i="122"/>
  <c r="P20" i="119"/>
  <c r="P20" i="122" s="1"/>
  <c r="J114" i="119"/>
  <c r="N115" i="122"/>
  <c r="N127" i="122"/>
  <c r="N48" i="119"/>
  <c r="O49" i="122"/>
  <c r="E169" i="119"/>
  <c r="N180" i="119"/>
  <c r="N182" i="122"/>
  <c r="P76" i="119"/>
  <c r="P77" i="122" s="1"/>
  <c r="P133" i="122"/>
  <c r="P121" i="122"/>
  <c r="P74" i="119"/>
  <c r="P75" i="122" s="1"/>
  <c r="J98" i="119"/>
  <c r="E62" i="119"/>
  <c r="E63" i="122" s="1"/>
  <c r="F63" i="122"/>
  <c r="N181" i="122"/>
  <c r="N180" i="122" s="1"/>
  <c r="K196" i="122"/>
  <c r="K12" i="122"/>
  <c r="P19" i="119"/>
  <c r="P19" i="122" s="1"/>
  <c r="J19" i="122"/>
  <c r="K58" i="122"/>
  <c r="J188" i="119"/>
  <c r="N189" i="122"/>
  <c r="E38" i="119"/>
  <c r="E38" i="122" s="1"/>
  <c r="F38" i="122"/>
  <c r="E50" i="122"/>
  <c r="J152" i="119"/>
  <c r="N153" i="122"/>
  <c r="J158" i="119"/>
  <c r="J159" i="122" s="1"/>
  <c r="N159" i="122"/>
  <c r="J14" i="119"/>
  <c r="J14" i="122" s="1"/>
  <c r="N14" i="122"/>
  <c r="J117" i="122"/>
  <c r="J129" i="122"/>
  <c r="J149" i="119"/>
  <c r="N150" i="122"/>
  <c r="J65" i="119"/>
  <c r="N66" i="122"/>
  <c r="P72" i="119"/>
  <c r="P73" i="122" s="1"/>
  <c r="J73" i="122"/>
  <c r="M121" i="119"/>
  <c r="M134" i="122" s="1"/>
  <c r="M135" i="122"/>
  <c r="N170" i="119"/>
  <c r="N169" i="119" s="1"/>
  <c r="N172" i="122"/>
  <c r="N171" i="122" s="1"/>
  <c r="O58" i="119"/>
  <c r="O89" i="122"/>
  <c r="O59" i="122" s="1"/>
  <c r="O58" i="122" s="1"/>
  <c r="N99" i="120"/>
  <c r="H121" i="119"/>
  <c r="H134" i="122" s="1"/>
  <c r="H135" i="122"/>
  <c r="P83" i="119"/>
  <c r="P84" i="122" s="1"/>
  <c r="E84" i="122"/>
  <c r="J159" i="119"/>
  <c r="N160" i="122"/>
  <c r="E104" i="119"/>
  <c r="E105" i="122" s="1"/>
  <c r="F105" i="122"/>
  <c r="O43" i="119"/>
  <c r="O42" i="119" s="1"/>
  <c r="O54" i="122"/>
  <c r="P33" i="119"/>
  <c r="P33" i="122" s="1"/>
  <c r="E33" i="122"/>
  <c r="E145" i="119"/>
  <c r="E146" i="122" s="1"/>
  <c r="F146" i="122"/>
  <c r="P39" i="119"/>
  <c r="P39" i="122" s="1"/>
  <c r="E39" i="122"/>
  <c r="J28" i="119"/>
  <c r="N28" i="122"/>
  <c r="I121" i="119"/>
  <c r="I134" i="122" s="1"/>
  <c r="I135" i="122"/>
  <c r="I123" i="122" s="1"/>
  <c r="J38" i="119"/>
  <c r="J38" i="122" s="1"/>
  <c r="N38" i="122"/>
  <c r="P82" i="119"/>
  <c r="P83" i="122" s="1"/>
  <c r="E177" i="119"/>
  <c r="F178" i="122"/>
  <c r="F174" i="122" s="1"/>
  <c r="F173" i="122" s="1"/>
  <c r="J151" i="119"/>
  <c r="J152" i="122" s="1"/>
  <c r="N152" i="122"/>
  <c r="J113" i="122"/>
  <c r="J125" i="122"/>
  <c r="E48" i="119"/>
  <c r="E49" i="122" s="1"/>
  <c r="F49" i="122"/>
  <c r="P184" i="119"/>
  <c r="P185" i="122" s="1"/>
  <c r="J185" i="122"/>
  <c r="G110" i="119"/>
  <c r="G109" i="119" s="1"/>
  <c r="G130" i="122"/>
  <c r="G123" i="122" s="1"/>
  <c r="G122" i="122" s="1"/>
  <c r="G118" i="122"/>
  <c r="G111" i="122" s="1"/>
  <c r="G110" i="122" s="1"/>
  <c r="F30" i="122"/>
  <c r="K180" i="122"/>
  <c r="J41" i="119"/>
  <c r="N42" i="122"/>
  <c r="J124" i="119"/>
  <c r="N137" i="122"/>
  <c r="J167" i="119"/>
  <c r="N168" i="122"/>
  <c r="P129" i="122"/>
  <c r="P117" i="122"/>
  <c r="P119" i="119"/>
  <c r="E120" i="122"/>
  <c r="E132" i="122"/>
  <c r="P84" i="119"/>
  <c r="P85" i="122" s="1"/>
  <c r="E85" i="122"/>
  <c r="M123" i="122"/>
  <c r="M122" i="122" s="1"/>
  <c r="H29" i="122"/>
  <c r="E156" i="119"/>
  <c r="E157" i="122" s="1"/>
  <c r="F157" i="122"/>
  <c r="K43" i="122"/>
  <c r="J34" i="119"/>
  <c r="J34" i="122" s="1"/>
  <c r="N34" i="122"/>
  <c r="K122" i="122"/>
  <c r="O12" i="122"/>
  <c r="E191" i="122"/>
  <c r="P192" i="122"/>
  <c r="P154" i="119"/>
  <c r="P155" i="122" s="1"/>
  <c r="J155" i="122"/>
  <c r="E131" i="122"/>
  <c r="E119" i="122"/>
  <c r="N88" i="119"/>
  <c r="N119" i="122"/>
  <c r="N131" i="122"/>
  <c r="J50" i="119"/>
  <c r="N51" i="122"/>
  <c r="P130" i="119"/>
  <c r="P143" i="122" s="1"/>
  <c r="E143" i="122"/>
  <c r="J15" i="119"/>
  <c r="J15" i="122" s="1"/>
  <c r="N15" i="122"/>
  <c r="E129" i="119"/>
  <c r="F142" i="122"/>
  <c r="O163" i="119"/>
  <c r="O162" i="119" s="1"/>
  <c r="O165" i="122"/>
  <c r="O164" i="122" s="1"/>
  <c r="O163" i="122" s="1"/>
  <c r="F118" i="122"/>
  <c r="F111" i="122" s="1"/>
  <c r="F110" i="122" s="1"/>
  <c r="F130" i="122"/>
  <c r="J89" i="119"/>
  <c r="J90" i="122" s="1"/>
  <c r="P66" i="119"/>
  <c r="P67" i="122" s="1"/>
  <c r="J67" i="122"/>
  <c r="O110" i="119"/>
  <c r="O109" i="119" s="1"/>
  <c r="O130" i="122"/>
  <c r="O118" i="122"/>
  <c r="O111" i="122" s="1"/>
  <c r="O110" i="122" s="1"/>
  <c r="J62" i="119"/>
  <c r="J63" i="122" s="1"/>
  <c r="N63" i="122"/>
  <c r="E125" i="119"/>
  <c r="E138" i="122" s="1"/>
  <c r="F138" i="122"/>
  <c r="P56" i="119"/>
  <c r="P57" i="122" s="1"/>
  <c r="P34" i="119"/>
  <c r="P34" i="122" s="1"/>
  <c r="E34" i="122"/>
  <c r="N145" i="119"/>
  <c r="N146" i="122" s="1"/>
  <c r="O146" i="122"/>
  <c r="O145" i="122" s="1"/>
  <c r="O144" i="122" s="1"/>
  <c r="N125" i="119"/>
  <c r="O138" i="122"/>
  <c r="L121" i="119"/>
  <c r="L134" i="122" s="1"/>
  <c r="L135" i="122"/>
  <c r="L123" i="122" s="1"/>
  <c r="J44" i="119"/>
  <c r="J45" i="122" s="1"/>
  <c r="N45" i="122"/>
  <c r="J113" i="119"/>
  <c r="N126" i="122"/>
  <c r="N114" i="122"/>
  <c r="J49" i="119"/>
  <c r="J50" i="122" s="1"/>
  <c r="N50" i="122"/>
  <c r="P18" i="119"/>
  <c r="P18" i="122" s="1"/>
  <c r="P93" i="119"/>
  <c r="P94" i="122" s="1"/>
  <c r="P68" i="119"/>
  <c r="P69" i="122" s="1"/>
  <c r="J166" i="119"/>
  <c r="N167" i="122"/>
  <c r="E80" i="119"/>
  <c r="F81" i="122"/>
  <c r="P112" i="119"/>
  <c r="P153" i="119"/>
  <c r="P154" i="122" s="1"/>
  <c r="J154" i="122"/>
  <c r="G59" i="122"/>
  <c r="G58" i="122" s="1"/>
  <c r="M29" i="122"/>
  <c r="K144" i="122"/>
  <c r="J132" i="122"/>
  <c r="J120" i="122"/>
  <c r="J90" i="119"/>
  <c r="J91" i="122" s="1"/>
  <c r="N91" i="122"/>
  <c r="F171" i="122"/>
  <c r="F170" i="122" s="1"/>
  <c r="E170" i="122"/>
  <c r="J121" i="122"/>
  <c r="J133" i="122"/>
  <c r="E50" i="119"/>
  <c r="E51" i="122" s="1"/>
  <c r="F51" i="122"/>
  <c r="F44" i="122" s="1"/>
  <c r="F43" i="122" s="1"/>
  <c r="G29" i="122"/>
  <c r="G30" i="122"/>
  <c r="P17" i="119"/>
  <c r="P17" i="122" s="1"/>
  <c r="J17" i="122"/>
  <c r="P185" i="119"/>
  <c r="P186" i="122" s="1"/>
  <c r="J186" i="122"/>
  <c r="N177" i="119"/>
  <c r="N173" i="119" s="1"/>
  <c r="N172" i="119" s="1"/>
  <c r="O178" i="122"/>
  <c r="O174" i="122" s="1"/>
  <c r="O173" i="122" s="1"/>
  <c r="K110" i="122"/>
  <c r="H123" i="122"/>
  <c r="H122" i="122" s="1"/>
  <c r="P127" i="119"/>
  <c r="P140" i="122" s="1"/>
  <c r="P15" i="119"/>
  <c r="P15" i="122" s="1"/>
  <c r="N36" i="120"/>
  <c r="P146" i="119"/>
  <c r="P147" i="122" s="1"/>
  <c r="J171" i="119"/>
  <c r="P44" i="119"/>
  <c r="P45" i="122" s="1"/>
  <c r="P62" i="119"/>
  <c r="P63" i="122" s="1"/>
  <c r="N104" i="119"/>
  <c r="P14" i="119"/>
  <c r="P14" i="122" s="1"/>
  <c r="P106" i="119"/>
  <c r="P107" i="122" s="1"/>
  <c r="O144" i="119"/>
  <c r="P178" i="119"/>
  <c r="P179" i="122" s="1"/>
  <c r="P36" i="119"/>
  <c r="P36" i="122" s="1"/>
  <c r="N30" i="119"/>
  <c r="N29" i="119" s="1"/>
  <c r="J181" i="119"/>
  <c r="G195" i="119"/>
  <c r="E206" i="119" s="1"/>
  <c r="F144" i="119"/>
  <c r="F143" i="119" s="1"/>
  <c r="N156" i="119"/>
  <c r="N144" i="119" s="1"/>
  <c r="P38" i="119"/>
  <c r="P38" i="122" s="1"/>
  <c r="J30" i="119"/>
  <c r="J29" i="119" s="1"/>
  <c r="P71" i="119"/>
  <c r="P72" i="122" s="1"/>
  <c r="P35" i="119"/>
  <c r="P35" i="122" s="1"/>
  <c r="N193" i="120"/>
  <c r="J194" i="120"/>
  <c r="N53" i="119"/>
  <c r="J54" i="119"/>
  <c r="J99" i="97"/>
  <c r="J100" i="123" s="1"/>
  <c r="N137" i="119"/>
  <c r="J137" i="119" s="1"/>
  <c r="P137" i="119" s="1"/>
  <c r="F58" i="119"/>
  <c r="F57" i="119" s="1"/>
  <c r="E53" i="119"/>
  <c r="F43" i="119"/>
  <c r="F42" i="119" s="1"/>
  <c r="P45" i="119"/>
  <c r="P46" i="122" s="1"/>
  <c r="P51" i="119"/>
  <c r="P52" i="122" s="1"/>
  <c r="P32" i="119"/>
  <c r="P32" i="122" s="1"/>
  <c r="N47" i="120"/>
  <c r="J46" i="119"/>
  <c r="O57" i="119"/>
  <c r="J170" i="119"/>
  <c r="K121" i="119"/>
  <c r="K134" i="122" s="1"/>
  <c r="P96" i="119"/>
  <c r="P97" i="122" s="1"/>
  <c r="J145" i="119"/>
  <c r="F30" i="119"/>
  <c r="F29" i="119" s="1"/>
  <c r="L195" i="119"/>
  <c r="J206" i="119" s="1"/>
  <c r="E30" i="119"/>
  <c r="K172" i="119"/>
  <c r="J165" i="119"/>
  <c r="N164" i="119"/>
  <c r="N165" i="122" s="1"/>
  <c r="O29" i="119"/>
  <c r="E191" i="119"/>
  <c r="P193" i="119"/>
  <c r="P194" i="122" s="1"/>
  <c r="O172" i="119"/>
  <c r="K195" i="119"/>
  <c r="J118" i="119"/>
  <c r="N117" i="119"/>
  <c r="N58" i="119"/>
  <c r="N57" i="119" s="1"/>
  <c r="O122" i="119"/>
  <c r="O135" i="122" s="1"/>
  <c r="O123" i="122" s="1"/>
  <c r="N123" i="119"/>
  <c r="N136" i="122" s="1"/>
  <c r="K57" i="119"/>
  <c r="M195" i="119"/>
  <c r="J207" i="119" s="1"/>
  <c r="E123" i="119"/>
  <c r="F122" i="119"/>
  <c r="O143" i="119"/>
  <c r="O186" i="119"/>
  <c r="N187" i="119"/>
  <c r="J174" i="119"/>
  <c r="J135" i="119"/>
  <c r="P135" i="119" s="1"/>
  <c r="N134" i="119"/>
  <c r="J134" i="119" s="1"/>
  <c r="P134" i="119" s="1"/>
  <c r="F110" i="119"/>
  <c r="F109" i="119" s="1"/>
  <c r="E117" i="119"/>
  <c r="F12" i="119"/>
  <c r="E13" i="119"/>
  <c r="N13" i="119"/>
  <c r="P157" i="119"/>
  <c r="P158" i="122" s="1"/>
  <c r="J95" i="119"/>
  <c r="H195" i="119"/>
  <c r="E207" i="119" s="1"/>
  <c r="N32" i="97"/>
  <c r="J10" i="98"/>
  <c r="N32" i="120" l="1"/>
  <c r="N32" i="123"/>
  <c r="E30" i="122"/>
  <c r="E29" i="122" s="1"/>
  <c r="P37" i="119"/>
  <c r="P37" i="122" s="1"/>
  <c r="F145" i="122"/>
  <c r="F144" i="122" s="1"/>
  <c r="P151" i="119"/>
  <c r="P152" i="122" s="1"/>
  <c r="O44" i="122"/>
  <c r="O43" i="122" s="1"/>
  <c r="P90" i="119"/>
  <c r="P91" i="122" s="1"/>
  <c r="L122" i="122"/>
  <c r="L196" i="122"/>
  <c r="J207" i="122" s="1"/>
  <c r="O122" i="122"/>
  <c r="P50" i="119"/>
  <c r="P51" i="122" s="1"/>
  <c r="J51" i="122"/>
  <c r="P191" i="122"/>
  <c r="Q192" i="122"/>
  <c r="E173" i="119"/>
  <c r="E172" i="119" s="1"/>
  <c r="E178" i="122"/>
  <c r="E174" i="122" s="1"/>
  <c r="P98" i="119"/>
  <c r="P99" i="122" s="1"/>
  <c r="J99" i="122"/>
  <c r="P31" i="119"/>
  <c r="P31" i="122" s="1"/>
  <c r="E130" i="122"/>
  <c r="E118" i="122"/>
  <c r="E111" i="122" s="1"/>
  <c r="E144" i="119"/>
  <c r="E58" i="119"/>
  <c r="E57" i="119" s="1"/>
  <c r="E43" i="119"/>
  <c r="E42" i="119" s="1"/>
  <c r="E54" i="122"/>
  <c r="E44" i="122" s="1"/>
  <c r="P181" i="119"/>
  <c r="P182" i="122" s="1"/>
  <c r="J182" i="122"/>
  <c r="J104" i="119"/>
  <c r="N105" i="122"/>
  <c r="P171" i="119"/>
  <c r="P172" i="122" s="1"/>
  <c r="J172" i="122"/>
  <c r="G196" i="122"/>
  <c r="E207" i="122" s="1"/>
  <c r="P125" i="122"/>
  <c r="P113" i="122"/>
  <c r="J167" i="122"/>
  <c r="P166" i="119"/>
  <c r="P167" i="122" s="1"/>
  <c r="P132" i="122"/>
  <c r="P120" i="122"/>
  <c r="J168" i="122"/>
  <c r="P167" i="119"/>
  <c r="P168" i="122" s="1"/>
  <c r="J42" i="122"/>
  <c r="P41" i="119"/>
  <c r="P42" i="122" s="1"/>
  <c r="F29" i="122"/>
  <c r="P149" i="119"/>
  <c r="P150" i="122" s="1"/>
  <c r="J150" i="122"/>
  <c r="N13" i="122"/>
  <c r="P49" i="119"/>
  <c r="P50" i="122" s="1"/>
  <c r="P188" i="119"/>
  <c r="P189" i="122" s="1"/>
  <c r="J189" i="122"/>
  <c r="J48" i="119"/>
  <c r="N49" i="122"/>
  <c r="P23" i="119"/>
  <c r="P23" i="122" s="1"/>
  <c r="J23" i="122"/>
  <c r="E12" i="122"/>
  <c r="E122" i="119"/>
  <c r="E135" i="122" s="1"/>
  <c r="E123" i="122" s="1"/>
  <c r="E136" i="122"/>
  <c r="N178" i="122"/>
  <c r="N174" i="122" s="1"/>
  <c r="J177" i="119"/>
  <c r="J125" i="119"/>
  <c r="N138" i="122"/>
  <c r="J30" i="122"/>
  <c r="J29" i="122" s="1"/>
  <c r="N118" i="122"/>
  <c r="N111" i="122" s="1"/>
  <c r="N130" i="122"/>
  <c r="N164" i="122"/>
  <c r="P46" i="119"/>
  <c r="P47" i="122" s="1"/>
  <c r="J47" i="122"/>
  <c r="P54" i="119"/>
  <c r="P55" i="122" s="1"/>
  <c r="J55" i="122"/>
  <c r="P105" i="119"/>
  <c r="P106" i="122" s="1"/>
  <c r="P89" i="119"/>
  <c r="P90" i="122" s="1"/>
  <c r="P113" i="119"/>
  <c r="J126" i="122"/>
  <c r="J114" i="122"/>
  <c r="P129" i="119"/>
  <c r="P142" i="122" s="1"/>
  <c r="E142" i="122"/>
  <c r="H196" i="122"/>
  <c r="E208" i="122" s="1"/>
  <c r="P65" i="119"/>
  <c r="P66" i="122" s="1"/>
  <c r="J66" i="122"/>
  <c r="N179" i="119"/>
  <c r="J180" i="119"/>
  <c r="P112" i="122"/>
  <c r="P124" i="122"/>
  <c r="I122" i="122"/>
  <c r="I196" i="122"/>
  <c r="P114" i="119"/>
  <c r="J115" i="122"/>
  <c r="J127" i="122"/>
  <c r="P115" i="119"/>
  <c r="J128" i="122"/>
  <c r="J116" i="122"/>
  <c r="P174" i="119"/>
  <c r="P175" i="122" s="1"/>
  <c r="J175" i="122"/>
  <c r="J156" i="119"/>
  <c r="N157" i="122"/>
  <c r="N145" i="122" s="1"/>
  <c r="P95" i="119"/>
  <c r="P96" i="122" s="1"/>
  <c r="J96" i="122"/>
  <c r="F121" i="119"/>
  <c r="F134" i="122" s="1"/>
  <c r="F135" i="122"/>
  <c r="F123" i="122" s="1"/>
  <c r="P118" i="119"/>
  <c r="J119" i="122"/>
  <c r="J131" i="122"/>
  <c r="P165" i="119"/>
  <c r="P166" i="122" s="1"/>
  <c r="J166" i="122"/>
  <c r="P145" i="119"/>
  <c r="P146" i="122" s="1"/>
  <c r="J146" i="122"/>
  <c r="J53" i="119"/>
  <c r="J54" i="122" s="1"/>
  <c r="N54" i="122"/>
  <c r="N44" i="122" s="1"/>
  <c r="P158" i="119"/>
  <c r="P159" i="122" s="1"/>
  <c r="M196" i="122"/>
  <c r="J208" i="122" s="1"/>
  <c r="P80" i="119"/>
  <c r="P81" i="122" s="1"/>
  <c r="E81" i="122"/>
  <c r="E59" i="122" s="1"/>
  <c r="J88" i="119"/>
  <c r="J89" i="122" s="1"/>
  <c r="N89" i="122"/>
  <c r="N59" i="122" s="1"/>
  <c r="P124" i="119"/>
  <c r="P137" i="122" s="1"/>
  <c r="J137" i="122"/>
  <c r="J181" i="122"/>
  <c r="P28" i="119"/>
  <c r="P28" i="122" s="1"/>
  <c r="J28" i="122"/>
  <c r="E145" i="122"/>
  <c r="P159" i="119"/>
  <c r="P160" i="122" s="1"/>
  <c r="J160" i="122"/>
  <c r="N170" i="122"/>
  <c r="J171" i="122"/>
  <c r="P152" i="119"/>
  <c r="P153" i="122" s="1"/>
  <c r="J153" i="122"/>
  <c r="N187" i="122"/>
  <c r="J188" i="122"/>
  <c r="N30" i="122"/>
  <c r="N29" i="122" s="1"/>
  <c r="F59" i="122"/>
  <c r="F58" i="122" s="1"/>
  <c r="F195" i="119"/>
  <c r="P53" i="119"/>
  <c r="P54" i="122" s="1"/>
  <c r="J193" i="120"/>
  <c r="N43" i="119"/>
  <c r="P99" i="97"/>
  <c r="J99" i="120"/>
  <c r="N12" i="119"/>
  <c r="J13" i="119"/>
  <c r="E110" i="119"/>
  <c r="J117" i="119"/>
  <c r="N110" i="119"/>
  <c r="J164" i="119"/>
  <c r="N163" i="119"/>
  <c r="N143" i="119"/>
  <c r="J144" i="119"/>
  <c r="J143" i="119" s="1"/>
  <c r="E121" i="119"/>
  <c r="E134" i="122" s="1"/>
  <c r="J123" i="119"/>
  <c r="N122" i="119"/>
  <c r="N135" i="122" s="1"/>
  <c r="E143" i="119"/>
  <c r="E190" i="119"/>
  <c r="P191" i="119"/>
  <c r="P30" i="119"/>
  <c r="E29" i="119"/>
  <c r="P170" i="119"/>
  <c r="J169" i="119"/>
  <c r="J58" i="119"/>
  <c r="J57" i="119" s="1"/>
  <c r="E12" i="119"/>
  <c r="J187" i="119"/>
  <c r="N186" i="119"/>
  <c r="O121" i="119"/>
  <c r="O134" i="122" s="1"/>
  <c r="J173" i="119"/>
  <c r="O195" i="119"/>
  <c r="O196" i="122" l="1"/>
  <c r="P99" i="120"/>
  <c r="P100" i="123"/>
  <c r="E58" i="122"/>
  <c r="N43" i="122"/>
  <c r="J44" i="122"/>
  <c r="J43" i="122" s="1"/>
  <c r="E122" i="122"/>
  <c r="E196" i="122"/>
  <c r="N144" i="122"/>
  <c r="J145" i="122"/>
  <c r="J144" i="122" s="1"/>
  <c r="F122" i="122"/>
  <c r="F196" i="122"/>
  <c r="N58" i="122"/>
  <c r="J59" i="122"/>
  <c r="J58" i="122" s="1"/>
  <c r="E110" i="122"/>
  <c r="P111" i="122"/>
  <c r="N110" i="122"/>
  <c r="J111" i="122"/>
  <c r="J110" i="122" s="1"/>
  <c r="P117" i="119"/>
  <c r="J118" i="122"/>
  <c r="J130" i="122"/>
  <c r="P188" i="122"/>
  <c r="J187" i="122"/>
  <c r="J170" i="122"/>
  <c r="P171" i="122"/>
  <c r="E144" i="122"/>
  <c r="P145" i="122"/>
  <c r="P88" i="119"/>
  <c r="P89" i="122" s="1"/>
  <c r="P127" i="122"/>
  <c r="P115" i="122"/>
  <c r="N163" i="122"/>
  <c r="J164" i="122"/>
  <c r="P48" i="119"/>
  <c r="P49" i="122" s="1"/>
  <c r="J49" i="122"/>
  <c r="N12" i="122"/>
  <c r="J13" i="122"/>
  <c r="P123" i="119"/>
  <c r="P136" i="122" s="1"/>
  <c r="J136" i="122"/>
  <c r="P181" i="122"/>
  <c r="J180" i="122"/>
  <c r="P156" i="119"/>
  <c r="P157" i="122" s="1"/>
  <c r="J157" i="122"/>
  <c r="J179" i="119"/>
  <c r="P180" i="119"/>
  <c r="E195" i="119"/>
  <c r="P131" i="122"/>
  <c r="P119" i="122"/>
  <c r="P128" i="122"/>
  <c r="P116" i="122"/>
  <c r="P126" i="122"/>
  <c r="P114" i="122"/>
  <c r="N123" i="122"/>
  <c r="N196" i="122" s="1"/>
  <c r="J138" i="122"/>
  <c r="P125" i="119"/>
  <c r="P138" i="122" s="1"/>
  <c r="E43" i="122"/>
  <c r="P44" i="122"/>
  <c r="P30" i="122"/>
  <c r="N173" i="122"/>
  <c r="J174" i="122"/>
  <c r="J173" i="122" s="1"/>
  <c r="P164" i="119"/>
  <c r="P165" i="122" s="1"/>
  <c r="J165" i="122"/>
  <c r="P177" i="119"/>
  <c r="P178" i="122" s="1"/>
  <c r="J178" i="122"/>
  <c r="J105" i="122"/>
  <c r="P104" i="119"/>
  <c r="P105" i="122" s="1"/>
  <c r="E173" i="122"/>
  <c r="P174" i="122"/>
  <c r="J43" i="119"/>
  <c r="N42" i="119"/>
  <c r="E205" i="119"/>
  <c r="N121" i="119"/>
  <c r="N134" i="122" s="1"/>
  <c r="J122" i="119"/>
  <c r="J135" i="122" s="1"/>
  <c r="P58" i="119"/>
  <c r="N109" i="119"/>
  <c r="J110" i="119"/>
  <c r="J109" i="119" s="1"/>
  <c r="J12" i="119"/>
  <c r="P13" i="119"/>
  <c r="Q191" i="119"/>
  <c r="P190" i="119"/>
  <c r="P187" i="119"/>
  <c r="J186" i="119"/>
  <c r="E109" i="119"/>
  <c r="J172" i="119"/>
  <c r="P173" i="119"/>
  <c r="P169" i="119"/>
  <c r="Q170" i="119"/>
  <c r="P29" i="119"/>
  <c r="Q30" i="119"/>
  <c r="P144" i="119"/>
  <c r="J163" i="119"/>
  <c r="N162" i="119"/>
  <c r="N195" i="119"/>
  <c r="F75" i="97"/>
  <c r="F53" i="97"/>
  <c r="H40" i="97"/>
  <c r="H32" i="97"/>
  <c r="H13" i="97"/>
  <c r="O18" i="97"/>
  <c r="O18" i="123" s="1"/>
  <c r="N19" i="97"/>
  <c r="N19" i="123" s="1"/>
  <c r="K18" i="97"/>
  <c r="F18" i="97"/>
  <c r="G18" i="97"/>
  <c r="H18" i="97"/>
  <c r="I18" i="97"/>
  <c r="E18" i="97"/>
  <c r="H32" i="120" l="1"/>
  <c r="H32" i="123"/>
  <c r="P59" i="122"/>
  <c r="K18" i="120"/>
  <c r="K18" i="123"/>
  <c r="H18" i="120"/>
  <c r="H18" i="123"/>
  <c r="H40" i="120"/>
  <c r="H40" i="123"/>
  <c r="I18" i="120"/>
  <c r="I18" i="123"/>
  <c r="G18" i="120"/>
  <c r="G18" i="123"/>
  <c r="F51" i="97"/>
  <c r="F52" i="123" s="1"/>
  <c r="F54" i="123"/>
  <c r="E18" i="120"/>
  <c r="E18" i="123"/>
  <c r="F18" i="120"/>
  <c r="F18" i="123"/>
  <c r="F75" i="120"/>
  <c r="F76" i="123"/>
  <c r="Q171" i="122"/>
  <c r="P170" i="122"/>
  <c r="Q174" i="122"/>
  <c r="P173" i="122"/>
  <c r="P180" i="122"/>
  <c r="Q181" i="122"/>
  <c r="P164" i="122"/>
  <c r="J163" i="122"/>
  <c r="Q111" i="122"/>
  <c r="P110" i="122"/>
  <c r="E206" i="122"/>
  <c r="N122" i="122"/>
  <c r="J123" i="122"/>
  <c r="P144" i="122"/>
  <c r="Q145" i="122"/>
  <c r="P130" i="122"/>
  <c r="P118" i="122"/>
  <c r="Q59" i="122"/>
  <c r="P58" i="122"/>
  <c r="P43" i="122"/>
  <c r="Q44" i="122"/>
  <c r="P179" i="119"/>
  <c r="Q180" i="119"/>
  <c r="J12" i="122"/>
  <c r="P13" i="122"/>
  <c r="J196" i="122"/>
  <c r="P29" i="122"/>
  <c r="Q30" i="122"/>
  <c r="Q188" i="122"/>
  <c r="P187" i="122"/>
  <c r="G52" i="104"/>
  <c r="F53" i="120"/>
  <c r="G50" i="104"/>
  <c r="F51" i="120"/>
  <c r="P110" i="119"/>
  <c r="Q110" i="119" s="1"/>
  <c r="N18" i="97"/>
  <c r="O18" i="120"/>
  <c r="J195" i="119"/>
  <c r="P43" i="119"/>
  <c r="J42" i="119"/>
  <c r="J19" i="97"/>
  <c r="J19" i="123" s="1"/>
  <c r="N19" i="120"/>
  <c r="J121" i="119"/>
  <c r="J134" i="122" s="1"/>
  <c r="P122" i="119"/>
  <c r="P135" i="122" s="1"/>
  <c r="P163" i="119"/>
  <c r="J162" i="119"/>
  <c r="Q187" i="119"/>
  <c r="P186" i="119"/>
  <c r="P12" i="119"/>
  <c r="Q13" i="119"/>
  <c r="Q173" i="119"/>
  <c r="P172" i="119"/>
  <c r="P143" i="119"/>
  <c r="Q144" i="119"/>
  <c r="P109" i="119"/>
  <c r="Q58" i="119"/>
  <c r="P57" i="119"/>
  <c r="N18" i="120" l="1"/>
  <c r="N18" i="123"/>
  <c r="Q164" i="122"/>
  <c r="P163" i="122"/>
  <c r="P12" i="122"/>
  <c r="P196" i="122"/>
  <c r="Q13" i="122"/>
  <c r="J122" i="122"/>
  <c r="P123" i="122"/>
  <c r="J18" i="97"/>
  <c r="Q43" i="119"/>
  <c r="P42" i="119"/>
  <c r="P19" i="97"/>
  <c r="J19" i="120"/>
  <c r="Q122" i="119"/>
  <c r="P121" i="119"/>
  <c r="P134" i="122" s="1"/>
  <c r="Q163" i="119"/>
  <c r="P162" i="119"/>
  <c r="P195" i="119"/>
  <c r="P19" i="120" l="1"/>
  <c r="P19" i="123"/>
  <c r="J18" i="120"/>
  <c r="J18" i="123"/>
  <c r="P18" i="97"/>
  <c r="Q123" i="122"/>
  <c r="P122" i="122"/>
  <c r="F206" i="122"/>
  <c r="P204" i="122"/>
  <c r="F205" i="119"/>
  <c r="P203" i="119"/>
  <c r="G16" i="97"/>
  <c r="G16" i="123" s="1"/>
  <c r="G13" i="123" s="1"/>
  <c r="N17" i="97"/>
  <c r="G12" i="123" l="1"/>
  <c r="N17" i="120"/>
  <c r="N17" i="123"/>
  <c r="P18" i="120"/>
  <c r="P18" i="123"/>
  <c r="G16" i="120"/>
  <c r="G13" i="120" s="1"/>
  <c r="G13" i="97"/>
  <c r="E17" i="97"/>
  <c r="J17" i="97"/>
  <c r="J17" i="123" s="1"/>
  <c r="F41" i="97"/>
  <c r="F41" i="120" l="1"/>
  <c r="F41" i="123"/>
  <c r="E17" i="120"/>
  <c r="E17" i="123"/>
  <c r="G12" i="120"/>
  <c r="P17" i="97"/>
  <c r="J17" i="120"/>
  <c r="G15" i="104"/>
  <c r="G7" i="104"/>
  <c r="P17" i="120" l="1"/>
  <c r="P17" i="123"/>
  <c r="F200" i="120"/>
  <c r="F198" i="120" s="1"/>
  <c r="F197" i="120" s="1"/>
  <c r="F201" i="123"/>
  <c r="G194" i="97"/>
  <c r="H194" i="97"/>
  <c r="I194" i="97"/>
  <c r="K194" i="97"/>
  <c r="L194" i="97"/>
  <c r="M194" i="97"/>
  <c r="F199" i="123" l="1"/>
  <c r="F198" i="123" s="1"/>
  <c r="I36" i="104"/>
  <c r="I29" i="104"/>
  <c r="C107" i="105" l="1"/>
  <c r="D11" i="108" l="1"/>
  <c r="J60" i="98"/>
  <c r="F164" i="97"/>
  <c r="J155" i="98"/>
  <c r="J144" i="98"/>
  <c r="J134" i="98"/>
  <c r="H115" i="98"/>
  <c r="I120" i="98"/>
  <c r="H120" i="98" s="1"/>
  <c r="J120" i="98"/>
  <c r="J113" i="98" s="1"/>
  <c r="F91" i="97"/>
  <c r="F86" i="97"/>
  <c r="E84" i="97"/>
  <c r="N84" i="97"/>
  <c r="N85" i="123" s="1"/>
  <c r="F17" i="116"/>
  <c r="F8" i="116"/>
  <c r="N192" i="97"/>
  <c r="N191" i="97"/>
  <c r="N189" i="97"/>
  <c r="N190" i="97"/>
  <c r="J253" i="98"/>
  <c r="O194" i="97"/>
  <c r="N194" i="97" s="1"/>
  <c r="F194" i="97"/>
  <c r="N196" i="97"/>
  <c r="N197" i="123" s="1"/>
  <c r="E196" i="97"/>
  <c r="E197" i="123" s="1"/>
  <c r="J240" i="98"/>
  <c r="I103" i="104"/>
  <c r="H105" i="104"/>
  <c r="H104" i="104" s="1"/>
  <c r="N109" i="97"/>
  <c r="N110" i="123" s="1"/>
  <c r="E109" i="97"/>
  <c r="E110" i="123" s="1"/>
  <c r="O108" i="97"/>
  <c r="O109" i="123" s="1"/>
  <c r="M108" i="97"/>
  <c r="L108" i="97"/>
  <c r="K108" i="97"/>
  <c r="H108" i="97"/>
  <c r="G108" i="97"/>
  <c r="F108" i="97"/>
  <c r="F109" i="123" s="1"/>
  <c r="J71" i="98"/>
  <c r="O91" i="97"/>
  <c r="H91" i="97"/>
  <c r="G91" i="97"/>
  <c r="J58" i="98"/>
  <c r="J57" i="98" s="1"/>
  <c r="G91" i="120" l="1"/>
  <c r="G92" i="123"/>
  <c r="L108" i="120"/>
  <c r="L109" i="123"/>
  <c r="N192" i="120"/>
  <c r="N193" i="123"/>
  <c r="E84" i="120"/>
  <c r="E85" i="123"/>
  <c r="K108" i="120"/>
  <c r="K109" i="123"/>
  <c r="H91" i="120"/>
  <c r="H92" i="123"/>
  <c r="M108" i="120"/>
  <c r="M109" i="123"/>
  <c r="N190" i="120"/>
  <c r="N191" i="123"/>
  <c r="F86" i="120"/>
  <c r="F81" i="120" s="1"/>
  <c r="E81" i="120" s="1"/>
  <c r="P81" i="120" s="1"/>
  <c r="F87" i="123"/>
  <c r="F82" i="123" s="1"/>
  <c r="E82" i="123" s="1"/>
  <c r="P82" i="123" s="1"/>
  <c r="F164" i="120"/>
  <c r="F165" i="123"/>
  <c r="G108" i="120"/>
  <c r="G109" i="123"/>
  <c r="O91" i="120"/>
  <c r="O92" i="123"/>
  <c r="H108" i="120"/>
  <c r="H109" i="123"/>
  <c r="N189" i="120"/>
  <c r="N190" i="123"/>
  <c r="F91" i="120"/>
  <c r="F92" i="123"/>
  <c r="N191" i="120"/>
  <c r="N192" i="123"/>
  <c r="E108" i="97"/>
  <c r="F108" i="120"/>
  <c r="J196" i="97"/>
  <c r="J197" i="123" s="1"/>
  <c r="N196" i="120"/>
  <c r="N108" i="97"/>
  <c r="O108" i="120"/>
  <c r="J109" i="97"/>
  <c r="N109" i="120"/>
  <c r="G200" i="104"/>
  <c r="E196" i="120"/>
  <c r="G105" i="104"/>
  <c r="G104" i="104" s="1"/>
  <c r="I104" i="104" s="1"/>
  <c r="E109" i="120"/>
  <c r="J84" i="97"/>
  <c r="N84" i="120"/>
  <c r="J137" i="98"/>
  <c r="R187" i="119"/>
  <c r="R170" i="119"/>
  <c r="N164" i="97"/>
  <c r="N165" i="123" s="1"/>
  <c r="G83" i="104"/>
  <c r="H83" i="104"/>
  <c r="P84" i="97"/>
  <c r="J108" i="97"/>
  <c r="D24" i="108"/>
  <c r="J109" i="120" l="1"/>
  <c r="J110" i="123"/>
  <c r="J108" i="120"/>
  <c r="J109" i="123"/>
  <c r="P84" i="120"/>
  <c r="P85" i="123"/>
  <c r="J84" i="120"/>
  <c r="J85" i="123"/>
  <c r="N108" i="120"/>
  <c r="N109" i="123"/>
  <c r="E108" i="120"/>
  <c r="E109" i="123"/>
  <c r="P109" i="97"/>
  <c r="H200" i="104"/>
  <c r="I200" i="104" s="1"/>
  <c r="J196" i="120"/>
  <c r="P196" i="97"/>
  <c r="N163" i="97"/>
  <c r="N164" i="120"/>
  <c r="I105" i="104"/>
  <c r="I83" i="104"/>
  <c r="P108" i="97"/>
  <c r="I14" i="104"/>
  <c r="I15" i="104"/>
  <c r="I16" i="104"/>
  <c r="I17" i="104"/>
  <c r="I18" i="104"/>
  <c r="I19" i="104"/>
  <c r="I20" i="104"/>
  <c r="I21" i="104"/>
  <c r="N29" i="97"/>
  <c r="E29" i="97"/>
  <c r="E29" i="123" s="1"/>
  <c r="F20" i="97"/>
  <c r="F20" i="123" s="1"/>
  <c r="F13" i="123" s="1"/>
  <c r="I8" i="104"/>
  <c r="J7" i="98"/>
  <c r="F168" i="97"/>
  <c r="J41" i="97"/>
  <c r="K33" i="97"/>
  <c r="L33" i="97"/>
  <c r="H28" i="104"/>
  <c r="G28" i="104"/>
  <c r="H25" i="104"/>
  <c r="G25" i="104"/>
  <c r="J34" i="98"/>
  <c r="O42" i="97"/>
  <c r="O39" i="97"/>
  <c r="J32" i="98"/>
  <c r="O38" i="97"/>
  <c r="O35" i="120"/>
  <c r="L33" i="120" l="1"/>
  <c r="L33" i="123"/>
  <c r="O38" i="120"/>
  <c r="O38" i="123"/>
  <c r="F168" i="120"/>
  <c r="F169" i="123"/>
  <c r="O39" i="120"/>
  <c r="O39" i="123"/>
  <c r="K33" i="120"/>
  <c r="K33" i="123"/>
  <c r="P108" i="120"/>
  <c r="P109" i="123"/>
  <c r="N163" i="120"/>
  <c r="N164" i="123"/>
  <c r="P109" i="120"/>
  <c r="P110" i="123"/>
  <c r="N29" i="120"/>
  <c r="N29" i="123"/>
  <c r="O42" i="120"/>
  <c r="O43" i="123"/>
  <c r="J41" i="120"/>
  <c r="J41" i="123"/>
  <c r="E13" i="123"/>
  <c r="F12" i="123"/>
  <c r="P196" i="120"/>
  <c r="P197" i="123"/>
  <c r="O31" i="120"/>
  <c r="O30" i="120" s="1"/>
  <c r="F20" i="120"/>
  <c r="F13" i="120" s="1"/>
  <c r="F13" i="97"/>
  <c r="E29" i="120"/>
  <c r="J14" i="104"/>
  <c r="R13" i="119"/>
  <c r="J29" i="97"/>
  <c r="J29" i="123" s="1"/>
  <c r="J21" i="98"/>
  <c r="R30" i="119" s="1"/>
  <c r="I7" i="104"/>
  <c r="O31" i="123" l="1"/>
  <c r="O30" i="123" s="1"/>
  <c r="E12" i="123"/>
  <c r="F12" i="120"/>
  <c r="E13" i="120"/>
  <c r="E12" i="120" s="1"/>
  <c r="K14" i="104"/>
  <c r="J29" i="120"/>
  <c r="P29" i="97"/>
  <c r="G40" i="97"/>
  <c r="G146" i="104"/>
  <c r="H146" i="104"/>
  <c r="H145" i="104" s="1"/>
  <c r="J102" i="98"/>
  <c r="J90" i="98"/>
  <c r="O125" i="97"/>
  <c r="F125" i="97"/>
  <c r="G125" i="97"/>
  <c r="J95" i="98"/>
  <c r="J89" i="98" s="1"/>
  <c r="H98" i="98"/>
  <c r="I99" i="98"/>
  <c r="H99" i="98" s="1"/>
  <c r="I118" i="104"/>
  <c r="N121" i="97"/>
  <c r="N122" i="123" s="1"/>
  <c r="N117" i="97"/>
  <c r="E121" i="97"/>
  <c r="E117" i="97"/>
  <c r="E118" i="123" s="1"/>
  <c r="J85" i="98"/>
  <c r="J74" i="98" s="1"/>
  <c r="G119" i="97"/>
  <c r="H237" i="98"/>
  <c r="H235" i="98"/>
  <c r="H217" i="98"/>
  <c r="H216" i="98"/>
  <c r="H83" i="98"/>
  <c r="H45" i="98"/>
  <c r="H43" i="98"/>
  <c r="H38" i="98"/>
  <c r="H27" i="98"/>
  <c r="H26" i="98"/>
  <c r="H13" i="98"/>
  <c r="H189" i="104"/>
  <c r="J250" i="98"/>
  <c r="J247" i="98" s="1"/>
  <c r="G183" i="104"/>
  <c r="G40" i="120" l="1"/>
  <c r="G40" i="123"/>
  <c r="G125" i="120"/>
  <c r="G126" i="123"/>
  <c r="P29" i="120"/>
  <c r="P29" i="123"/>
  <c r="E121" i="120"/>
  <c r="E122" i="123"/>
  <c r="F125" i="120"/>
  <c r="F126" i="123"/>
  <c r="G119" i="120"/>
  <c r="G120" i="123"/>
  <c r="N117" i="120"/>
  <c r="N118" i="123"/>
  <c r="O125" i="120"/>
  <c r="O126" i="123"/>
  <c r="J121" i="97"/>
  <c r="N121" i="120"/>
  <c r="G113" i="104"/>
  <c r="E117" i="120"/>
  <c r="R110" i="119"/>
  <c r="R173" i="119"/>
  <c r="J117" i="97"/>
  <c r="J118" i="123" s="1"/>
  <c r="G120" i="104"/>
  <c r="R122" i="119"/>
  <c r="H120" i="104"/>
  <c r="P121" i="97"/>
  <c r="I185" i="104"/>
  <c r="F182" i="97"/>
  <c r="I234" i="98"/>
  <c r="G234" i="98"/>
  <c r="J234" i="98"/>
  <c r="H233" i="98"/>
  <c r="G224" i="98"/>
  <c r="P121" i="120" l="1"/>
  <c r="P122" i="123"/>
  <c r="F182" i="120"/>
  <c r="F183" i="123"/>
  <c r="J121" i="120"/>
  <c r="J122" i="123"/>
  <c r="H113" i="104"/>
  <c r="I113" i="104" s="1"/>
  <c r="J117" i="120"/>
  <c r="I120" i="104"/>
  <c r="P117" i="97"/>
  <c r="H234" i="98"/>
  <c r="H224" i="98"/>
  <c r="H215" i="98"/>
  <c r="G214" i="98"/>
  <c r="J213" i="98"/>
  <c r="G212" i="98"/>
  <c r="H211" i="98"/>
  <c r="P117" i="120" l="1"/>
  <c r="P118" i="123"/>
  <c r="H214" i="98"/>
  <c r="H212" i="98"/>
  <c r="H213" i="98"/>
  <c r="G208" i="98"/>
  <c r="J207" i="98"/>
  <c r="J206" i="98" s="1"/>
  <c r="R163" i="119" s="1"/>
  <c r="H210" i="98" l="1"/>
  <c r="H208" i="98"/>
  <c r="J50" i="98"/>
  <c r="J36" i="98" s="1"/>
  <c r="N48" i="97" l="1"/>
  <c r="K48" i="97"/>
  <c r="O54" i="97"/>
  <c r="N57" i="97"/>
  <c r="N58" i="123" s="1"/>
  <c r="E57" i="97"/>
  <c r="O54" i="120" l="1"/>
  <c r="O55" i="123"/>
  <c r="K48" i="120"/>
  <c r="K49" i="123"/>
  <c r="E57" i="120"/>
  <c r="E58" i="123"/>
  <c r="N48" i="120"/>
  <c r="N49" i="123"/>
  <c r="J57" i="97"/>
  <c r="J58" i="123" s="1"/>
  <c r="N57" i="120"/>
  <c r="R43" i="119"/>
  <c r="P57" i="97"/>
  <c r="P57" i="120" l="1"/>
  <c r="P58" i="123"/>
  <c r="J57" i="120"/>
  <c r="H56" i="104"/>
  <c r="I56" i="104" s="1"/>
  <c r="G51" i="97"/>
  <c r="H51" i="97"/>
  <c r="K51" i="97"/>
  <c r="L51" i="97"/>
  <c r="M51" i="97"/>
  <c r="N53" i="97"/>
  <c r="E53" i="97"/>
  <c r="N52" i="97"/>
  <c r="E52" i="97"/>
  <c r="N53" i="120" l="1"/>
  <c r="N54" i="123"/>
  <c r="H51" i="120"/>
  <c r="H52" i="123"/>
  <c r="E52" i="120"/>
  <c r="E53" i="123"/>
  <c r="M51" i="120"/>
  <c r="M52" i="123"/>
  <c r="G51" i="120"/>
  <c r="G52" i="123"/>
  <c r="N52" i="120"/>
  <c r="N53" i="123"/>
  <c r="L51" i="120"/>
  <c r="L52" i="123"/>
  <c r="E53" i="120"/>
  <c r="E54" i="123"/>
  <c r="K51" i="120"/>
  <c r="K52" i="123"/>
  <c r="J53" i="97"/>
  <c r="J54" i="123" s="1"/>
  <c r="J52" i="97"/>
  <c r="J53" i="123" s="1"/>
  <c r="N51" i="97"/>
  <c r="E51" i="97"/>
  <c r="F33" i="118"/>
  <c r="F31" i="118"/>
  <c r="F30" i="118"/>
  <c r="F29" i="118"/>
  <c r="F14" i="118"/>
  <c r="F13" i="118"/>
  <c r="F12" i="118"/>
  <c r="E11" i="118"/>
  <c r="D11" i="118"/>
  <c r="C11" i="118"/>
  <c r="O126" i="97"/>
  <c r="O127" i="123" s="1"/>
  <c r="K126" i="97"/>
  <c r="F126" i="97"/>
  <c r="J129" i="97"/>
  <c r="E129" i="97"/>
  <c r="F126" i="120" l="1"/>
  <c r="F127" i="123"/>
  <c r="K126" i="120"/>
  <c r="K127" i="123"/>
  <c r="E51" i="120"/>
  <c r="E52" i="123"/>
  <c r="P52" i="97"/>
  <c r="E129" i="120"/>
  <c r="E130" i="123"/>
  <c r="J129" i="120"/>
  <c r="J130" i="123"/>
  <c r="N51" i="120"/>
  <c r="N52" i="123"/>
  <c r="J52" i="120"/>
  <c r="H51" i="104"/>
  <c r="I51" i="104" s="1"/>
  <c r="J53" i="120"/>
  <c r="H52" i="104"/>
  <c r="I52" i="104" s="1"/>
  <c r="O126" i="120"/>
  <c r="P53" i="97"/>
  <c r="H128" i="104"/>
  <c r="G128" i="104"/>
  <c r="J51" i="97"/>
  <c r="J52" i="123" s="1"/>
  <c r="F11" i="118"/>
  <c r="P129" i="97"/>
  <c r="P129" i="120" l="1"/>
  <c r="P130" i="123"/>
  <c r="P53" i="120"/>
  <c r="P54" i="123"/>
  <c r="P52" i="120"/>
  <c r="P53" i="123"/>
  <c r="J51" i="120"/>
  <c r="H50" i="104"/>
  <c r="I50" i="104" s="1"/>
  <c r="I128" i="104"/>
  <c r="P51" i="97"/>
  <c r="P51" i="120" l="1"/>
  <c r="P52" i="123"/>
  <c r="E96" i="97"/>
  <c r="E96" i="120" l="1"/>
  <c r="E97" i="123"/>
  <c r="G95" i="104"/>
  <c r="F92" i="97"/>
  <c r="J86" i="97"/>
  <c r="E86" i="97"/>
  <c r="J85" i="97"/>
  <c r="J87" i="97"/>
  <c r="N83" i="97"/>
  <c r="E83" i="97"/>
  <c r="E87" i="97"/>
  <c r="F92" i="120" l="1"/>
  <c r="F93" i="123"/>
  <c r="N83" i="120"/>
  <c r="N84" i="123"/>
  <c r="E87" i="120"/>
  <c r="E88" i="123"/>
  <c r="J87" i="120"/>
  <c r="J88" i="123"/>
  <c r="J85" i="120"/>
  <c r="J86" i="123"/>
  <c r="E83" i="120"/>
  <c r="E84" i="123"/>
  <c r="E86" i="120"/>
  <c r="E87" i="123"/>
  <c r="J86" i="120"/>
  <c r="J87" i="123"/>
  <c r="H84" i="104"/>
  <c r="E85" i="97"/>
  <c r="E86" i="123" s="1"/>
  <c r="J83" i="97"/>
  <c r="J84" i="123" s="1"/>
  <c r="H86" i="104"/>
  <c r="H85" i="104"/>
  <c r="G85" i="104"/>
  <c r="G82" i="104"/>
  <c r="P87" i="97"/>
  <c r="F81" i="97"/>
  <c r="P86" i="97"/>
  <c r="G86" i="104"/>
  <c r="P86" i="120" l="1"/>
  <c r="P87" i="123"/>
  <c r="P87" i="120"/>
  <c r="P88" i="123"/>
  <c r="P83" i="97"/>
  <c r="J83" i="120"/>
  <c r="P85" i="97"/>
  <c r="E85" i="120"/>
  <c r="I85" i="104"/>
  <c r="H82" i="104"/>
  <c r="H80" i="104" s="1"/>
  <c r="G84" i="104"/>
  <c r="I84" i="104" s="1"/>
  <c r="I86" i="104"/>
  <c r="N158" i="97"/>
  <c r="F65" i="97"/>
  <c r="H37" i="97"/>
  <c r="H35" i="97"/>
  <c r="D12" i="105"/>
  <c r="F65" i="120" l="1"/>
  <c r="F66" i="123"/>
  <c r="H35" i="120"/>
  <c r="H35" i="123"/>
  <c r="H37" i="120"/>
  <c r="H37" i="123"/>
  <c r="P85" i="120"/>
  <c r="P86" i="123"/>
  <c r="N158" i="120"/>
  <c r="N159" i="123"/>
  <c r="P83" i="120"/>
  <c r="P84" i="123"/>
  <c r="J158" i="97"/>
  <c r="G80" i="104"/>
  <c r="I80" i="104" s="1"/>
  <c r="I82" i="104"/>
  <c r="F143" i="97"/>
  <c r="N144" i="97"/>
  <c r="E144" i="97"/>
  <c r="N143" i="97"/>
  <c r="C26" i="105"/>
  <c r="F143" i="120" l="1"/>
  <c r="F144" i="123"/>
  <c r="N143" i="120"/>
  <c r="N144" i="123"/>
  <c r="E144" i="120"/>
  <c r="E145" i="123"/>
  <c r="N144" i="120"/>
  <c r="N145" i="123"/>
  <c r="J158" i="120"/>
  <c r="J159" i="123"/>
  <c r="P158" i="97"/>
  <c r="H160" i="104"/>
  <c r="I160" i="104" s="1"/>
  <c r="J144" i="97"/>
  <c r="G143" i="104"/>
  <c r="E143" i="97"/>
  <c r="J143" i="97"/>
  <c r="J144" i="123" s="1"/>
  <c r="I31" i="97"/>
  <c r="I115" i="104"/>
  <c r="I117" i="104"/>
  <c r="E143" i="120" l="1"/>
  <c r="E144" i="123"/>
  <c r="P158" i="120"/>
  <c r="P159" i="123"/>
  <c r="J144" i="120"/>
  <c r="J145" i="123"/>
  <c r="H143" i="104"/>
  <c r="H142" i="104"/>
  <c r="J143" i="120"/>
  <c r="P144" i="97"/>
  <c r="I143" i="104"/>
  <c r="P143" i="97"/>
  <c r="G142" i="104"/>
  <c r="H39" i="104"/>
  <c r="P143" i="120" l="1"/>
  <c r="P144" i="123"/>
  <c r="P144" i="120"/>
  <c r="P145" i="123"/>
  <c r="I142" i="104"/>
  <c r="G106" i="97"/>
  <c r="H106" i="97"/>
  <c r="G106" i="120" l="1"/>
  <c r="G107" i="123"/>
  <c r="H106" i="120"/>
  <c r="H107" i="123"/>
  <c r="G39" i="97"/>
  <c r="F39" i="97"/>
  <c r="F39" i="123" s="1"/>
  <c r="F31" i="123" s="1"/>
  <c r="E41" i="97"/>
  <c r="M105" i="97"/>
  <c r="L105" i="97"/>
  <c r="K105" i="97"/>
  <c r="H105" i="97"/>
  <c r="G105" i="97"/>
  <c r="F105" i="97"/>
  <c r="O118" i="97"/>
  <c r="M118" i="97"/>
  <c r="L118" i="97"/>
  <c r="K118" i="97"/>
  <c r="H118" i="97"/>
  <c r="G118" i="97"/>
  <c r="F118" i="97"/>
  <c r="N120" i="97"/>
  <c r="E120" i="97"/>
  <c r="N119" i="97"/>
  <c r="E119" i="97"/>
  <c r="O105" i="97"/>
  <c r="N107" i="97"/>
  <c r="E107" i="97"/>
  <c r="N106" i="97"/>
  <c r="E106" i="97"/>
  <c r="F93" i="97"/>
  <c r="N93" i="97"/>
  <c r="N92" i="97"/>
  <c r="M54" i="97"/>
  <c r="L54" i="97"/>
  <c r="K54" i="97"/>
  <c r="G54" i="97"/>
  <c r="H54" i="97"/>
  <c r="F54" i="97"/>
  <c r="F55" i="123" s="1"/>
  <c r="N56" i="97"/>
  <c r="E56" i="97"/>
  <c r="N55" i="97"/>
  <c r="M39" i="97"/>
  <c r="L39" i="97"/>
  <c r="K39" i="97"/>
  <c r="E40" i="97"/>
  <c r="H39" i="97"/>
  <c r="N40" i="97"/>
  <c r="N40" i="120" l="1"/>
  <c r="N40" i="123"/>
  <c r="H39" i="120"/>
  <c r="H31" i="120" s="1"/>
  <c r="H30" i="120" s="1"/>
  <c r="H39" i="123"/>
  <c r="H31" i="123" s="1"/>
  <c r="L54" i="120"/>
  <c r="L44" i="120" s="1"/>
  <c r="L43" i="120" s="1"/>
  <c r="L55" i="123"/>
  <c r="L45" i="123" s="1"/>
  <c r="L44" i="123" s="1"/>
  <c r="K39" i="120"/>
  <c r="K31" i="120" s="1"/>
  <c r="K30" i="120" s="1"/>
  <c r="K39" i="123"/>
  <c r="K31" i="123" s="1"/>
  <c r="K30" i="123" s="1"/>
  <c r="E56" i="120"/>
  <c r="E57" i="123"/>
  <c r="G54" i="120"/>
  <c r="G44" i="120" s="1"/>
  <c r="G43" i="120" s="1"/>
  <c r="G55" i="123"/>
  <c r="G45" i="123" s="1"/>
  <c r="G44" i="123" s="1"/>
  <c r="N92" i="120"/>
  <c r="N93" i="123"/>
  <c r="N106" i="120"/>
  <c r="N107" i="123"/>
  <c r="E119" i="120"/>
  <c r="E120" i="123"/>
  <c r="F118" i="120"/>
  <c r="F111" i="120" s="1"/>
  <c r="F110" i="120" s="1"/>
  <c r="F119" i="123"/>
  <c r="F112" i="123" s="1"/>
  <c r="F111" i="123" s="1"/>
  <c r="L118" i="120"/>
  <c r="L111" i="120" s="1"/>
  <c r="L110" i="120" s="1"/>
  <c r="L119" i="123"/>
  <c r="L112" i="123" s="1"/>
  <c r="L111" i="123" s="1"/>
  <c r="G105" i="120"/>
  <c r="G106" i="123"/>
  <c r="M105" i="120"/>
  <c r="M106" i="123"/>
  <c r="L39" i="120"/>
  <c r="L31" i="120" s="1"/>
  <c r="L39" i="123"/>
  <c r="L31" i="123" s="1"/>
  <c r="N56" i="120"/>
  <c r="N57" i="123"/>
  <c r="K54" i="120"/>
  <c r="K55" i="123"/>
  <c r="N93" i="120"/>
  <c r="N94" i="123"/>
  <c r="E107" i="120"/>
  <c r="E108" i="123"/>
  <c r="N119" i="120"/>
  <c r="N120" i="123"/>
  <c r="G118" i="120"/>
  <c r="G111" i="120" s="1"/>
  <c r="G110" i="120" s="1"/>
  <c r="G119" i="123"/>
  <c r="G112" i="123" s="1"/>
  <c r="G111" i="123" s="1"/>
  <c r="M118" i="120"/>
  <c r="M111" i="120" s="1"/>
  <c r="M110" i="120" s="1"/>
  <c r="M119" i="123"/>
  <c r="M112" i="123" s="1"/>
  <c r="M111" i="123" s="1"/>
  <c r="H105" i="120"/>
  <c r="H106" i="123"/>
  <c r="E41" i="120"/>
  <c r="E41" i="123"/>
  <c r="M39" i="120"/>
  <c r="M31" i="120" s="1"/>
  <c r="M39" i="123"/>
  <c r="M31" i="123" s="1"/>
  <c r="F93" i="120"/>
  <c r="F94" i="123"/>
  <c r="N107" i="120"/>
  <c r="N108" i="123"/>
  <c r="E120" i="120"/>
  <c r="E121" i="123"/>
  <c r="H118" i="120"/>
  <c r="H111" i="120" s="1"/>
  <c r="H110" i="120" s="1"/>
  <c r="H119" i="123"/>
  <c r="H112" i="123" s="1"/>
  <c r="H111" i="123" s="1"/>
  <c r="O118" i="120"/>
  <c r="O111" i="120" s="1"/>
  <c r="O110" i="120" s="1"/>
  <c r="O119" i="123"/>
  <c r="O112" i="123" s="1"/>
  <c r="O111" i="123" s="1"/>
  <c r="K105" i="120"/>
  <c r="K106" i="123"/>
  <c r="F30" i="123"/>
  <c r="E40" i="120"/>
  <c r="E40" i="123"/>
  <c r="N55" i="120"/>
  <c r="N56" i="123"/>
  <c r="H54" i="120"/>
  <c r="H44" i="120" s="1"/>
  <c r="H43" i="120" s="1"/>
  <c r="H55" i="123"/>
  <c r="H45" i="123" s="1"/>
  <c r="H44" i="123" s="1"/>
  <c r="M54" i="120"/>
  <c r="M44" i="120" s="1"/>
  <c r="M43" i="120" s="1"/>
  <c r="M55" i="123"/>
  <c r="M45" i="123" s="1"/>
  <c r="M44" i="123" s="1"/>
  <c r="E106" i="120"/>
  <c r="E107" i="123"/>
  <c r="O105" i="120"/>
  <c r="O106" i="123"/>
  <c r="N120" i="120"/>
  <c r="N121" i="123"/>
  <c r="K118" i="120"/>
  <c r="K111" i="120" s="1"/>
  <c r="K110" i="120" s="1"/>
  <c r="K119" i="123"/>
  <c r="K112" i="123" s="1"/>
  <c r="F105" i="120"/>
  <c r="F106" i="123"/>
  <c r="L105" i="120"/>
  <c r="L106" i="123"/>
  <c r="G39" i="120"/>
  <c r="G31" i="120" s="1"/>
  <c r="G39" i="123"/>
  <c r="G31" i="123" s="1"/>
  <c r="L30" i="120"/>
  <c r="M30" i="120"/>
  <c r="G53" i="104"/>
  <c r="F54" i="120"/>
  <c r="F31" i="97"/>
  <c r="F39" i="120"/>
  <c r="F31" i="120" s="1"/>
  <c r="F30" i="120" s="1"/>
  <c r="G30" i="120"/>
  <c r="G116" i="104"/>
  <c r="F111" i="97"/>
  <c r="L111" i="97"/>
  <c r="L31" i="97"/>
  <c r="J93" i="97"/>
  <c r="J119" i="97"/>
  <c r="J120" i="123" s="1"/>
  <c r="G111" i="97"/>
  <c r="M111" i="97"/>
  <c r="M31" i="97"/>
  <c r="E93" i="97"/>
  <c r="G119" i="104"/>
  <c r="H111" i="97"/>
  <c r="O111" i="97"/>
  <c r="R111" i="97" s="1"/>
  <c r="K31" i="97"/>
  <c r="J106" i="97"/>
  <c r="J107" i="123" s="1"/>
  <c r="J120" i="97"/>
  <c r="J121" i="123" s="1"/>
  <c r="K111" i="97"/>
  <c r="G102" i="104"/>
  <c r="G101" i="104"/>
  <c r="N39" i="97"/>
  <c r="G38" i="104"/>
  <c r="G44" i="97"/>
  <c r="J56" i="97"/>
  <c r="L44" i="97"/>
  <c r="J55" i="97"/>
  <c r="J56" i="123" s="1"/>
  <c r="H44" i="97"/>
  <c r="M44" i="97"/>
  <c r="E55" i="97"/>
  <c r="N118" i="97"/>
  <c r="P41" i="97"/>
  <c r="G39" i="104"/>
  <c r="I39" i="104" s="1"/>
  <c r="N105" i="97"/>
  <c r="J107" i="97"/>
  <c r="J40" i="97"/>
  <c r="N54" i="97"/>
  <c r="N105" i="120" l="1"/>
  <c r="N106" i="123"/>
  <c r="E55" i="120"/>
  <c r="E56" i="123"/>
  <c r="N39" i="120"/>
  <c r="N39" i="123"/>
  <c r="M30" i="123"/>
  <c r="L30" i="123"/>
  <c r="H30" i="123"/>
  <c r="H55" i="104"/>
  <c r="I55" i="104" s="1"/>
  <c r="J57" i="123"/>
  <c r="K111" i="123"/>
  <c r="N54" i="120"/>
  <c r="N55" i="123"/>
  <c r="J40" i="120"/>
  <c r="J40" i="123"/>
  <c r="P41" i="120"/>
  <c r="P41" i="123"/>
  <c r="E93" i="120"/>
  <c r="E94" i="123"/>
  <c r="J107" i="120"/>
  <c r="J108" i="123"/>
  <c r="N118" i="120"/>
  <c r="N119" i="123"/>
  <c r="J93" i="120"/>
  <c r="J94" i="123"/>
  <c r="G30" i="123"/>
  <c r="P119" i="97"/>
  <c r="J119" i="120"/>
  <c r="P106" i="97"/>
  <c r="J106" i="120"/>
  <c r="J55" i="120"/>
  <c r="H54" i="104"/>
  <c r="I54" i="104" s="1"/>
  <c r="P120" i="97"/>
  <c r="J120" i="120"/>
  <c r="P56" i="97"/>
  <c r="J56" i="120"/>
  <c r="P93" i="97"/>
  <c r="H119" i="104"/>
  <c r="I119" i="104" s="1"/>
  <c r="H116" i="104"/>
  <c r="I116" i="104" s="1"/>
  <c r="H102" i="104"/>
  <c r="I102" i="104" s="1"/>
  <c r="H101" i="104"/>
  <c r="I101" i="104" s="1"/>
  <c r="P55" i="97"/>
  <c r="P107" i="97"/>
  <c r="P40" i="97"/>
  <c r="H38" i="104"/>
  <c r="I38" i="104" s="1"/>
  <c r="P93" i="120" l="1"/>
  <c r="P94" i="123"/>
  <c r="P120" i="120"/>
  <c r="P121" i="123"/>
  <c r="P106" i="120"/>
  <c r="P107" i="123"/>
  <c r="P40" i="120"/>
  <c r="P40" i="123"/>
  <c r="P107" i="120"/>
  <c r="P108" i="123"/>
  <c r="P56" i="120"/>
  <c r="P57" i="123"/>
  <c r="P119" i="120"/>
  <c r="P120" i="123"/>
  <c r="P55" i="120"/>
  <c r="P56" i="123"/>
  <c r="I157" i="104"/>
  <c r="H187" i="104"/>
  <c r="H182" i="104" s="1"/>
  <c r="G187" i="104"/>
  <c r="G182" i="104" s="1"/>
  <c r="I28" i="104"/>
  <c r="I25" i="104"/>
  <c r="J108" i="98"/>
  <c r="J107" i="98" l="1"/>
  <c r="E21" i="97"/>
  <c r="N21" i="97"/>
  <c r="N21" i="120" l="1"/>
  <c r="N21" i="123"/>
  <c r="E21" i="120"/>
  <c r="E21" i="123"/>
  <c r="R144" i="119"/>
  <c r="J21" i="97"/>
  <c r="J21" i="123" s="1"/>
  <c r="H10" i="104" l="1"/>
  <c r="I10" i="104" s="1"/>
  <c r="J21" i="120"/>
  <c r="P21" i="97"/>
  <c r="D74" i="105"/>
  <c r="P21" i="120" l="1"/>
  <c r="P21" i="123"/>
  <c r="F18" i="116"/>
  <c r="R180" i="119" s="1"/>
  <c r="H31" i="97" l="1"/>
  <c r="G31" i="97" l="1"/>
  <c r="I81" i="98" l="1"/>
  <c r="H81" i="98" s="1"/>
  <c r="I105" i="98"/>
  <c r="H105" i="98" s="1"/>
  <c r="J205" i="98" l="1"/>
  <c r="N175" i="97" l="1"/>
  <c r="E175" i="97"/>
  <c r="N174" i="97"/>
  <c r="E174" i="97"/>
  <c r="N173" i="97"/>
  <c r="N172" i="97"/>
  <c r="E173" i="97"/>
  <c r="E172" i="97"/>
  <c r="O171" i="97"/>
  <c r="M171" i="97"/>
  <c r="L171" i="97"/>
  <c r="K171" i="97"/>
  <c r="I171" i="97"/>
  <c r="H171" i="97"/>
  <c r="G171" i="97"/>
  <c r="F171" i="97"/>
  <c r="E172" i="120" l="1"/>
  <c r="E173" i="123"/>
  <c r="E174" i="120"/>
  <c r="E175" i="123"/>
  <c r="G171" i="120"/>
  <c r="G170" i="120" s="1"/>
  <c r="G169" i="120" s="1"/>
  <c r="G172" i="123"/>
  <c r="G171" i="123" s="1"/>
  <c r="G170" i="123" s="1"/>
  <c r="L171" i="120"/>
  <c r="L170" i="120" s="1"/>
  <c r="L169" i="120" s="1"/>
  <c r="L172" i="123"/>
  <c r="L171" i="123" s="1"/>
  <c r="L170" i="123" s="1"/>
  <c r="E173" i="120"/>
  <c r="E174" i="123"/>
  <c r="N174" i="120"/>
  <c r="N175" i="123"/>
  <c r="K171" i="120"/>
  <c r="K170" i="120" s="1"/>
  <c r="K172" i="123"/>
  <c r="K171" i="123" s="1"/>
  <c r="H171" i="120"/>
  <c r="H170" i="120" s="1"/>
  <c r="H169" i="120" s="1"/>
  <c r="H172" i="123"/>
  <c r="H171" i="123" s="1"/>
  <c r="H170" i="123" s="1"/>
  <c r="M171" i="120"/>
  <c r="M170" i="120" s="1"/>
  <c r="M169" i="120" s="1"/>
  <c r="M172" i="123"/>
  <c r="M171" i="123" s="1"/>
  <c r="M170" i="123" s="1"/>
  <c r="N172" i="120"/>
  <c r="N173" i="123"/>
  <c r="E175" i="120"/>
  <c r="E176" i="123"/>
  <c r="F171" i="120"/>
  <c r="F170" i="120" s="1"/>
  <c r="F169" i="120" s="1"/>
  <c r="F172" i="123"/>
  <c r="F171" i="123" s="1"/>
  <c r="F170" i="123" s="1"/>
  <c r="I171" i="120"/>
  <c r="I170" i="120" s="1"/>
  <c r="I169" i="120" s="1"/>
  <c r="I172" i="123"/>
  <c r="I171" i="123" s="1"/>
  <c r="I170" i="123" s="1"/>
  <c r="O171" i="120"/>
  <c r="O170" i="120" s="1"/>
  <c r="O169" i="120" s="1"/>
  <c r="O172" i="123"/>
  <c r="O171" i="123" s="1"/>
  <c r="O170" i="123" s="1"/>
  <c r="N173" i="120"/>
  <c r="N174" i="123"/>
  <c r="N175" i="120"/>
  <c r="N176" i="123"/>
  <c r="K169" i="120"/>
  <c r="E171" i="97"/>
  <c r="G174" i="104"/>
  <c r="G170" i="97"/>
  <c r="J174" i="97"/>
  <c r="M170" i="97"/>
  <c r="G177" i="104"/>
  <c r="K170" i="97"/>
  <c r="G176" i="104"/>
  <c r="L170" i="97"/>
  <c r="G175" i="104"/>
  <c r="H170" i="97"/>
  <c r="I170" i="97"/>
  <c r="O170" i="97"/>
  <c r="R170" i="97" s="1"/>
  <c r="J173" i="97"/>
  <c r="J175" i="97"/>
  <c r="J176" i="123" s="1"/>
  <c r="F170" i="97"/>
  <c r="N171" i="97"/>
  <c r="J172" i="97"/>
  <c r="I177" i="97"/>
  <c r="H177" i="97"/>
  <c r="G177" i="97"/>
  <c r="L177" i="97"/>
  <c r="K177" i="97"/>
  <c r="M177" i="97"/>
  <c r="J190" i="97"/>
  <c r="J189" i="97"/>
  <c r="E189" i="97"/>
  <c r="O188" i="97"/>
  <c r="M188" i="97"/>
  <c r="L188" i="97"/>
  <c r="K188" i="97"/>
  <c r="I188" i="97"/>
  <c r="H188" i="97"/>
  <c r="G188" i="97"/>
  <c r="F188" i="97"/>
  <c r="F189" i="123" s="1"/>
  <c r="F188" i="123" s="1"/>
  <c r="F187" i="123" s="1"/>
  <c r="E190" i="97"/>
  <c r="K188" i="120" l="1"/>
  <c r="K187" i="120" s="1"/>
  <c r="K189" i="123"/>
  <c r="K188" i="123" s="1"/>
  <c r="E189" i="120"/>
  <c r="E190" i="123"/>
  <c r="G188" i="120"/>
  <c r="G187" i="120" s="1"/>
  <c r="G186" i="120" s="1"/>
  <c r="G189" i="123"/>
  <c r="G188" i="123" s="1"/>
  <c r="G187" i="123" s="1"/>
  <c r="L188" i="120"/>
  <c r="L187" i="120" s="1"/>
  <c r="L186" i="120" s="1"/>
  <c r="L189" i="123"/>
  <c r="L188" i="123" s="1"/>
  <c r="L187" i="123" s="1"/>
  <c r="J189" i="120"/>
  <c r="J190" i="123"/>
  <c r="J172" i="120"/>
  <c r="J173" i="123"/>
  <c r="J173" i="120"/>
  <c r="J174" i="123"/>
  <c r="H188" i="120"/>
  <c r="H187" i="120" s="1"/>
  <c r="H186" i="120" s="1"/>
  <c r="H189" i="123"/>
  <c r="H188" i="123" s="1"/>
  <c r="H187" i="123" s="1"/>
  <c r="M188" i="120"/>
  <c r="M187" i="120" s="1"/>
  <c r="M186" i="120" s="1"/>
  <c r="M189" i="123"/>
  <c r="M188" i="123" s="1"/>
  <c r="M187" i="123" s="1"/>
  <c r="J190" i="120"/>
  <c r="J191" i="123"/>
  <c r="N171" i="120"/>
  <c r="N170" i="120" s="1"/>
  <c r="N169" i="120" s="1"/>
  <c r="N172" i="123"/>
  <c r="N171" i="123" s="1"/>
  <c r="N170" i="123" s="1"/>
  <c r="E171" i="120"/>
  <c r="E170" i="120" s="1"/>
  <c r="E169" i="120" s="1"/>
  <c r="E172" i="123"/>
  <c r="E171" i="123" s="1"/>
  <c r="E170" i="123" s="1"/>
  <c r="K170" i="123"/>
  <c r="J171" i="123"/>
  <c r="E190" i="120"/>
  <c r="E191" i="123"/>
  <c r="I188" i="120"/>
  <c r="I187" i="120" s="1"/>
  <c r="I186" i="120" s="1"/>
  <c r="I189" i="123"/>
  <c r="I188" i="123" s="1"/>
  <c r="I187" i="123" s="1"/>
  <c r="O188" i="120"/>
  <c r="O187" i="120" s="1"/>
  <c r="O186" i="120" s="1"/>
  <c r="O189" i="123"/>
  <c r="O188" i="123" s="1"/>
  <c r="O187" i="123" s="1"/>
  <c r="J174" i="120"/>
  <c r="J175" i="123"/>
  <c r="J170" i="120"/>
  <c r="F187" i="97"/>
  <c r="F188" i="120"/>
  <c r="F187" i="120" s="1"/>
  <c r="F186" i="120" s="1"/>
  <c r="K186" i="120"/>
  <c r="P175" i="97"/>
  <c r="J175" i="120"/>
  <c r="H187" i="97"/>
  <c r="M187" i="97"/>
  <c r="I187" i="97"/>
  <c r="O187" i="97"/>
  <c r="K187" i="97"/>
  <c r="G187" i="97"/>
  <c r="L187" i="97"/>
  <c r="E188" i="97"/>
  <c r="G193" i="104"/>
  <c r="G173" i="104"/>
  <c r="G172" i="104" s="1"/>
  <c r="H175" i="104"/>
  <c r="I175" i="104" s="1"/>
  <c r="H176" i="104"/>
  <c r="I176" i="104" s="1"/>
  <c r="P173" i="97"/>
  <c r="P174" i="97"/>
  <c r="H177" i="104"/>
  <c r="I177" i="104" s="1"/>
  <c r="E170" i="97"/>
  <c r="J171" i="97"/>
  <c r="N170" i="97"/>
  <c r="J170" i="97" s="1"/>
  <c r="P172" i="97"/>
  <c r="H174" i="104"/>
  <c r="P189" i="97"/>
  <c r="H193" i="104"/>
  <c r="N188" i="97"/>
  <c r="P190" i="97"/>
  <c r="L148" i="97"/>
  <c r="M148" i="97"/>
  <c r="G148" i="97"/>
  <c r="H148" i="97"/>
  <c r="I148" i="97"/>
  <c r="N166" i="97"/>
  <c r="N167" i="123" s="1"/>
  <c r="E166" i="97"/>
  <c r="N157" i="97"/>
  <c r="E157" i="97"/>
  <c r="N153" i="97"/>
  <c r="E153" i="97"/>
  <c r="E154" i="123" s="1"/>
  <c r="N22" i="97"/>
  <c r="E22" i="97"/>
  <c r="N155" i="97"/>
  <c r="E155" i="97"/>
  <c r="N168" i="97"/>
  <c r="E168" i="97"/>
  <c r="N167" i="97"/>
  <c r="E167" i="97"/>
  <c r="N165" i="97"/>
  <c r="E165" i="97"/>
  <c r="J164" i="97"/>
  <c r="E164" i="97"/>
  <c r="O163" i="97"/>
  <c r="K163" i="97"/>
  <c r="F163" i="97"/>
  <c r="F163" i="120" l="1"/>
  <c r="F164" i="123"/>
  <c r="O163" i="120"/>
  <c r="O164" i="123"/>
  <c r="N165" i="120"/>
  <c r="N166" i="123"/>
  <c r="N168" i="120"/>
  <c r="N169" i="123"/>
  <c r="N22" i="120"/>
  <c r="N22" i="123"/>
  <c r="N157" i="120"/>
  <c r="N158" i="123"/>
  <c r="P190" i="120"/>
  <c r="P191" i="123"/>
  <c r="E188" i="120"/>
  <c r="E189" i="123"/>
  <c r="E167" i="120"/>
  <c r="E168" i="123"/>
  <c r="E155" i="120"/>
  <c r="E156" i="123"/>
  <c r="E166" i="120"/>
  <c r="E167" i="123"/>
  <c r="N188" i="120"/>
  <c r="N187" i="120" s="1"/>
  <c r="N186" i="120" s="1"/>
  <c r="N189" i="123"/>
  <c r="N188" i="123" s="1"/>
  <c r="N187" i="123" s="1"/>
  <c r="P172" i="120"/>
  <c r="P173" i="123"/>
  <c r="P175" i="120"/>
  <c r="P176" i="123"/>
  <c r="E164" i="120"/>
  <c r="E165" i="123"/>
  <c r="N167" i="120"/>
  <c r="N168" i="123"/>
  <c r="N155" i="120"/>
  <c r="N156" i="123"/>
  <c r="N153" i="120"/>
  <c r="N154" i="123"/>
  <c r="P174" i="120"/>
  <c r="P175" i="123"/>
  <c r="J170" i="123"/>
  <c r="P171" i="123"/>
  <c r="P170" i="123" s="1"/>
  <c r="K187" i="123"/>
  <c r="J164" i="120"/>
  <c r="J165" i="123"/>
  <c r="K163" i="120"/>
  <c r="K164" i="123"/>
  <c r="E165" i="120"/>
  <c r="E166" i="123"/>
  <c r="E168" i="120"/>
  <c r="E169" i="123"/>
  <c r="E22" i="120"/>
  <c r="E22" i="123"/>
  <c r="E157" i="120"/>
  <c r="E158" i="123"/>
  <c r="P189" i="120"/>
  <c r="P190" i="123"/>
  <c r="J171" i="120"/>
  <c r="J172" i="123"/>
  <c r="P173" i="120"/>
  <c r="P174" i="123"/>
  <c r="E153" i="120"/>
  <c r="G153" i="104"/>
  <c r="G171" i="104"/>
  <c r="J172" i="104"/>
  <c r="P170" i="120"/>
  <c r="P169" i="120" s="1"/>
  <c r="J169" i="120"/>
  <c r="N166" i="120"/>
  <c r="I193" i="104"/>
  <c r="H166" i="104"/>
  <c r="H165" i="104" s="1"/>
  <c r="J167" i="97"/>
  <c r="J168" i="123" s="1"/>
  <c r="J155" i="97"/>
  <c r="J165" i="97"/>
  <c r="J166" i="123" s="1"/>
  <c r="J168" i="97"/>
  <c r="J169" i="123" s="1"/>
  <c r="J157" i="97"/>
  <c r="J158" i="123" s="1"/>
  <c r="J153" i="97"/>
  <c r="J154" i="123" s="1"/>
  <c r="J166" i="97"/>
  <c r="J167" i="123" s="1"/>
  <c r="E163" i="97"/>
  <c r="G170" i="104"/>
  <c r="G166" i="104"/>
  <c r="G165" i="104" s="1"/>
  <c r="G169" i="104"/>
  <c r="G155" i="104"/>
  <c r="G167" i="104"/>
  <c r="G159" i="104"/>
  <c r="G168" i="104"/>
  <c r="J22" i="97"/>
  <c r="P171" i="97"/>
  <c r="H173" i="104"/>
  <c r="I174" i="104"/>
  <c r="J188" i="97"/>
  <c r="N187" i="97"/>
  <c r="P155" i="97"/>
  <c r="J163" i="97"/>
  <c r="P164" i="97"/>
  <c r="J188" i="123" l="1"/>
  <c r="J187" i="120"/>
  <c r="P171" i="120"/>
  <c r="P172" i="123"/>
  <c r="J188" i="120"/>
  <c r="J189" i="123"/>
  <c r="J22" i="120"/>
  <c r="J22" i="123"/>
  <c r="E163" i="120"/>
  <c r="E164" i="123"/>
  <c r="P164" i="120"/>
  <c r="P165" i="123"/>
  <c r="J187" i="123"/>
  <c r="P188" i="123"/>
  <c r="P187" i="123" s="1"/>
  <c r="J163" i="120"/>
  <c r="J164" i="123"/>
  <c r="P155" i="120"/>
  <c r="P156" i="123"/>
  <c r="J155" i="120"/>
  <c r="J156" i="123"/>
  <c r="P167" i="97"/>
  <c r="J167" i="120"/>
  <c r="P168" i="97"/>
  <c r="J168" i="120"/>
  <c r="P165" i="97"/>
  <c r="J165" i="120"/>
  <c r="P153" i="97"/>
  <c r="J153" i="120"/>
  <c r="P157" i="97"/>
  <c r="J157" i="120"/>
  <c r="P166" i="97"/>
  <c r="J166" i="120"/>
  <c r="P22" i="97"/>
  <c r="I165" i="104"/>
  <c r="H159" i="104"/>
  <c r="I159" i="104" s="1"/>
  <c r="H167" i="104"/>
  <c r="I167" i="104" s="1"/>
  <c r="H155" i="104"/>
  <c r="I155" i="104" s="1"/>
  <c r="H153" i="104"/>
  <c r="I153" i="104" s="1"/>
  <c r="H170" i="104"/>
  <c r="I170" i="104" s="1"/>
  <c r="H169" i="104"/>
  <c r="I169" i="104" s="1"/>
  <c r="H168" i="104"/>
  <c r="P163" i="97"/>
  <c r="I166" i="104"/>
  <c r="P188" i="97"/>
  <c r="H172" i="104"/>
  <c r="K172" i="104" s="1"/>
  <c r="I173" i="104"/>
  <c r="E156" i="97"/>
  <c r="E157" i="123" s="1"/>
  <c r="O161" i="97"/>
  <c r="K161" i="97"/>
  <c r="F161" i="97"/>
  <c r="N162" i="97"/>
  <c r="E162" i="97"/>
  <c r="N156" i="97"/>
  <c r="E152" i="97"/>
  <c r="N152" i="97"/>
  <c r="O149" i="97"/>
  <c r="O150" i="123" s="1"/>
  <c r="K149" i="97"/>
  <c r="K150" i="123" s="1"/>
  <c r="F149" i="97"/>
  <c r="F150" i="123" s="1"/>
  <c r="E154" i="97"/>
  <c r="E155" i="123" s="1"/>
  <c r="N154" i="97"/>
  <c r="N150" i="97"/>
  <c r="E150" i="97"/>
  <c r="J186" i="120" l="1"/>
  <c r="P187" i="120"/>
  <c r="P186" i="120" s="1"/>
  <c r="E152" i="120"/>
  <c r="E153" i="123"/>
  <c r="F161" i="120"/>
  <c r="F162" i="123"/>
  <c r="F149" i="123" s="1"/>
  <c r="F148" i="123" s="1"/>
  <c r="P163" i="120"/>
  <c r="P164" i="123"/>
  <c r="E150" i="120"/>
  <c r="E151" i="123"/>
  <c r="N156" i="120"/>
  <c r="N157" i="123"/>
  <c r="K161" i="120"/>
  <c r="K162" i="123"/>
  <c r="K149" i="123" s="1"/>
  <c r="P22" i="120"/>
  <c r="P22" i="123"/>
  <c r="P157" i="120"/>
  <c r="P158" i="123"/>
  <c r="P165" i="120"/>
  <c r="P166" i="123"/>
  <c r="P167" i="120"/>
  <c r="P168" i="123"/>
  <c r="E162" i="120"/>
  <c r="E163" i="123"/>
  <c r="O161" i="120"/>
  <c r="O162" i="123"/>
  <c r="O149" i="123" s="1"/>
  <c r="O148" i="123" s="1"/>
  <c r="P188" i="120"/>
  <c r="P189" i="123"/>
  <c r="N150" i="120"/>
  <c r="N151" i="123"/>
  <c r="N154" i="120"/>
  <c r="N155" i="123"/>
  <c r="N152" i="120"/>
  <c r="N153" i="123"/>
  <c r="N162" i="120"/>
  <c r="N163" i="123"/>
  <c r="P166" i="120"/>
  <c r="P167" i="123"/>
  <c r="P153" i="120"/>
  <c r="P154" i="123"/>
  <c r="P168" i="120"/>
  <c r="P169" i="123"/>
  <c r="E154" i="120"/>
  <c r="G154" i="104"/>
  <c r="F149" i="120"/>
  <c r="F148" i="120" s="1"/>
  <c r="F147" i="120" s="1"/>
  <c r="F148" i="97"/>
  <c r="K149" i="120"/>
  <c r="K148" i="120" s="1"/>
  <c r="K147" i="120" s="1"/>
  <c r="K148" i="97"/>
  <c r="O149" i="120"/>
  <c r="O148" i="120" s="1"/>
  <c r="O147" i="120" s="1"/>
  <c r="O148" i="97"/>
  <c r="R149" i="97" s="1"/>
  <c r="G156" i="104"/>
  <c r="E156" i="120"/>
  <c r="I168" i="104"/>
  <c r="J152" i="97"/>
  <c r="J153" i="123" s="1"/>
  <c r="J154" i="97"/>
  <c r="J155" i="123" s="1"/>
  <c r="N161" i="97"/>
  <c r="J162" i="97"/>
  <c r="J163" i="123" s="1"/>
  <c r="J156" i="97"/>
  <c r="J157" i="123" s="1"/>
  <c r="G164" i="104"/>
  <c r="G163" i="104" s="1"/>
  <c r="J150" i="97"/>
  <c r="J151" i="123" s="1"/>
  <c r="G150" i="104"/>
  <c r="G152" i="104"/>
  <c r="E161" i="97"/>
  <c r="K148" i="123" l="1"/>
  <c r="E161" i="120"/>
  <c r="E162" i="123"/>
  <c r="N161" i="120"/>
  <c r="N162" i="123"/>
  <c r="P162" i="97"/>
  <c r="J162" i="120"/>
  <c r="P150" i="97"/>
  <c r="J150" i="120"/>
  <c r="P156" i="97"/>
  <c r="J156" i="120"/>
  <c r="P152" i="97"/>
  <c r="J152" i="120"/>
  <c r="R148" i="97"/>
  <c r="P154" i="97"/>
  <c r="J154" i="120"/>
  <c r="G149" i="104"/>
  <c r="G148" i="104" s="1"/>
  <c r="J161" i="97"/>
  <c r="H152" i="104"/>
  <c r="I152" i="104" s="1"/>
  <c r="H164" i="104"/>
  <c r="H154" i="104"/>
  <c r="I154" i="104" s="1"/>
  <c r="H156" i="104"/>
  <c r="I156" i="104" s="1"/>
  <c r="H150" i="104"/>
  <c r="P154" i="120" l="1"/>
  <c r="P155" i="123"/>
  <c r="J161" i="120"/>
  <c r="J162" i="123"/>
  <c r="P156" i="120"/>
  <c r="P157" i="123"/>
  <c r="P162" i="120"/>
  <c r="P163" i="123"/>
  <c r="P152" i="120"/>
  <c r="P153" i="123"/>
  <c r="P150" i="120"/>
  <c r="P151" i="123"/>
  <c r="P161" i="97"/>
  <c r="H163" i="104"/>
  <c r="I163" i="104" s="1"/>
  <c r="I164" i="104"/>
  <c r="H149" i="104"/>
  <c r="I150" i="104"/>
  <c r="O31" i="97"/>
  <c r="R31" i="97" s="1"/>
  <c r="P161" i="120" l="1"/>
  <c r="P162" i="123"/>
  <c r="H148" i="104"/>
  <c r="I148" i="104" s="1"/>
  <c r="I149" i="104"/>
  <c r="F97" i="97"/>
  <c r="F89" i="97"/>
  <c r="F89" i="120" l="1"/>
  <c r="F90" i="123"/>
  <c r="F97" i="120"/>
  <c r="F98" i="123"/>
  <c r="E89" i="97"/>
  <c r="O66" i="97"/>
  <c r="M66" i="97"/>
  <c r="L66" i="97"/>
  <c r="K66" i="97"/>
  <c r="I66" i="97"/>
  <c r="H66" i="97"/>
  <c r="G66" i="97"/>
  <c r="F66" i="97"/>
  <c r="J55" i="98"/>
  <c r="J54" i="98" s="1"/>
  <c r="L66" i="120" l="1"/>
  <c r="L67" i="123"/>
  <c r="H66" i="120"/>
  <c r="H67" i="123"/>
  <c r="M66" i="120"/>
  <c r="M67" i="123"/>
  <c r="I66" i="120"/>
  <c r="I67" i="123"/>
  <c r="O66" i="120"/>
  <c r="O67" i="123"/>
  <c r="G66" i="120"/>
  <c r="G67" i="123"/>
  <c r="F66" i="120"/>
  <c r="F67" i="123"/>
  <c r="K66" i="120"/>
  <c r="K67" i="123"/>
  <c r="E89" i="120"/>
  <c r="E90" i="123"/>
  <c r="R58" i="119"/>
  <c r="O184" i="97"/>
  <c r="K184" i="97"/>
  <c r="F184" i="97"/>
  <c r="L180" i="97"/>
  <c r="M180" i="97"/>
  <c r="G180" i="97"/>
  <c r="H180" i="97"/>
  <c r="I180" i="97"/>
  <c r="E182" i="97"/>
  <c r="N182" i="97"/>
  <c r="E183" i="97"/>
  <c r="N183" i="97"/>
  <c r="E185" i="97"/>
  <c r="N185" i="97"/>
  <c r="E183" i="120" l="1"/>
  <c r="E184" i="123"/>
  <c r="F184" i="120"/>
  <c r="F180" i="120" s="1"/>
  <c r="F179" i="120" s="1"/>
  <c r="F185" i="123"/>
  <c r="F181" i="123" s="1"/>
  <c r="F180" i="123" s="1"/>
  <c r="N183" i="120"/>
  <c r="N184" i="123"/>
  <c r="N185" i="120"/>
  <c r="N186" i="123"/>
  <c r="N182" i="120"/>
  <c r="N183" i="123"/>
  <c r="K184" i="120"/>
  <c r="K180" i="120" s="1"/>
  <c r="K185" i="123"/>
  <c r="K181" i="123" s="1"/>
  <c r="E185" i="120"/>
  <c r="E186" i="123"/>
  <c r="E182" i="120"/>
  <c r="E183" i="123"/>
  <c r="O184" i="120"/>
  <c r="O180" i="120" s="1"/>
  <c r="O179" i="120" s="1"/>
  <c r="O185" i="123"/>
  <c r="O181" i="123" s="1"/>
  <c r="O180" i="123" s="1"/>
  <c r="K179" i="120"/>
  <c r="K180" i="97"/>
  <c r="J185" i="97"/>
  <c r="J186" i="123" s="1"/>
  <c r="J182" i="97"/>
  <c r="F180" i="97"/>
  <c r="J183" i="97"/>
  <c r="O180" i="97"/>
  <c r="R180" i="97" s="1"/>
  <c r="N184" i="97"/>
  <c r="E184" i="97"/>
  <c r="I187" i="104"/>
  <c r="K180" i="123" l="1"/>
  <c r="J183" i="120"/>
  <c r="J184" i="123"/>
  <c r="E184" i="120"/>
  <c r="E185" i="123"/>
  <c r="N184" i="120"/>
  <c r="N185" i="123"/>
  <c r="J182" i="120"/>
  <c r="J183" i="123"/>
  <c r="P185" i="97"/>
  <c r="J185" i="120"/>
  <c r="P183" i="97"/>
  <c r="P182" i="97"/>
  <c r="J184" i="97"/>
  <c r="P185" i="120" l="1"/>
  <c r="P186" i="123"/>
  <c r="P182" i="120"/>
  <c r="P183" i="123"/>
  <c r="J184" i="120"/>
  <c r="J185" i="123"/>
  <c r="P183" i="120"/>
  <c r="P184" i="123"/>
  <c r="P184" i="97"/>
  <c r="F63" i="97"/>
  <c r="K63" i="97"/>
  <c r="O60" i="97"/>
  <c r="M60" i="97"/>
  <c r="L60" i="97"/>
  <c r="K60" i="97"/>
  <c r="I60" i="97"/>
  <c r="H60" i="97"/>
  <c r="G60" i="97"/>
  <c r="F60" i="97"/>
  <c r="I60" i="120" l="1"/>
  <c r="I61" i="123"/>
  <c r="K63" i="120"/>
  <c r="K64" i="123"/>
  <c r="O60" i="120"/>
  <c r="O61" i="123"/>
  <c r="K60" i="120"/>
  <c r="K61" i="123"/>
  <c r="L60" i="120"/>
  <c r="L61" i="123"/>
  <c r="F63" i="120"/>
  <c r="F64" i="123"/>
  <c r="F60" i="120"/>
  <c r="F61" i="123"/>
  <c r="G60" i="120"/>
  <c r="G61" i="123"/>
  <c r="H60" i="120"/>
  <c r="H61" i="123"/>
  <c r="M60" i="120"/>
  <c r="M61" i="123"/>
  <c r="P184" i="120"/>
  <c r="P185" i="123"/>
  <c r="M13" i="97"/>
  <c r="L13" i="97"/>
  <c r="K23" i="97"/>
  <c r="K23" i="123" s="1"/>
  <c r="K13" i="123" s="1"/>
  <c r="N23" i="97"/>
  <c r="O23" i="97"/>
  <c r="O23" i="123" s="1"/>
  <c r="O13" i="123" s="1"/>
  <c r="E24" i="97"/>
  <c r="E23" i="97"/>
  <c r="N23" i="120" l="1"/>
  <c r="N23" i="123"/>
  <c r="E24" i="120"/>
  <c r="E24" i="123"/>
  <c r="O12" i="123"/>
  <c r="E23" i="120"/>
  <c r="E23" i="123"/>
  <c r="K12" i="123"/>
  <c r="K13" i="97"/>
  <c r="K23" i="120"/>
  <c r="K13" i="120" s="1"/>
  <c r="O23" i="120"/>
  <c r="O13" i="120" s="1"/>
  <c r="O12" i="120" s="1"/>
  <c r="O13" i="97"/>
  <c r="R13" i="97" s="1"/>
  <c r="J23" i="97"/>
  <c r="J24" i="97"/>
  <c r="J23" i="120" l="1"/>
  <c r="J23" i="123"/>
  <c r="J24" i="120"/>
  <c r="J24" i="123"/>
  <c r="K12" i="120"/>
  <c r="P24" i="97"/>
  <c r="P23" i="97"/>
  <c r="O49" i="97"/>
  <c r="K49" i="97"/>
  <c r="F49" i="97"/>
  <c r="F50" i="123" s="1"/>
  <c r="F45" i="123" s="1"/>
  <c r="F44" i="123" s="1"/>
  <c r="P24" i="120" l="1"/>
  <c r="P24" i="123"/>
  <c r="O49" i="120"/>
  <c r="O44" i="120" s="1"/>
  <c r="O43" i="120" s="1"/>
  <c r="O50" i="123"/>
  <c r="O45" i="123" s="1"/>
  <c r="O44" i="123" s="1"/>
  <c r="P23" i="120"/>
  <c r="P23" i="123"/>
  <c r="K49" i="120"/>
  <c r="K44" i="120" s="1"/>
  <c r="K43" i="120" s="1"/>
  <c r="K50" i="123"/>
  <c r="K45" i="123" s="1"/>
  <c r="G48" i="104"/>
  <c r="F49" i="120"/>
  <c r="F44" i="120" s="1"/>
  <c r="F43" i="120" s="1"/>
  <c r="F44" i="97"/>
  <c r="K44" i="97"/>
  <c r="O44" i="97"/>
  <c r="R44" i="97" s="1"/>
  <c r="N50" i="97"/>
  <c r="E50" i="97"/>
  <c r="K44" i="123" l="1"/>
  <c r="E50" i="120"/>
  <c r="E51" i="123"/>
  <c r="N50" i="120"/>
  <c r="N51" i="123"/>
  <c r="G42" i="104"/>
  <c r="J50" i="97"/>
  <c r="J51" i="123" s="1"/>
  <c r="J50" i="120" l="1"/>
  <c r="H49" i="104"/>
  <c r="I49" i="104" s="1"/>
  <c r="P50" i="97"/>
  <c r="I27" i="104"/>
  <c r="P50" i="120" l="1"/>
  <c r="P51" i="123"/>
  <c r="K142" i="97"/>
  <c r="K142" i="120" l="1"/>
  <c r="K143" i="123"/>
  <c r="N136" i="97"/>
  <c r="N136" i="120" l="1"/>
  <c r="N137" i="123"/>
  <c r="N112" i="97"/>
  <c r="N116" i="97"/>
  <c r="N116" i="120" l="1"/>
  <c r="N117" i="123"/>
  <c r="N112" i="120"/>
  <c r="N113" i="123"/>
  <c r="E199" i="97"/>
  <c r="E199" i="120" l="1"/>
  <c r="E200" i="123"/>
  <c r="F198" i="97"/>
  <c r="F124" i="97" l="1"/>
  <c r="G124" i="97"/>
  <c r="G125" i="123" s="1"/>
  <c r="F124" i="120" l="1"/>
  <c r="F125" i="123"/>
  <c r="G124" i="120"/>
  <c r="G195" i="104"/>
  <c r="G196" i="104"/>
  <c r="G194" i="104"/>
  <c r="G192" i="104" s="1"/>
  <c r="E127" i="97" l="1"/>
  <c r="E103" i="97"/>
  <c r="E104" i="123" s="1"/>
  <c r="E49" i="97"/>
  <c r="E49" i="120" l="1"/>
  <c r="E50" i="123"/>
  <c r="E127" i="120"/>
  <c r="E128" i="123"/>
  <c r="E66" i="105"/>
  <c r="E178" i="97" l="1"/>
  <c r="E178" i="120" l="1"/>
  <c r="E177" i="120" s="1"/>
  <c r="F177" i="120" s="1"/>
  <c r="F176" i="120" s="1"/>
  <c r="E179" i="123"/>
  <c r="E178" i="123" s="1"/>
  <c r="E176" i="120"/>
  <c r="G180" i="104"/>
  <c r="G179" i="104" s="1"/>
  <c r="F178" i="123" l="1"/>
  <c r="F177" i="123" s="1"/>
  <c r="E177" i="123"/>
  <c r="G178" i="104"/>
  <c r="E195" i="97"/>
  <c r="E195" i="120" l="1"/>
  <c r="E194" i="120" s="1"/>
  <c r="P194" i="120" s="1"/>
  <c r="P193" i="120" s="1"/>
  <c r="E196" i="123"/>
  <c r="E195" i="123" s="1"/>
  <c r="E193" i="120"/>
  <c r="E194" i="97"/>
  <c r="G199" i="104"/>
  <c r="E194" i="123" l="1"/>
  <c r="P195" i="123"/>
  <c r="P194" i="123" s="1"/>
  <c r="G198" i="104"/>
  <c r="K198" i="104" s="1"/>
  <c r="J199" i="97"/>
  <c r="K198" i="97"/>
  <c r="J199" i="120" l="1"/>
  <c r="J200" i="123"/>
  <c r="G197" i="104"/>
  <c r="J106" i="98"/>
  <c r="N181" i="97" l="1"/>
  <c r="E181" i="97"/>
  <c r="E181" i="120" l="1"/>
  <c r="E180" i="120" s="1"/>
  <c r="E182" i="123"/>
  <c r="E181" i="123" s="1"/>
  <c r="N181" i="120"/>
  <c r="N180" i="120" s="1"/>
  <c r="J180" i="120" s="1"/>
  <c r="J179" i="120" s="1"/>
  <c r="N182" i="123"/>
  <c r="N181" i="123" s="1"/>
  <c r="E179" i="120"/>
  <c r="E180" i="97"/>
  <c r="K182" i="104" s="1"/>
  <c r="N180" i="97"/>
  <c r="J181" i="97"/>
  <c r="J181" i="120" l="1"/>
  <c r="J182" i="123"/>
  <c r="N179" i="120"/>
  <c r="E180" i="123"/>
  <c r="N180" i="123"/>
  <c r="J181" i="123"/>
  <c r="J180" i="123" s="1"/>
  <c r="P180" i="120"/>
  <c r="P179" i="120" s="1"/>
  <c r="P181" i="97"/>
  <c r="P181" i="120" l="1"/>
  <c r="P182" i="123"/>
  <c r="P181" i="123"/>
  <c r="P180" i="123" s="1"/>
  <c r="G126" i="104"/>
  <c r="N12" i="107"/>
  <c r="N13" i="107"/>
  <c r="F11" i="107"/>
  <c r="N11" i="107" s="1"/>
  <c r="O12" i="107" l="1"/>
  <c r="F10" i="107"/>
  <c r="E48" i="97"/>
  <c r="E48" i="120" l="1"/>
  <c r="E49" i="123"/>
  <c r="N10" i="107"/>
  <c r="F9" i="107"/>
  <c r="N9" i="107" s="1"/>
  <c r="E115" i="97" l="1"/>
  <c r="D86" i="105"/>
  <c r="D29" i="108"/>
  <c r="D15" i="108"/>
  <c r="D17" i="108" s="1"/>
  <c r="P14" i="107"/>
  <c r="Q14" i="107" s="1"/>
  <c r="O14" i="107"/>
  <c r="L14" i="107"/>
  <c r="N14" i="107" s="1"/>
  <c r="J14" i="107"/>
  <c r="F14" i="107" s="1"/>
  <c r="H14" i="107"/>
  <c r="O13" i="107"/>
  <c r="C106" i="105"/>
  <c r="C105" i="105"/>
  <c r="C104" i="105"/>
  <c r="C103" i="105"/>
  <c r="C100" i="105"/>
  <c r="C99" i="105"/>
  <c r="C97" i="105"/>
  <c r="C88" i="105"/>
  <c r="C87" i="105"/>
  <c r="E86" i="105"/>
  <c r="C81" i="105"/>
  <c r="C80" i="105"/>
  <c r="F79" i="105"/>
  <c r="F78" i="105" s="1"/>
  <c r="E79" i="105"/>
  <c r="C79" i="105" s="1"/>
  <c r="C77" i="105"/>
  <c r="C76" i="105"/>
  <c r="F75" i="105"/>
  <c r="E75" i="105"/>
  <c r="C75" i="105" s="1"/>
  <c r="C73" i="105"/>
  <c r="C72" i="105"/>
  <c r="D65" i="105"/>
  <c r="C70" i="105"/>
  <c r="C69" i="105"/>
  <c r="C68" i="105"/>
  <c r="C66" i="105"/>
  <c r="C64" i="105"/>
  <c r="C62" i="105"/>
  <c r="E61" i="105"/>
  <c r="C60" i="105"/>
  <c r="C59" i="105"/>
  <c r="C58" i="105"/>
  <c r="D57" i="105"/>
  <c r="C56" i="105"/>
  <c r="C55" i="105"/>
  <c r="C50" i="105"/>
  <c r="C49" i="105"/>
  <c r="D48" i="105"/>
  <c r="C46" i="105"/>
  <c r="F45" i="105"/>
  <c r="C44" i="105"/>
  <c r="C43" i="105"/>
  <c r="C42" i="105"/>
  <c r="E41" i="105"/>
  <c r="D41" i="105"/>
  <c r="C40" i="105"/>
  <c r="C39" i="105"/>
  <c r="D38" i="105"/>
  <c r="C38" i="105" s="1"/>
  <c r="C37" i="105"/>
  <c r="C36" i="105"/>
  <c r="D35" i="105"/>
  <c r="C35" i="105" s="1"/>
  <c r="C34" i="105"/>
  <c r="C33" i="105"/>
  <c r="C32" i="105"/>
  <c r="C31" i="105"/>
  <c r="C30" i="105"/>
  <c r="C29" i="105"/>
  <c r="C28" i="105"/>
  <c r="C27" i="105"/>
  <c r="C25" i="105"/>
  <c r="D24" i="105"/>
  <c r="C20" i="105"/>
  <c r="C19" i="105"/>
  <c r="D18" i="105"/>
  <c r="C18" i="105" s="1"/>
  <c r="C16" i="105"/>
  <c r="C15" i="105"/>
  <c r="C14" i="105"/>
  <c r="C13" i="105"/>
  <c r="C12" i="105"/>
  <c r="I188" i="104"/>
  <c r="M179" i="97"/>
  <c r="L179" i="97"/>
  <c r="K179" i="97"/>
  <c r="G179" i="97"/>
  <c r="H179" i="97"/>
  <c r="I179" i="97"/>
  <c r="N115" i="97"/>
  <c r="J246" i="98"/>
  <c r="I189" i="104"/>
  <c r="E42" i="97"/>
  <c r="I183" i="104"/>
  <c r="M30" i="97"/>
  <c r="H30" i="97"/>
  <c r="J6" i="98"/>
  <c r="N16" i="97"/>
  <c r="E16" i="97"/>
  <c r="N14" i="97"/>
  <c r="E14" i="97"/>
  <c r="H181" i="104"/>
  <c r="E15" i="97"/>
  <c r="N15" i="97"/>
  <c r="E32" i="97"/>
  <c r="N35" i="97"/>
  <c r="E38" i="97"/>
  <c r="E35" i="97"/>
  <c r="E34" i="97"/>
  <c r="E36" i="97"/>
  <c r="I184" i="104"/>
  <c r="I186" i="104"/>
  <c r="H96" i="104"/>
  <c r="J35" i="98"/>
  <c r="J88" i="98"/>
  <c r="N113" i="97"/>
  <c r="L110" i="97"/>
  <c r="K110" i="97"/>
  <c r="I110" i="97"/>
  <c r="E105" i="97"/>
  <c r="N91" i="97"/>
  <c r="N90" i="97"/>
  <c r="G89" i="97"/>
  <c r="M89" i="97"/>
  <c r="L89" i="97"/>
  <c r="K89" i="97"/>
  <c r="I89" i="97"/>
  <c r="H89" i="97"/>
  <c r="N98" i="97"/>
  <c r="E98" i="97"/>
  <c r="O97" i="97"/>
  <c r="M97" i="97"/>
  <c r="L97" i="97"/>
  <c r="K97" i="97"/>
  <c r="K98" i="123" s="1"/>
  <c r="H97" i="97"/>
  <c r="G97" i="97"/>
  <c r="E54" i="97"/>
  <c r="N49" i="97"/>
  <c r="E47" i="97"/>
  <c r="E46" i="97"/>
  <c r="E47" i="123" s="1"/>
  <c r="N45" i="97"/>
  <c r="E45" i="97"/>
  <c r="M43" i="97"/>
  <c r="L43" i="97"/>
  <c r="K43" i="97"/>
  <c r="H43" i="97"/>
  <c r="I43" i="97"/>
  <c r="N145" i="97"/>
  <c r="E145" i="97"/>
  <c r="N142" i="97"/>
  <c r="F140" i="97"/>
  <c r="F141" i="123" s="1"/>
  <c r="N141" i="97"/>
  <c r="E141" i="97"/>
  <c r="O140" i="97"/>
  <c r="O141" i="123" s="1"/>
  <c r="M140" i="97"/>
  <c r="L140" i="97"/>
  <c r="K140" i="97"/>
  <c r="I140" i="97"/>
  <c r="H140" i="97"/>
  <c r="H141" i="123" s="1"/>
  <c r="N137" i="97"/>
  <c r="E137" i="97"/>
  <c r="G135" i="97"/>
  <c r="F135" i="97"/>
  <c r="M135" i="97"/>
  <c r="L135" i="97"/>
  <c r="I135" i="97"/>
  <c r="H135" i="97"/>
  <c r="E134" i="97"/>
  <c r="O133" i="97"/>
  <c r="M133" i="97"/>
  <c r="L133" i="97"/>
  <c r="K133" i="97"/>
  <c r="H133" i="97"/>
  <c r="G133" i="97"/>
  <c r="F133" i="97"/>
  <c r="N132" i="97"/>
  <c r="E132" i="97"/>
  <c r="N131" i="97"/>
  <c r="E131" i="97"/>
  <c r="O130" i="97"/>
  <c r="K130" i="97"/>
  <c r="H130" i="97"/>
  <c r="G130" i="97"/>
  <c r="F130" i="97"/>
  <c r="F131" i="123" s="1"/>
  <c r="N128" i="97"/>
  <c r="G126" i="97"/>
  <c r="G127" i="123" s="1"/>
  <c r="E128" i="97"/>
  <c r="N127" i="97"/>
  <c r="M126" i="97"/>
  <c r="L126" i="97"/>
  <c r="I126" i="97"/>
  <c r="H126" i="97"/>
  <c r="N125" i="97"/>
  <c r="O124" i="97"/>
  <c r="O125" i="123" s="1"/>
  <c r="M124" i="97"/>
  <c r="M125" i="123" s="1"/>
  <c r="L124" i="97"/>
  <c r="K124" i="97"/>
  <c r="K125" i="123" s="1"/>
  <c r="I124" i="97"/>
  <c r="H124" i="97"/>
  <c r="H125" i="123" s="1"/>
  <c r="N27" i="97"/>
  <c r="E27" i="97"/>
  <c r="I12" i="97"/>
  <c r="E149" i="97"/>
  <c r="E150" i="123" s="1"/>
  <c r="E149" i="123" s="1"/>
  <c r="H71" i="104"/>
  <c r="H62" i="104"/>
  <c r="I32" i="104"/>
  <c r="E62" i="97"/>
  <c r="E61" i="97"/>
  <c r="E75" i="97"/>
  <c r="E39" i="97"/>
  <c r="E37" i="97"/>
  <c r="O198" i="97"/>
  <c r="O197" i="97" s="1"/>
  <c r="N198" i="97"/>
  <c r="N197" i="97" s="1"/>
  <c r="K197" i="97"/>
  <c r="O63" i="97"/>
  <c r="M63" i="97"/>
  <c r="L63" i="97"/>
  <c r="I63" i="97"/>
  <c r="H63" i="97"/>
  <c r="G63" i="97"/>
  <c r="N65" i="97"/>
  <c r="N70" i="97"/>
  <c r="E71" i="97"/>
  <c r="N71" i="97"/>
  <c r="O72" i="97"/>
  <c r="M72" i="97"/>
  <c r="L72" i="97"/>
  <c r="K72" i="97"/>
  <c r="I72" i="97"/>
  <c r="H72" i="97"/>
  <c r="G72" i="97"/>
  <c r="N95" i="97"/>
  <c r="N61" i="97"/>
  <c r="N94" i="97"/>
  <c r="H147" i="97"/>
  <c r="K147" i="97"/>
  <c r="J252" i="98"/>
  <c r="I197" i="97"/>
  <c r="F186" i="97"/>
  <c r="G186" i="97"/>
  <c r="H186" i="97"/>
  <c r="I186" i="97"/>
  <c r="K186" i="97"/>
  <c r="L186" i="97"/>
  <c r="M186" i="97"/>
  <c r="O186" i="97"/>
  <c r="E186" i="97"/>
  <c r="G176" i="97"/>
  <c r="H176" i="97"/>
  <c r="I176" i="97"/>
  <c r="K176" i="97"/>
  <c r="L176" i="97"/>
  <c r="M176" i="97"/>
  <c r="G193" i="97"/>
  <c r="H193" i="97"/>
  <c r="I193" i="97"/>
  <c r="K193" i="97"/>
  <c r="L193" i="97"/>
  <c r="M193" i="97"/>
  <c r="G169" i="97"/>
  <c r="H169" i="97"/>
  <c r="I169" i="97"/>
  <c r="K169" i="97"/>
  <c r="L169" i="97"/>
  <c r="M169" i="97"/>
  <c r="I58" i="97"/>
  <c r="I147" i="97"/>
  <c r="N178" i="97"/>
  <c r="N149" i="97"/>
  <c r="N150" i="123" s="1"/>
  <c r="N149" i="123" s="1"/>
  <c r="E64" i="97"/>
  <c r="E69" i="97"/>
  <c r="E68" i="97"/>
  <c r="E67" i="97"/>
  <c r="N64" i="97"/>
  <c r="N103" i="97"/>
  <c r="N104" i="123" s="1"/>
  <c r="N80" i="97"/>
  <c r="N88" i="97"/>
  <c r="N62" i="97"/>
  <c r="N69" i="97"/>
  <c r="N68" i="97"/>
  <c r="N67" i="97"/>
  <c r="N81" i="97"/>
  <c r="N73" i="97"/>
  <c r="N75" i="97"/>
  <c r="N76" i="97"/>
  <c r="N77" i="97"/>
  <c r="N78" i="97"/>
  <c r="N74" i="97"/>
  <c r="N79" i="97"/>
  <c r="N38" i="97"/>
  <c r="E73" i="97"/>
  <c r="N195" i="97"/>
  <c r="O177" i="97"/>
  <c r="O176" i="97" s="1"/>
  <c r="E81" i="97"/>
  <c r="E79" i="97"/>
  <c r="E74" i="97"/>
  <c r="E78" i="97"/>
  <c r="E77" i="97"/>
  <c r="E76" i="97"/>
  <c r="J191" i="97"/>
  <c r="J192" i="97"/>
  <c r="G198" i="97"/>
  <c r="G197" i="97" s="1"/>
  <c r="H198" i="97"/>
  <c r="H197" i="97" s="1"/>
  <c r="L198" i="97"/>
  <c r="L197" i="97" s="1"/>
  <c r="M198" i="97"/>
  <c r="M197" i="97" s="1"/>
  <c r="J200" i="97"/>
  <c r="J201" i="97"/>
  <c r="F72" i="97"/>
  <c r="F179" i="97"/>
  <c r="E90" i="97"/>
  <c r="E65" i="97"/>
  <c r="E125" i="97"/>
  <c r="G11" i="107"/>
  <c r="G10" i="107" s="1"/>
  <c r="G9" i="107" s="1"/>
  <c r="G14" i="107" s="1"/>
  <c r="I12" i="107"/>
  <c r="Q12" i="107" s="1"/>
  <c r="E91" i="97"/>
  <c r="F72" i="120" l="1"/>
  <c r="F59" i="120" s="1"/>
  <c r="F58" i="120" s="1"/>
  <c r="F73" i="123"/>
  <c r="F60" i="123" s="1"/>
  <c r="F59" i="123" s="1"/>
  <c r="E74" i="120"/>
  <c r="E75" i="123"/>
  <c r="N75" i="120"/>
  <c r="N76" i="123"/>
  <c r="N178" i="120"/>
  <c r="N177" i="120" s="1"/>
  <c r="N179" i="123"/>
  <c r="N178" i="123" s="1"/>
  <c r="N95" i="120"/>
  <c r="N96" i="123"/>
  <c r="G63" i="120"/>
  <c r="G64" i="123"/>
  <c r="L123" i="97"/>
  <c r="L125" i="123"/>
  <c r="N127" i="120"/>
  <c r="N128" i="123"/>
  <c r="N132" i="120"/>
  <c r="N133" i="123"/>
  <c r="E134" i="120"/>
  <c r="E135" i="123"/>
  <c r="L140" i="120"/>
  <c r="L141" i="123"/>
  <c r="N145" i="120"/>
  <c r="N146" i="123"/>
  <c r="G97" i="120"/>
  <c r="G98" i="123"/>
  <c r="M89" i="120"/>
  <c r="M90" i="123"/>
  <c r="N113" i="120"/>
  <c r="N114" i="123"/>
  <c r="E35" i="120"/>
  <c r="E35" i="123"/>
  <c r="E91" i="120"/>
  <c r="E92" i="123"/>
  <c r="E65" i="120"/>
  <c r="E66" i="123"/>
  <c r="J201" i="120"/>
  <c r="J202" i="123"/>
  <c r="E76" i="120"/>
  <c r="E77" i="123"/>
  <c r="E79" i="120"/>
  <c r="E80" i="123"/>
  <c r="E73" i="120"/>
  <c r="E74" i="123"/>
  <c r="N78" i="120"/>
  <c r="N79" i="123"/>
  <c r="N73" i="120"/>
  <c r="N74" i="123"/>
  <c r="N69" i="120"/>
  <c r="N70" i="123"/>
  <c r="E69" i="120"/>
  <c r="E70" i="123"/>
  <c r="G72" i="120"/>
  <c r="G73" i="123"/>
  <c r="L72" i="120"/>
  <c r="L73" i="123"/>
  <c r="E71" i="120"/>
  <c r="E72" i="123"/>
  <c r="H63" i="120"/>
  <c r="H64" i="123"/>
  <c r="O63" i="120"/>
  <c r="O64" i="123"/>
  <c r="E37" i="120"/>
  <c r="E37" i="123"/>
  <c r="E62" i="120"/>
  <c r="E63" i="123"/>
  <c r="E148" i="123"/>
  <c r="I126" i="120"/>
  <c r="I127" i="123"/>
  <c r="E128" i="120"/>
  <c r="E129" i="123"/>
  <c r="G130" i="120"/>
  <c r="G131" i="123"/>
  <c r="E131" i="120"/>
  <c r="E132" i="123"/>
  <c r="F133" i="120"/>
  <c r="F134" i="123"/>
  <c r="F124" i="123" s="1"/>
  <c r="L133" i="120"/>
  <c r="L134" i="123"/>
  <c r="H135" i="120"/>
  <c r="H136" i="123"/>
  <c r="F135" i="120"/>
  <c r="F136" i="123"/>
  <c r="M140" i="120"/>
  <c r="M141" i="123"/>
  <c r="E47" i="120"/>
  <c r="E48" i="123"/>
  <c r="H97" i="120"/>
  <c r="H98" i="123"/>
  <c r="O97" i="120"/>
  <c r="O98" i="123"/>
  <c r="I89" i="120"/>
  <c r="I90" i="123"/>
  <c r="G89" i="120"/>
  <c r="G90" i="123"/>
  <c r="E38" i="120"/>
  <c r="E38" i="123"/>
  <c r="E15" i="120"/>
  <c r="E15" i="123"/>
  <c r="E16" i="120"/>
  <c r="E16" i="123"/>
  <c r="E125" i="120"/>
  <c r="E126" i="123"/>
  <c r="N195" i="120"/>
  <c r="N196" i="123"/>
  <c r="N68" i="120"/>
  <c r="N69" i="123"/>
  <c r="N80" i="120"/>
  <c r="N81" i="123"/>
  <c r="K72" i="120"/>
  <c r="K73" i="123"/>
  <c r="N71" i="120"/>
  <c r="N72" i="123"/>
  <c r="M63" i="120"/>
  <c r="M64" i="123"/>
  <c r="E61" i="120"/>
  <c r="E62" i="123"/>
  <c r="N27" i="120"/>
  <c r="N27" i="123"/>
  <c r="H126" i="120"/>
  <c r="H127" i="123"/>
  <c r="O130" i="120"/>
  <c r="O131" i="123"/>
  <c r="M135" i="120"/>
  <c r="M136" i="123"/>
  <c r="H89" i="120"/>
  <c r="H90" i="123"/>
  <c r="E105" i="120"/>
  <c r="E106" i="123"/>
  <c r="N14" i="120"/>
  <c r="N14" i="123"/>
  <c r="E90" i="120"/>
  <c r="E91" i="123"/>
  <c r="J200" i="120"/>
  <c r="J201" i="123"/>
  <c r="E77" i="120"/>
  <c r="E78" i="123"/>
  <c r="N38" i="120"/>
  <c r="N38" i="123"/>
  <c r="N77" i="120"/>
  <c r="N78" i="123"/>
  <c r="N62" i="120"/>
  <c r="N63" i="123"/>
  <c r="N64" i="120"/>
  <c r="N65" i="123"/>
  <c r="E64" i="120"/>
  <c r="E65" i="123"/>
  <c r="N94" i="120"/>
  <c r="N95" i="123"/>
  <c r="H72" i="120"/>
  <c r="H73" i="123"/>
  <c r="M72" i="120"/>
  <c r="M73" i="123"/>
  <c r="N70" i="120"/>
  <c r="N71" i="123"/>
  <c r="I63" i="120"/>
  <c r="I64" i="123"/>
  <c r="E39" i="120"/>
  <c r="E39" i="123"/>
  <c r="I124" i="120"/>
  <c r="I125" i="123"/>
  <c r="L126" i="120"/>
  <c r="L127" i="123"/>
  <c r="H130" i="120"/>
  <c r="H131" i="123"/>
  <c r="N131" i="120"/>
  <c r="N132" i="123"/>
  <c r="G133" i="120"/>
  <c r="G134" i="123"/>
  <c r="M133" i="120"/>
  <c r="M134" i="123"/>
  <c r="I135" i="120"/>
  <c r="I136" i="123"/>
  <c r="G135" i="120"/>
  <c r="G136" i="123"/>
  <c r="I140" i="120"/>
  <c r="I141" i="123"/>
  <c r="N142" i="120"/>
  <c r="N143" i="123"/>
  <c r="E45" i="120"/>
  <c r="E46" i="123"/>
  <c r="N49" i="120"/>
  <c r="N50" i="123"/>
  <c r="E98" i="120"/>
  <c r="E99" i="123"/>
  <c r="K89" i="120"/>
  <c r="K90" i="123"/>
  <c r="K60" i="123" s="1"/>
  <c r="N90" i="120"/>
  <c r="N91" i="123"/>
  <c r="E36" i="120"/>
  <c r="E36" i="123"/>
  <c r="N35" i="120"/>
  <c r="N35" i="123"/>
  <c r="N16" i="120"/>
  <c r="N16" i="123"/>
  <c r="N115" i="120"/>
  <c r="N116" i="123"/>
  <c r="J191" i="120"/>
  <c r="J192" i="123"/>
  <c r="N74" i="120"/>
  <c r="N75" i="123"/>
  <c r="E68" i="120"/>
  <c r="E69" i="123"/>
  <c r="K133" i="120"/>
  <c r="K134" i="123"/>
  <c r="N137" i="120"/>
  <c r="N138" i="123"/>
  <c r="N141" i="120"/>
  <c r="N142" i="123"/>
  <c r="M97" i="120"/>
  <c r="M59" i="120" s="1"/>
  <c r="M58" i="120" s="1"/>
  <c r="M98" i="123"/>
  <c r="N15" i="120"/>
  <c r="N15" i="123"/>
  <c r="J192" i="120"/>
  <c r="J193" i="123"/>
  <c r="E78" i="120"/>
  <c r="E79" i="123"/>
  <c r="N79" i="120"/>
  <c r="N80" i="123"/>
  <c r="N76" i="120"/>
  <c r="N77" i="123"/>
  <c r="N67" i="120"/>
  <c r="N68" i="123"/>
  <c r="N88" i="120"/>
  <c r="N89" i="123"/>
  <c r="E67" i="120"/>
  <c r="E68" i="123"/>
  <c r="N148" i="123"/>
  <c r="J149" i="123"/>
  <c r="J148" i="123" s="1"/>
  <c r="N61" i="120"/>
  <c r="N62" i="123"/>
  <c r="I72" i="120"/>
  <c r="I73" i="123"/>
  <c r="O72" i="120"/>
  <c r="O73" i="123"/>
  <c r="N65" i="120"/>
  <c r="N66" i="123"/>
  <c r="L63" i="120"/>
  <c r="L64" i="123"/>
  <c r="E75" i="120"/>
  <c r="E76" i="123"/>
  <c r="E27" i="120"/>
  <c r="E27" i="123"/>
  <c r="N125" i="120"/>
  <c r="N126" i="123"/>
  <c r="M126" i="120"/>
  <c r="M127" i="123"/>
  <c r="M124" i="123" s="1"/>
  <c r="N128" i="120"/>
  <c r="N129" i="123"/>
  <c r="K130" i="120"/>
  <c r="K131" i="123"/>
  <c r="E132" i="120"/>
  <c r="E133" i="123"/>
  <c r="H133" i="120"/>
  <c r="H134" i="123"/>
  <c r="O133" i="120"/>
  <c r="O134" i="123"/>
  <c r="L135" i="120"/>
  <c r="L136" i="123"/>
  <c r="E137" i="120"/>
  <c r="E138" i="123"/>
  <c r="K140" i="120"/>
  <c r="K141" i="123"/>
  <c r="E141" i="120"/>
  <c r="E142" i="123"/>
  <c r="E145" i="120"/>
  <c r="E146" i="123"/>
  <c r="N45" i="120"/>
  <c r="N44" i="120" s="1"/>
  <c r="N43" i="120" s="1"/>
  <c r="N46" i="123"/>
  <c r="N45" i="123" s="1"/>
  <c r="E54" i="120"/>
  <c r="E55" i="123"/>
  <c r="L97" i="120"/>
  <c r="L98" i="123"/>
  <c r="N98" i="120"/>
  <c r="N99" i="123"/>
  <c r="L89" i="120"/>
  <c r="L90" i="123"/>
  <c r="N91" i="120"/>
  <c r="N92" i="123"/>
  <c r="E34" i="120"/>
  <c r="E34" i="123"/>
  <c r="E32" i="120"/>
  <c r="E32" i="123"/>
  <c r="E14" i="120"/>
  <c r="E14" i="123"/>
  <c r="E42" i="120"/>
  <c r="E43" i="123"/>
  <c r="E115" i="120"/>
  <c r="E116" i="123"/>
  <c r="I123" i="120"/>
  <c r="I122" i="120" s="1"/>
  <c r="H124" i="120"/>
  <c r="H123" i="97"/>
  <c r="H122" i="97" s="1"/>
  <c r="M123" i="97"/>
  <c r="O124" i="120"/>
  <c r="F130" i="120"/>
  <c r="F123" i="97"/>
  <c r="F29" i="108"/>
  <c r="E149" i="120"/>
  <c r="E148" i="120" s="1"/>
  <c r="E147" i="120" s="1"/>
  <c r="E148" i="97"/>
  <c r="K148" i="104" s="1"/>
  <c r="H59" i="120"/>
  <c r="H58" i="120" s="1"/>
  <c r="G126" i="120"/>
  <c r="K59" i="97"/>
  <c r="K97" i="120"/>
  <c r="K59" i="120" s="1"/>
  <c r="K58" i="120" s="1"/>
  <c r="N176" i="120"/>
  <c r="J177" i="120"/>
  <c r="L122" i="97"/>
  <c r="L124" i="120"/>
  <c r="L123" i="120" s="1"/>
  <c r="L122" i="120" s="1"/>
  <c r="G59" i="120"/>
  <c r="G58" i="120" s="1"/>
  <c r="M124" i="120"/>
  <c r="M123" i="120" s="1"/>
  <c r="M122" i="120" s="1"/>
  <c r="K124" i="120"/>
  <c r="L59" i="120"/>
  <c r="L58" i="120" s="1"/>
  <c r="H140" i="120"/>
  <c r="O140" i="120"/>
  <c r="N149" i="120"/>
  <c r="N148" i="120" s="1"/>
  <c r="N148" i="97"/>
  <c r="J148" i="97" s="1"/>
  <c r="L148" i="104" s="1"/>
  <c r="E46" i="120"/>
  <c r="E44" i="97"/>
  <c r="F140" i="120"/>
  <c r="G35" i="104"/>
  <c r="G144" i="104"/>
  <c r="F59" i="97"/>
  <c r="L96" i="97"/>
  <c r="G96" i="97"/>
  <c r="M96" i="97"/>
  <c r="G40" i="104"/>
  <c r="G66" i="104"/>
  <c r="N177" i="97"/>
  <c r="J177" i="97" s="1"/>
  <c r="J176" i="97" s="1"/>
  <c r="J62" i="97"/>
  <c r="J63" i="123" s="1"/>
  <c r="H96" i="97"/>
  <c r="O96" i="97"/>
  <c r="G60" i="104"/>
  <c r="G61" i="104"/>
  <c r="G63" i="104"/>
  <c r="I63" i="104" s="1"/>
  <c r="K96" i="97"/>
  <c r="J137" i="97"/>
  <c r="J138" i="123" s="1"/>
  <c r="G111" i="104"/>
  <c r="G30" i="104"/>
  <c r="I30" i="104" s="1"/>
  <c r="G33" i="104"/>
  <c r="N44" i="97"/>
  <c r="I123" i="97"/>
  <c r="I122" i="97" s="1"/>
  <c r="C48" i="105"/>
  <c r="G145" i="104"/>
  <c r="I145" i="104" s="1"/>
  <c r="I146" i="104"/>
  <c r="G24" i="104"/>
  <c r="G37" i="104"/>
  <c r="J149" i="97"/>
  <c r="J67" i="97"/>
  <c r="N66" i="97"/>
  <c r="C102" i="105"/>
  <c r="C86" i="105"/>
  <c r="L59" i="97"/>
  <c r="L58" i="97" s="1"/>
  <c r="H59" i="97"/>
  <c r="H58" i="97" s="1"/>
  <c r="M59" i="97"/>
  <c r="M58" i="97" s="1"/>
  <c r="G59" i="97"/>
  <c r="G58" i="97" s="1"/>
  <c r="J64" i="97"/>
  <c r="N63" i="97"/>
  <c r="N60" i="97"/>
  <c r="H195" i="104"/>
  <c r="I195" i="104" s="1"/>
  <c r="G31" i="104"/>
  <c r="D52" i="105"/>
  <c r="D45" i="105" s="1"/>
  <c r="H196" i="104"/>
  <c r="I196" i="104" s="1"/>
  <c r="F74" i="105"/>
  <c r="F83" i="105" s="1"/>
  <c r="F109" i="105" s="1"/>
  <c r="E72" i="97"/>
  <c r="J61" i="97"/>
  <c r="M147" i="97"/>
  <c r="E63" i="97"/>
  <c r="L147" i="97"/>
  <c r="E97" i="97"/>
  <c r="E179" i="97"/>
  <c r="F197" i="97"/>
  <c r="O179" i="97"/>
  <c r="G43" i="97"/>
  <c r="E114" i="97"/>
  <c r="G64" i="104"/>
  <c r="I64" i="104" s="1"/>
  <c r="P192" i="97"/>
  <c r="J68" i="97"/>
  <c r="J178" i="97"/>
  <c r="J65" i="97"/>
  <c r="E201" i="97"/>
  <c r="E88" i="97"/>
  <c r="J105" i="97"/>
  <c r="J118" i="97"/>
  <c r="J103" i="97"/>
  <c r="J104" i="123" s="1"/>
  <c r="E95" i="97"/>
  <c r="J91" i="97"/>
  <c r="J113" i="97"/>
  <c r="E112" i="97"/>
  <c r="J71" i="97"/>
  <c r="G147" i="97"/>
  <c r="E80" i="97"/>
  <c r="P191" i="97"/>
  <c r="J195" i="97"/>
  <c r="J69" i="97"/>
  <c r="J70" i="97"/>
  <c r="E94" i="97"/>
  <c r="J45" i="97"/>
  <c r="J46" i="123" s="1"/>
  <c r="J47" i="97"/>
  <c r="J48" i="123" s="1"/>
  <c r="E116" i="97"/>
  <c r="J115" i="97"/>
  <c r="E118" i="97"/>
  <c r="G77" i="104"/>
  <c r="I77" i="104" s="1"/>
  <c r="J77" i="97"/>
  <c r="J95" i="97"/>
  <c r="G74" i="104"/>
  <c r="I74" i="104" s="1"/>
  <c r="G90" i="104"/>
  <c r="G73" i="104"/>
  <c r="I73" i="104" s="1"/>
  <c r="J79" i="97"/>
  <c r="J76" i="97"/>
  <c r="J88" i="97"/>
  <c r="G67" i="104"/>
  <c r="J94" i="97"/>
  <c r="J54" i="97"/>
  <c r="J55" i="123" s="1"/>
  <c r="G75" i="104"/>
  <c r="I75" i="104" s="1"/>
  <c r="G78" i="104"/>
  <c r="I78" i="104" s="1"/>
  <c r="J74" i="97"/>
  <c r="J75" i="97"/>
  <c r="J81" i="97"/>
  <c r="J80" i="97"/>
  <c r="G68" i="104"/>
  <c r="I68" i="104" s="1"/>
  <c r="J49" i="97"/>
  <c r="J50" i="123" s="1"/>
  <c r="G97" i="104"/>
  <c r="I97" i="104" s="1"/>
  <c r="J73" i="97"/>
  <c r="J46" i="97"/>
  <c r="J47" i="123" s="1"/>
  <c r="G100" i="104"/>
  <c r="G70" i="104"/>
  <c r="I70" i="104" s="1"/>
  <c r="G89" i="104"/>
  <c r="G76" i="104"/>
  <c r="I76" i="104" s="1"/>
  <c r="G72" i="104"/>
  <c r="J78" i="97"/>
  <c r="J98" i="97"/>
  <c r="E65" i="105"/>
  <c r="E45" i="105" s="1"/>
  <c r="M13" i="107"/>
  <c r="Q13" i="107" s="1"/>
  <c r="C57" i="105"/>
  <c r="K11" i="107"/>
  <c r="K10" i="107" s="1"/>
  <c r="K9" i="107" s="1"/>
  <c r="K14" i="107" s="1"/>
  <c r="E140" i="97"/>
  <c r="E141" i="123" s="1"/>
  <c r="J145" i="97"/>
  <c r="J36" i="97"/>
  <c r="K30" i="97"/>
  <c r="J125" i="97"/>
  <c r="G127" i="104"/>
  <c r="G125" i="104" s="1"/>
  <c r="G140" i="97"/>
  <c r="L30" i="97"/>
  <c r="N42" i="97"/>
  <c r="G124" i="104"/>
  <c r="G123" i="104" s="1"/>
  <c r="N20" i="97"/>
  <c r="N124" i="97"/>
  <c r="E130" i="97"/>
  <c r="E131" i="123" s="1"/>
  <c r="N130" i="97"/>
  <c r="G133" i="104"/>
  <c r="G132" i="104" s="1"/>
  <c r="J142" i="97"/>
  <c r="N34" i="97"/>
  <c r="E200" i="97"/>
  <c r="J37" i="97"/>
  <c r="G12" i="97"/>
  <c r="K12" i="97"/>
  <c r="E20" i="97"/>
  <c r="E124" i="97"/>
  <c r="N126" i="97"/>
  <c r="N127" i="123" s="1"/>
  <c r="E133" i="97"/>
  <c r="E135" i="97"/>
  <c r="J141" i="97"/>
  <c r="N89" i="97"/>
  <c r="P27" i="97"/>
  <c r="G131" i="104"/>
  <c r="J15" i="97"/>
  <c r="G34" i="104"/>
  <c r="J132" i="97"/>
  <c r="G140" i="104"/>
  <c r="J39" i="97"/>
  <c r="J128" i="97"/>
  <c r="G130" i="104"/>
  <c r="N134" i="120"/>
  <c r="J35" i="97"/>
  <c r="J38" i="97"/>
  <c r="J127" i="97"/>
  <c r="J131" i="97"/>
  <c r="C61" i="105"/>
  <c r="E26" i="97"/>
  <c r="N26" i="97"/>
  <c r="N26" i="123" s="1"/>
  <c r="O12" i="97"/>
  <c r="J73" i="98"/>
  <c r="H171" i="104"/>
  <c r="J14" i="97"/>
  <c r="J14" i="123" s="1"/>
  <c r="J16" i="97"/>
  <c r="G136" i="104"/>
  <c r="C41" i="105"/>
  <c r="E78" i="105"/>
  <c r="E74" i="105" s="1"/>
  <c r="C74" i="105" s="1"/>
  <c r="J239" i="98"/>
  <c r="I11" i="107"/>
  <c r="N140" i="97"/>
  <c r="E142" i="97"/>
  <c r="E136" i="97"/>
  <c r="M12" i="97"/>
  <c r="J90" i="97"/>
  <c r="F43" i="97"/>
  <c r="O89" i="97"/>
  <c r="O90" i="123" s="1"/>
  <c r="H110" i="97"/>
  <c r="M110" i="97"/>
  <c r="H12" i="97"/>
  <c r="L12" i="97"/>
  <c r="O30" i="97"/>
  <c r="N114" i="97"/>
  <c r="O110" i="97"/>
  <c r="G110" i="97"/>
  <c r="J33" i="97"/>
  <c r="J33" i="123" s="1"/>
  <c r="E113" i="97"/>
  <c r="F110" i="97"/>
  <c r="I30" i="97"/>
  <c r="J32" i="97"/>
  <c r="O193" i="97"/>
  <c r="O169" i="97"/>
  <c r="J198" i="97"/>
  <c r="J197" i="97" s="1"/>
  <c r="J20" i="98"/>
  <c r="O43" i="97"/>
  <c r="D11" i="105"/>
  <c r="C11" i="105" s="1"/>
  <c r="E70" i="97"/>
  <c r="N97" i="97"/>
  <c r="N98" i="123" s="1"/>
  <c r="J53" i="98"/>
  <c r="E33" i="97"/>
  <c r="E33" i="123" s="1"/>
  <c r="N72" i="97"/>
  <c r="K135" i="97"/>
  <c r="O135" i="97"/>
  <c r="D23" i="105"/>
  <c r="C24" i="105"/>
  <c r="C71" i="105"/>
  <c r="E44" i="120" l="1"/>
  <c r="E43" i="120" s="1"/>
  <c r="P149" i="123"/>
  <c r="P148" i="123" s="1"/>
  <c r="L60" i="123"/>
  <c r="L59" i="123" s="1"/>
  <c r="I124" i="123"/>
  <c r="H124" i="123"/>
  <c r="H60" i="123"/>
  <c r="H59" i="123" s="1"/>
  <c r="M123" i="123"/>
  <c r="K59" i="123"/>
  <c r="H123" i="123"/>
  <c r="H203" i="123"/>
  <c r="E215" i="123" s="1"/>
  <c r="J127" i="120"/>
  <c r="J128" i="123"/>
  <c r="E133" i="120"/>
  <c r="E134" i="123"/>
  <c r="N42" i="120"/>
  <c r="N43" i="123"/>
  <c r="J125" i="120"/>
  <c r="J126" i="123"/>
  <c r="J94" i="120"/>
  <c r="J95" i="123"/>
  <c r="J67" i="120"/>
  <c r="J68" i="123"/>
  <c r="N140" i="120"/>
  <c r="N141" i="123"/>
  <c r="E26" i="120"/>
  <c r="E26" i="123"/>
  <c r="J38" i="120"/>
  <c r="J38" i="123"/>
  <c r="J128" i="120"/>
  <c r="J129" i="123"/>
  <c r="N89" i="120"/>
  <c r="N90" i="123"/>
  <c r="J142" i="120"/>
  <c r="J143" i="123"/>
  <c r="N124" i="120"/>
  <c r="N125" i="123"/>
  <c r="J98" i="120"/>
  <c r="J99" i="123"/>
  <c r="J73" i="120"/>
  <c r="J74" i="123"/>
  <c r="J80" i="120"/>
  <c r="J81" i="123"/>
  <c r="J77" i="120"/>
  <c r="J78" i="123"/>
  <c r="E116" i="120"/>
  <c r="E117" i="123"/>
  <c r="J70" i="120"/>
  <c r="J71" i="123"/>
  <c r="E80" i="120"/>
  <c r="E81" i="123"/>
  <c r="J113" i="120"/>
  <c r="J114" i="123"/>
  <c r="J118" i="120"/>
  <c r="J119" i="123"/>
  <c r="J65" i="120"/>
  <c r="J66" i="123"/>
  <c r="E63" i="120"/>
  <c r="E64" i="123"/>
  <c r="J149" i="120"/>
  <c r="J150" i="123"/>
  <c r="K96" i="120"/>
  <c r="K97" i="123"/>
  <c r="O96" i="120"/>
  <c r="O97" i="123"/>
  <c r="L96" i="120"/>
  <c r="L97" i="123"/>
  <c r="P27" i="120"/>
  <c r="P27" i="123"/>
  <c r="N34" i="120"/>
  <c r="N31" i="120" s="1"/>
  <c r="N30" i="120" s="1"/>
  <c r="N34" i="123"/>
  <c r="J79" i="120"/>
  <c r="J80" i="123"/>
  <c r="J115" i="120"/>
  <c r="J116" i="123"/>
  <c r="P191" i="120"/>
  <c r="P192" i="123"/>
  <c r="E201" i="120"/>
  <c r="E202" i="123"/>
  <c r="G96" i="120"/>
  <c r="G97" i="123"/>
  <c r="N44" i="123"/>
  <c r="J45" i="123"/>
  <c r="J44" i="123" s="1"/>
  <c r="I123" i="123"/>
  <c r="I203" i="123"/>
  <c r="F123" i="123"/>
  <c r="F203" i="123"/>
  <c r="O135" i="120"/>
  <c r="O136" i="123"/>
  <c r="O124" i="123" s="1"/>
  <c r="N114" i="120"/>
  <c r="N111" i="120" s="1"/>
  <c r="N110" i="120" s="1"/>
  <c r="N115" i="123"/>
  <c r="K135" i="120"/>
  <c r="K136" i="123"/>
  <c r="K124" i="123" s="1"/>
  <c r="J32" i="120"/>
  <c r="J32" i="123"/>
  <c r="J35" i="120"/>
  <c r="J35" i="123"/>
  <c r="J39" i="120"/>
  <c r="J39" i="123"/>
  <c r="J15" i="120"/>
  <c r="J15" i="123"/>
  <c r="J141" i="120"/>
  <c r="J142" i="123"/>
  <c r="E124" i="120"/>
  <c r="E125" i="123"/>
  <c r="J37" i="120"/>
  <c r="J37" i="123"/>
  <c r="N20" i="120"/>
  <c r="N20" i="123"/>
  <c r="N13" i="123" s="1"/>
  <c r="G140" i="120"/>
  <c r="G141" i="123"/>
  <c r="G124" i="123" s="1"/>
  <c r="J36" i="120"/>
  <c r="J36" i="123"/>
  <c r="J78" i="120"/>
  <c r="J79" i="123"/>
  <c r="J88" i="120"/>
  <c r="J89" i="123"/>
  <c r="J69" i="120"/>
  <c r="J70" i="123"/>
  <c r="J91" i="120"/>
  <c r="J92" i="123"/>
  <c r="J105" i="120"/>
  <c r="J106" i="123"/>
  <c r="J178" i="120"/>
  <c r="J179" i="123"/>
  <c r="E114" i="120"/>
  <c r="E115" i="123"/>
  <c r="N60" i="120"/>
  <c r="N61" i="123"/>
  <c r="H96" i="120"/>
  <c r="H97" i="123"/>
  <c r="E31" i="123"/>
  <c r="E45" i="123"/>
  <c r="O60" i="123"/>
  <c r="O59" i="123" s="1"/>
  <c r="N112" i="123"/>
  <c r="G60" i="123"/>
  <c r="G59" i="123" s="1"/>
  <c r="L124" i="123"/>
  <c r="E142" i="120"/>
  <c r="E143" i="123"/>
  <c r="J132" i="120"/>
  <c r="J133" i="123"/>
  <c r="J74" i="120"/>
  <c r="J75" i="123"/>
  <c r="J95" i="120"/>
  <c r="J96" i="123"/>
  <c r="E94" i="120"/>
  <c r="E95" i="123"/>
  <c r="E112" i="120"/>
  <c r="E113" i="123"/>
  <c r="P192" i="120"/>
  <c r="P193" i="123"/>
  <c r="E72" i="120"/>
  <c r="E73" i="123"/>
  <c r="J64" i="120"/>
  <c r="J65" i="123"/>
  <c r="N177" i="123"/>
  <c r="J178" i="123"/>
  <c r="E113" i="120"/>
  <c r="E114" i="123"/>
  <c r="J90" i="120"/>
  <c r="J91" i="123"/>
  <c r="N72" i="120"/>
  <c r="N73" i="123"/>
  <c r="E70" i="120"/>
  <c r="E71" i="123"/>
  <c r="E136" i="120"/>
  <c r="E137" i="123"/>
  <c r="J16" i="120"/>
  <c r="J16" i="123"/>
  <c r="J131" i="120"/>
  <c r="J132" i="123"/>
  <c r="E135" i="120"/>
  <c r="E136" i="123"/>
  <c r="E20" i="120"/>
  <c r="E20" i="123"/>
  <c r="E200" i="120"/>
  <c r="E198" i="120" s="1"/>
  <c r="E197" i="120" s="1"/>
  <c r="E201" i="123"/>
  <c r="E199" i="123" s="1"/>
  <c r="N130" i="120"/>
  <c r="N131" i="123"/>
  <c r="J145" i="120"/>
  <c r="J146" i="123"/>
  <c r="J75" i="120"/>
  <c r="J76" i="123"/>
  <c r="J76" i="120"/>
  <c r="J77" i="123"/>
  <c r="E118" i="120"/>
  <c r="E119" i="123"/>
  <c r="J195" i="120"/>
  <c r="J196" i="123"/>
  <c r="J71" i="120"/>
  <c r="J72" i="123"/>
  <c r="E95" i="120"/>
  <c r="E96" i="123"/>
  <c r="E88" i="120"/>
  <c r="E89" i="123"/>
  <c r="J68" i="120"/>
  <c r="J69" i="123"/>
  <c r="E97" i="120"/>
  <c r="E98" i="123"/>
  <c r="J61" i="120"/>
  <c r="J62" i="123"/>
  <c r="N63" i="120"/>
  <c r="N64" i="123"/>
  <c r="N66" i="120"/>
  <c r="N67" i="123"/>
  <c r="M96" i="120"/>
  <c r="M97" i="123"/>
  <c r="M60" i="123"/>
  <c r="M59" i="123" s="1"/>
  <c r="F123" i="120"/>
  <c r="F122" i="120" s="1"/>
  <c r="G123" i="120"/>
  <c r="G122" i="120" s="1"/>
  <c r="O123" i="120"/>
  <c r="O122" i="120" s="1"/>
  <c r="K123" i="97"/>
  <c r="G123" i="97"/>
  <c r="K123" i="120"/>
  <c r="O123" i="97"/>
  <c r="R123" i="97" s="1"/>
  <c r="H123" i="120"/>
  <c r="H122" i="120" s="1"/>
  <c r="J44" i="120"/>
  <c r="P44" i="120" s="1"/>
  <c r="P43" i="120" s="1"/>
  <c r="E130" i="120"/>
  <c r="P62" i="97"/>
  <c r="J62" i="120"/>
  <c r="P177" i="120"/>
  <c r="P176" i="120" s="1"/>
  <c r="J176" i="120"/>
  <c r="N59" i="97"/>
  <c r="N58" i="97" s="1"/>
  <c r="N97" i="120"/>
  <c r="G122" i="97"/>
  <c r="J49" i="120"/>
  <c r="H48" i="104"/>
  <c r="I48" i="104" s="1"/>
  <c r="J54" i="120"/>
  <c r="H53" i="104"/>
  <c r="I53" i="104" s="1"/>
  <c r="L202" i="120"/>
  <c r="J213" i="120" s="1"/>
  <c r="M202" i="120"/>
  <c r="J214" i="120" s="1"/>
  <c r="I202" i="120"/>
  <c r="J45" i="120"/>
  <c r="H43" i="104"/>
  <c r="I43" i="104" s="1"/>
  <c r="N147" i="120"/>
  <c r="J148" i="120"/>
  <c r="O89" i="120"/>
  <c r="O59" i="120" s="1"/>
  <c r="O59" i="97"/>
  <c r="R59" i="97" s="1"/>
  <c r="J47" i="120"/>
  <c r="H45" i="104"/>
  <c r="I45" i="104" s="1"/>
  <c r="E43" i="97"/>
  <c r="K42" i="104"/>
  <c r="J46" i="120"/>
  <c r="H44" i="104"/>
  <c r="E31" i="97"/>
  <c r="E33" i="120"/>
  <c r="E31" i="120" s="1"/>
  <c r="P14" i="97"/>
  <c r="J14" i="120"/>
  <c r="N13" i="97"/>
  <c r="N12" i="97" s="1"/>
  <c r="N26" i="120"/>
  <c r="N13" i="120" s="1"/>
  <c r="N126" i="120"/>
  <c r="P137" i="97"/>
  <c r="J137" i="120"/>
  <c r="H26" i="104"/>
  <c r="J33" i="120"/>
  <c r="F202" i="120"/>
  <c r="E140" i="120"/>
  <c r="H35" i="104"/>
  <c r="I35" i="104" s="1"/>
  <c r="G26" i="104"/>
  <c r="G23" i="104" s="1"/>
  <c r="G59" i="104"/>
  <c r="N96" i="97"/>
  <c r="G114" i="104"/>
  <c r="H61" i="104"/>
  <c r="I61" i="104" s="1"/>
  <c r="J63" i="97"/>
  <c r="J66" i="97"/>
  <c r="H66" i="104"/>
  <c r="I66" i="104" s="1"/>
  <c r="H114" i="104"/>
  <c r="H93" i="104"/>
  <c r="H94" i="104"/>
  <c r="G93" i="104"/>
  <c r="H60" i="104"/>
  <c r="P64" i="97"/>
  <c r="E111" i="97"/>
  <c r="E110" i="97" s="1"/>
  <c r="H109" i="104"/>
  <c r="N111" i="97"/>
  <c r="J111" i="97" s="1"/>
  <c r="J110" i="97" s="1"/>
  <c r="G110" i="104"/>
  <c r="H136" i="104"/>
  <c r="I136" i="104" s="1"/>
  <c r="G9" i="104"/>
  <c r="G6" i="104" s="1"/>
  <c r="H37" i="104"/>
  <c r="I37" i="104" s="1"/>
  <c r="H33" i="104"/>
  <c r="I33" i="104" s="1"/>
  <c r="N31" i="97"/>
  <c r="N30" i="97" s="1"/>
  <c r="I72" i="104"/>
  <c r="G71" i="104"/>
  <c r="I71" i="104" s="1"/>
  <c r="H24" i="104"/>
  <c r="P67" i="97"/>
  <c r="I67" i="104"/>
  <c r="F58" i="97"/>
  <c r="E198" i="97"/>
  <c r="E197" i="97" s="1"/>
  <c r="G41" i="104"/>
  <c r="G109" i="104"/>
  <c r="H180" i="104"/>
  <c r="H194" i="104"/>
  <c r="H192" i="104" s="1"/>
  <c r="C52" i="105"/>
  <c r="H199" i="104"/>
  <c r="H198" i="104" s="1"/>
  <c r="P61" i="97"/>
  <c r="H31" i="104"/>
  <c r="I31" i="104" s="1"/>
  <c r="E92" i="97"/>
  <c r="J180" i="97"/>
  <c r="L182" i="104" s="1"/>
  <c r="J89" i="97"/>
  <c r="J60" i="97"/>
  <c r="J124" i="97"/>
  <c r="N43" i="97"/>
  <c r="E60" i="97"/>
  <c r="J20" i="97"/>
  <c r="M11" i="107"/>
  <c r="M10" i="107" s="1"/>
  <c r="M9" i="107" s="1"/>
  <c r="M14" i="107" s="1"/>
  <c r="P65" i="97"/>
  <c r="P103" i="97"/>
  <c r="P104" i="123" s="1"/>
  <c r="P201" i="97"/>
  <c r="P71" i="97"/>
  <c r="H90" i="104"/>
  <c r="I90" i="104" s="1"/>
  <c r="P118" i="97"/>
  <c r="N147" i="97"/>
  <c r="P91" i="97"/>
  <c r="P68" i="97"/>
  <c r="G79" i="104"/>
  <c r="G108" i="104"/>
  <c r="H111" i="104"/>
  <c r="G62" i="104"/>
  <c r="P69" i="97"/>
  <c r="P105" i="97"/>
  <c r="P45" i="97"/>
  <c r="P199" i="97"/>
  <c r="H100" i="104"/>
  <c r="P195" i="97"/>
  <c r="J116" i="97"/>
  <c r="P47" i="97"/>
  <c r="P54" i="97"/>
  <c r="P76" i="97"/>
  <c r="J112" i="97"/>
  <c r="J48" i="97"/>
  <c r="J49" i="123" s="1"/>
  <c r="P115" i="97"/>
  <c r="P16" i="97"/>
  <c r="G94" i="104"/>
  <c r="G87" i="104"/>
  <c r="I87" i="104" s="1"/>
  <c r="P73" i="97"/>
  <c r="G112" i="104"/>
  <c r="P79" i="97"/>
  <c r="G98" i="104"/>
  <c r="I98" i="104" s="1"/>
  <c r="N176" i="97"/>
  <c r="G88" i="104"/>
  <c r="C78" i="105"/>
  <c r="J72" i="97"/>
  <c r="J97" i="97"/>
  <c r="P131" i="97"/>
  <c r="P35" i="97"/>
  <c r="P128" i="97"/>
  <c r="J126" i="97"/>
  <c r="H144" i="104"/>
  <c r="I144" i="104" s="1"/>
  <c r="H79" i="104"/>
  <c r="J92" i="97"/>
  <c r="P75" i="97"/>
  <c r="P98" i="97"/>
  <c r="P142" i="97"/>
  <c r="J26" i="97"/>
  <c r="P127" i="97"/>
  <c r="N133" i="97"/>
  <c r="N134" i="123" s="1"/>
  <c r="P39" i="97"/>
  <c r="P37" i="97"/>
  <c r="J34" i="97"/>
  <c r="J130" i="97"/>
  <c r="P36" i="97"/>
  <c r="P88" i="97"/>
  <c r="P78" i="97"/>
  <c r="P46" i="97"/>
  <c r="P74" i="97"/>
  <c r="G96" i="104"/>
  <c r="I96" i="104" s="1"/>
  <c r="P81" i="97"/>
  <c r="P95" i="97"/>
  <c r="P125" i="97"/>
  <c r="P80" i="97"/>
  <c r="P149" i="97"/>
  <c r="P77" i="97"/>
  <c r="P49" i="97"/>
  <c r="P94" i="97"/>
  <c r="H141" i="104"/>
  <c r="O147" i="97"/>
  <c r="P145" i="97"/>
  <c r="G129" i="104"/>
  <c r="H124" i="104"/>
  <c r="H123" i="104" s="1"/>
  <c r="E83" i="105"/>
  <c r="E109" i="105" s="1"/>
  <c r="C45" i="105"/>
  <c r="C65" i="105"/>
  <c r="H34" i="104"/>
  <c r="I34" i="104" s="1"/>
  <c r="N135" i="97"/>
  <c r="P15" i="97"/>
  <c r="H140" i="104"/>
  <c r="G141" i="104"/>
  <c r="P200" i="97"/>
  <c r="J42" i="97"/>
  <c r="P141" i="97"/>
  <c r="J140" i="97"/>
  <c r="E126" i="97"/>
  <c r="H126" i="104"/>
  <c r="H131" i="104"/>
  <c r="I131" i="104" s="1"/>
  <c r="P132" i="97"/>
  <c r="G135" i="104"/>
  <c r="G134" i="104" s="1"/>
  <c r="P38" i="97"/>
  <c r="H130" i="104"/>
  <c r="I11" i="104"/>
  <c r="J134" i="97"/>
  <c r="H127" i="104"/>
  <c r="I127" i="104" s="1"/>
  <c r="I12" i="104"/>
  <c r="I172" i="104"/>
  <c r="P70" i="97"/>
  <c r="G69" i="104"/>
  <c r="G65" i="104" s="1"/>
  <c r="J114" i="97"/>
  <c r="I202" i="97"/>
  <c r="P32" i="97"/>
  <c r="F122" i="97"/>
  <c r="P90" i="97"/>
  <c r="H89" i="104"/>
  <c r="J260" i="98"/>
  <c r="I10" i="107"/>
  <c r="P113" i="97"/>
  <c r="F12" i="97"/>
  <c r="E13" i="97"/>
  <c r="N193" i="97"/>
  <c r="J194" i="97"/>
  <c r="M122" i="97"/>
  <c r="M202" i="97"/>
  <c r="J214" i="97" s="1"/>
  <c r="E169" i="97"/>
  <c r="F169" i="97"/>
  <c r="P33" i="97"/>
  <c r="L202" i="97"/>
  <c r="J213" i="97" s="1"/>
  <c r="E66" i="97"/>
  <c r="I182" i="104"/>
  <c r="G181" i="104"/>
  <c r="I181" i="104" s="1"/>
  <c r="G30" i="97"/>
  <c r="J187" i="97"/>
  <c r="N186" i="97"/>
  <c r="J136" i="97"/>
  <c r="F30" i="97"/>
  <c r="N169" i="97"/>
  <c r="C23" i="105"/>
  <c r="D10" i="105"/>
  <c r="D83" i="105" s="1"/>
  <c r="K58" i="97"/>
  <c r="H202" i="97"/>
  <c r="E214" i="97" s="1"/>
  <c r="J43" i="120" l="1"/>
  <c r="E111" i="120"/>
  <c r="E110" i="120" s="1"/>
  <c r="N60" i="123"/>
  <c r="N59" i="123" s="1"/>
  <c r="G123" i="123"/>
  <c r="G203" i="123"/>
  <c r="E214" i="123" s="1"/>
  <c r="O123" i="123"/>
  <c r="O203" i="123"/>
  <c r="N12" i="123"/>
  <c r="J13" i="123"/>
  <c r="K123" i="123"/>
  <c r="K203" i="123"/>
  <c r="E66" i="120"/>
  <c r="E67" i="123"/>
  <c r="P125" i="120"/>
  <c r="P126" i="123"/>
  <c r="P36" i="120"/>
  <c r="P36" i="123"/>
  <c r="P142" i="120"/>
  <c r="P143" i="123"/>
  <c r="J116" i="120"/>
  <c r="J117" i="123"/>
  <c r="P71" i="120"/>
  <c r="P72" i="123"/>
  <c r="J124" i="120"/>
  <c r="J125" i="123"/>
  <c r="E92" i="120"/>
  <c r="E93" i="123"/>
  <c r="E44" i="123"/>
  <c r="P45" i="123"/>
  <c r="P44" i="123" s="1"/>
  <c r="P32" i="120"/>
  <c r="P32" i="123"/>
  <c r="P70" i="120"/>
  <c r="P71" i="123"/>
  <c r="J134" i="120"/>
  <c r="J135" i="123"/>
  <c r="E126" i="120"/>
  <c r="E127" i="123"/>
  <c r="E124" i="123" s="1"/>
  <c r="P200" i="120"/>
  <c r="P201" i="123"/>
  <c r="N135" i="120"/>
  <c r="N136" i="123"/>
  <c r="N124" i="123" s="1"/>
  <c r="P77" i="120"/>
  <c r="P78" i="123"/>
  <c r="P95" i="120"/>
  <c r="P96" i="123"/>
  <c r="P46" i="120"/>
  <c r="P47" i="123"/>
  <c r="J130" i="120"/>
  <c r="J131" i="123"/>
  <c r="P98" i="120"/>
  <c r="P99" i="123"/>
  <c r="P131" i="120"/>
  <c r="P132" i="123"/>
  <c r="P16" i="120"/>
  <c r="P16" i="123"/>
  <c r="P76" i="120"/>
  <c r="P77" i="123"/>
  <c r="P195" i="120"/>
  <c r="P196" i="123"/>
  <c r="P105" i="120"/>
  <c r="P106" i="123"/>
  <c r="P201" i="120"/>
  <c r="P202" i="123"/>
  <c r="J20" i="120"/>
  <c r="J20" i="123"/>
  <c r="J60" i="120"/>
  <c r="J61" i="123"/>
  <c r="P64" i="120"/>
  <c r="P65" i="123"/>
  <c r="J63" i="120"/>
  <c r="J64" i="123"/>
  <c r="P137" i="120"/>
  <c r="P138" i="123"/>
  <c r="J111" i="120"/>
  <c r="J110" i="120" s="1"/>
  <c r="N111" i="123"/>
  <c r="J112" i="123"/>
  <c r="J111" i="123" s="1"/>
  <c r="E30" i="123"/>
  <c r="N31" i="123"/>
  <c r="N30" i="123" s="1"/>
  <c r="P38" i="120"/>
  <c r="P38" i="123"/>
  <c r="J42" i="120"/>
  <c r="J43" i="123"/>
  <c r="P15" i="120"/>
  <c r="P15" i="123"/>
  <c r="P145" i="120"/>
  <c r="P146" i="123"/>
  <c r="P74" i="120"/>
  <c r="P75" i="123"/>
  <c r="P39" i="120"/>
  <c r="P39" i="123"/>
  <c r="P35" i="120"/>
  <c r="P35" i="123"/>
  <c r="P79" i="120"/>
  <c r="P80" i="123"/>
  <c r="J112" i="120"/>
  <c r="J113" i="123"/>
  <c r="P45" i="120"/>
  <c r="P46" i="123"/>
  <c r="P91" i="120"/>
  <c r="P92" i="123"/>
  <c r="P67" i="120"/>
  <c r="P68" i="123"/>
  <c r="J136" i="120"/>
  <c r="J137" i="123"/>
  <c r="P33" i="120"/>
  <c r="P33" i="123"/>
  <c r="P132" i="120"/>
  <c r="P133" i="123"/>
  <c r="J140" i="120"/>
  <c r="J141" i="123"/>
  <c r="P149" i="120"/>
  <c r="P150" i="123"/>
  <c r="P78" i="120"/>
  <c r="P79" i="123"/>
  <c r="J34" i="120"/>
  <c r="J34" i="123"/>
  <c r="P127" i="120"/>
  <c r="P128" i="123"/>
  <c r="P75" i="120"/>
  <c r="P76" i="123"/>
  <c r="J126" i="120"/>
  <c r="J127" i="123"/>
  <c r="J97" i="120"/>
  <c r="J98" i="123"/>
  <c r="P73" i="120"/>
  <c r="P74" i="123"/>
  <c r="P115" i="120"/>
  <c r="P116" i="123"/>
  <c r="P54" i="120"/>
  <c r="P55" i="123"/>
  <c r="P69" i="120"/>
  <c r="P70" i="123"/>
  <c r="P118" i="120"/>
  <c r="P119" i="123"/>
  <c r="E60" i="120"/>
  <c r="E59" i="120" s="1"/>
  <c r="E58" i="120" s="1"/>
  <c r="E61" i="123"/>
  <c r="J89" i="120"/>
  <c r="J90" i="123"/>
  <c r="P61" i="120"/>
  <c r="P62" i="123"/>
  <c r="P14" i="120"/>
  <c r="P14" i="123"/>
  <c r="N59" i="120"/>
  <c r="N58" i="120" s="1"/>
  <c r="E198" i="123"/>
  <c r="P199" i="123"/>
  <c r="P198" i="123" s="1"/>
  <c r="J177" i="123"/>
  <c r="P178" i="123"/>
  <c r="P177" i="123" s="1"/>
  <c r="E112" i="123"/>
  <c r="M203" i="123"/>
  <c r="J215" i="123" s="1"/>
  <c r="P49" i="120"/>
  <c r="P50" i="123"/>
  <c r="J66" i="120"/>
  <c r="J67" i="123"/>
  <c r="N96" i="120"/>
  <c r="N97" i="123"/>
  <c r="P113" i="120"/>
  <c r="P114" i="123"/>
  <c r="P90" i="120"/>
  <c r="P91" i="123"/>
  <c r="J114" i="120"/>
  <c r="J115" i="123"/>
  <c r="P141" i="120"/>
  <c r="P142" i="123"/>
  <c r="P94" i="120"/>
  <c r="P95" i="123"/>
  <c r="P80" i="120"/>
  <c r="P81" i="123"/>
  <c r="P88" i="120"/>
  <c r="P89" i="123"/>
  <c r="P37" i="120"/>
  <c r="P37" i="123"/>
  <c r="J26" i="120"/>
  <c r="J26" i="123"/>
  <c r="J92" i="120"/>
  <c r="J93" i="123"/>
  <c r="P128" i="120"/>
  <c r="P129" i="123"/>
  <c r="J72" i="120"/>
  <c r="J73" i="123"/>
  <c r="P47" i="120"/>
  <c r="P48" i="123"/>
  <c r="P199" i="120"/>
  <c r="P200" i="123"/>
  <c r="P68" i="120"/>
  <c r="P69" i="123"/>
  <c r="P65" i="120"/>
  <c r="P66" i="123"/>
  <c r="P62" i="120"/>
  <c r="P63" i="123"/>
  <c r="L123" i="123"/>
  <c r="L203" i="123"/>
  <c r="J214" i="123" s="1"/>
  <c r="E123" i="120"/>
  <c r="E122" i="120" s="1"/>
  <c r="H202" i="120"/>
  <c r="E214" i="120" s="1"/>
  <c r="E123" i="97"/>
  <c r="E122" i="97" s="1"/>
  <c r="K122" i="120"/>
  <c r="P198" i="120"/>
  <c r="P197" i="120" s="1"/>
  <c r="N133" i="120"/>
  <c r="N123" i="120" s="1"/>
  <c r="N122" i="120" s="1"/>
  <c r="N123" i="97"/>
  <c r="J123" i="97" s="1"/>
  <c r="P123" i="97" s="1"/>
  <c r="J59" i="120"/>
  <c r="J58" i="120" s="1"/>
  <c r="G202" i="120"/>
  <c r="E213" i="120" s="1"/>
  <c r="I171" i="104"/>
  <c r="J48" i="120"/>
  <c r="H46" i="104"/>
  <c r="I46" i="104" s="1"/>
  <c r="K202" i="120"/>
  <c r="J147" i="120"/>
  <c r="P148" i="120"/>
  <c r="P147" i="120" s="1"/>
  <c r="O58" i="97"/>
  <c r="O58" i="120"/>
  <c r="O202" i="120"/>
  <c r="I44" i="104"/>
  <c r="P111" i="120"/>
  <c r="P110" i="120" s="1"/>
  <c r="J31" i="120"/>
  <c r="J30" i="120" s="1"/>
  <c r="J13" i="120"/>
  <c r="N12" i="120"/>
  <c r="I198" i="104"/>
  <c r="L198" i="104"/>
  <c r="E30" i="120"/>
  <c r="K23" i="104"/>
  <c r="Q195" i="119"/>
  <c r="I93" i="104"/>
  <c r="H92" i="104"/>
  <c r="H59" i="104"/>
  <c r="I59" i="104" s="1"/>
  <c r="H65" i="104"/>
  <c r="J96" i="97"/>
  <c r="I60" i="104"/>
  <c r="I114" i="104"/>
  <c r="H91" i="104"/>
  <c r="G91" i="104"/>
  <c r="P124" i="97"/>
  <c r="H110" i="104"/>
  <c r="I110" i="104" s="1"/>
  <c r="G107" i="104"/>
  <c r="I26" i="104"/>
  <c r="H40" i="104"/>
  <c r="I40" i="104" s="1"/>
  <c r="H125" i="104"/>
  <c r="I125" i="104" s="1"/>
  <c r="E59" i="97"/>
  <c r="J31" i="97"/>
  <c r="J30" i="97" s="1"/>
  <c r="I94" i="104"/>
  <c r="G92" i="104"/>
  <c r="I24" i="104"/>
  <c r="G22" i="104"/>
  <c r="H191" i="104"/>
  <c r="I192" i="104"/>
  <c r="I100" i="104"/>
  <c r="I62" i="104"/>
  <c r="P20" i="97"/>
  <c r="H9" i="104"/>
  <c r="H6" i="104" s="1"/>
  <c r="I111" i="104"/>
  <c r="P89" i="97"/>
  <c r="I180" i="104"/>
  <c r="I179" i="104" s="1"/>
  <c r="H179" i="104"/>
  <c r="H197" i="104"/>
  <c r="I199" i="104"/>
  <c r="I194" i="104"/>
  <c r="G202" i="97"/>
  <c r="E213" i="97" s="1"/>
  <c r="P92" i="97"/>
  <c r="G147" i="104"/>
  <c r="P63" i="97"/>
  <c r="J133" i="97"/>
  <c r="J44" i="97"/>
  <c r="J43" i="97" s="1"/>
  <c r="P60" i="97"/>
  <c r="I123" i="104"/>
  <c r="G5" i="104"/>
  <c r="I126" i="104"/>
  <c r="I130" i="104"/>
  <c r="H129" i="104"/>
  <c r="I129" i="104" s="1"/>
  <c r="I79" i="104"/>
  <c r="J147" i="97"/>
  <c r="H112" i="104"/>
  <c r="P48" i="97"/>
  <c r="N110" i="97"/>
  <c r="P198" i="97"/>
  <c r="H108" i="104"/>
  <c r="P112" i="97"/>
  <c r="P116" i="97"/>
  <c r="I141" i="104"/>
  <c r="I124" i="104"/>
  <c r="O202" i="97"/>
  <c r="Q202" i="97" s="1"/>
  <c r="P72" i="97"/>
  <c r="P26" i="97"/>
  <c r="P97" i="97"/>
  <c r="P130" i="97"/>
  <c r="P140" i="97"/>
  <c r="P34" i="97"/>
  <c r="O122" i="97"/>
  <c r="J135" i="97"/>
  <c r="G139" i="104"/>
  <c r="G122" i="104" s="1"/>
  <c r="J13" i="97"/>
  <c r="J12" i="97" s="1"/>
  <c r="N179" i="97"/>
  <c r="H139" i="104"/>
  <c r="I140" i="104"/>
  <c r="P42" i="97"/>
  <c r="P126" i="97"/>
  <c r="H133" i="104"/>
  <c r="P134" i="97"/>
  <c r="E12" i="97"/>
  <c r="P136" i="97"/>
  <c r="H135" i="104"/>
  <c r="P114" i="97"/>
  <c r="I69" i="104"/>
  <c r="I89" i="104"/>
  <c r="H88" i="104"/>
  <c r="I9" i="107"/>
  <c r="J59" i="97"/>
  <c r="J58" i="97" s="1"/>
  <c r="F147" i="97"/>
  <c r="J193" i="97"/>
  <c r="P180" i="97"/>
  <c r="J182" i="104" s="1"/>
  <c r="J179" i="97"/>
  <c r="P111" i="97"/>
  <c r="P66" i="97"/>
  <c r="K122" i="97"/>
  <c r="K202" i="97"/>
  <c r="P187" i="97"/>
  <c r="J186" i="97"/>
  <c r="D109" i="105"/>
  <c r="C10" i="105"/>
  <c r="E30" i="97"/>
  <c r="E60" i="123" l="1"/>
  <c r="J60" i="123"/>
  <c r="J59" i="123" s="1"/>
  <c r="J31" i="123"/>
  <c r="J30" i="123" s="1"/>
  <c r="E123" i="123"/>
  <c r="E203" i="123"/>
  <c r="E59" i="123"/>
  <c r="P60" i="123"/>
  <c r="P59" i="123" s="1"/>
  <c r="N123" i="123"/>
  <c r="J124" i="123"/>
  <c r="J123" i="123" s="1"/>
  <c r="P31" i="123"/>
  <c r="P30" i="123" s="1"/>
  <c r="J135" i="120"/>
  <c r="J136" i="123"/>
  <c r="P130" i="120"/>
  <c r="P131" i="123"/>
  <c r="P112" i="120"/>
  <c r="P113" i="123"/>
  <c r="P63" i="120"/>
  <c r="P64" i="123"/>
  <c r="P20" i="120"/>
  <c r="P20" i="123"/>
  <c r="P124" i="120"/>
  <c r="P125" i="123"/>
  <c r="P114" i="120"/>
  <c r="P115" i="123"/>
  <c r="P134" i="120"/>
  <c r="P135" i="123"/>
  <c r="P140" i="120"/>
  <c r="P141" i="123"/>
  <c r="P116" i="120"/>
  <c r="P117" i="123"/>
  <c r="J133" i="120"/>
  <c r="J134" i="123"/>
  <c r="P66" i="120"/>
  <c r="P67" i="123"/>
  <c r="P48" i="120"/>
  <c r="P49" i="123"/>
  <c r="P136" i="120"/>
  <c r="P137" i="123"/>
  <c r="P126" i="120"/>
  <c r="P127" i="123"/>
  <c r="P97" i="120"/>
  <c r="P98" i="123"/>
  <c r="P60" i="120"/>
  <c r="P61" i="123"/>
  <c r="P89" i="120"/>
  <c r="P90" i="123"/>
  <c r="J96" i="120"/>
  <c r="J97" i="123"/>
  <c r="E111" i="123"/>
  <c r="P112" i="123"/>
  <c r="P111" i="123" s="1"/>
  <c r="J12" i="123"/>
  <c r="J203" i="123"/>
  <c r="P13" i="123"/>
  <c r="P72" i="120"/>
  <c r="P73" i="123"/>
  <c r="P42" i="120"/>
  <c r="P43" i="123"/>
  <c r="P34" i="120"/>
  <c r="P34" i="123"/>
  <c r="P26" i="120"/>
  <c r="P26" i="123"/>
  <c r="P92" i="120"/>
  <c r="P93" i="123"/>
  <c r="N203" i="123"/>
  <c r="J123" i="120"/>
  <c r="J122" i="120" s="1"/>
  <c r="Q123" i="97"/>
  <c r="K122" i="104"/>
  <c r="N122" i="97"/>
  <c r="P31" i="120"/>
  <c r="P30" i="120" s="1"/>
  <c r="P59" i="120"/>
  <c r="P58" i="120" s="1"/>
  <c r="Q187" i="97"/>
  <c r="R187" i="97"/>
  <c r="P197" i="97"/>
  <c r="Q198" i="97"/>
  <c r="H42" i="104"/>
  <c r="L42" i="104" s="1"/>
  <c r="E202" i="120"/>
  <c r="E212" i="120" s="1"/>
  <c r="G106" i="104"/>
  <c r="K107" i="104"/>
  <c r="N202" i="120"/>
  <c r="I178" i="104"/>
  <c r="I197" i="104"/>
  <c r="H178" i="104"/>
  <c r="L179" i="104"/>
  <c r="P13" i="120"/>
  <c r="P12" i="120" s="1"/>
  <c r="J12" i="120"/>
  <c r="P179" i="97"/>
  <c r="Q180" i="97"/>
  <c r="P110" i="97"/>
  <c r="Q111" i="97"/>
  <c r="P96" i="97"/>
  <c r="H95" i="104"/>
  <c r="I95" i="104" s="1"/>
  <c r="G58" i="104"/>
  <c r="I91" i="104"/>
  <c r="P186" i="97"/>
  <c r="G18" i="116"/>
  <c r="H107" i="104"/>
  <c r="H23" i="104"/>
  <c r="K11" i="104"/>
  <c r="I108" i="104"/>
  <c r="I112" i="104"/>
  <c r="I92" i="104"/>
  <c r="G121" i="104"/>
  <c r="H190" i="104"/>
  <c r="I191" i="104"/>
  <c r="I190" i="104" s="1"/>
  <c r="J190" i="104" s="1"/>
  <c r="H147" i="104"/>
  <c r="I147" i="104"/>
  <c r="P44" i="97"/>
  <c r="P133" i="97"/>
  <c r="I133" i="104"/>
  <c r="H132" i="104"/>
  <c r="I132" i="104" s="1"/>
  <c r="K260" i="98"/>
  <c r="P135" i="97"/>
  <c r="N202" i="97"/>
  <c r="J122" i="97"/>
  <c r="P13" i="97"/>
  <c r="Q13" i="97" s="1"/>
  <c r="I139" i="104"/>
  <c r="P31" i="97"/>
  <c r="I9" i="104"/>
  <c r="I109" i="104"/>
  <c r="I65" i="104"/>
  <c r="H134" i="104"/>
  <c r="I135" i="104"/>
  <c r="I88" i="104"/>
  <c r="I14" i="107"/>
  <c r="E147" i="97"/>
  <c r="P148" i="97"/>
  <c r="J169" i="97"/>
  <c r="P170" i="97"/>
  <c r="L172" i="104" s="1"/>
  <c r="C109" i="105"/>
  <c r="C83" i="105"/>
  <c r="E58" i="97"/>
  <c r="P59" i="97"/>
  <c r="P12" i="123" l="1"/>
  <c r="P123" i="120"/>
  <c r="P122" i="120" s="1"/>
  <c r="E213" i="123"/>
  <c r="P135" i="120"/>
  <c r="P136" i="123"/>
  <c r="P96" i="120"/>
  <c r="P97" i="123"/>
  <c r="P124" i="123"/>
  <c r="P123" i="123" s="1"/>
  <c r="P133" i="120"/>
  <c r="P134" i="123"/>
  <c r="H122" i="104"/>
  <c r="G57" i="104"/>
  <c r="G201" i="104" s="1"/>
  <c r="K58" i="104"/>
  <c r="Q148" i="97"/>
  <c r="J148" i="104"/>
  <c r="I107" i="104"/>
  <c r="J107" i="104" s="1"/>
  <c r="L107" i="104"/>
  <c r="H22" i="104"/>
  <c r="I22" i="104" s="1"/>
  <c r="L23" i="104"/>
  <c r="J202" i="120"/>
  <c r="P43" i="97"/>
  <c r="Q44" i="97"/>
  <c r="P169" i="97"/>
  <c r="Q170" i="97"/>
  <c r="P58" i="97"/>
  <c r="Q59" i="97"/>
  <c r="P30" i="97"/>
  <c r="Q31" i="97"/>
  <c r="P12" i="97"/>
  <c r="H58" i="104"/>
  <c r="I23" i="104"/>
  <c r="J23" i="104" s="1"/>
  <c r="L122" i="104"/>
  <c r="J202" i="97"/>
  <c r="H5" i="104"/>
  <c r="I5" i="104" s="1"/>
  <c r="I6" i="104"/>
  <c r="P147" i="97"/>
  <c r="H106" i="104"/>
  <c r="I106" i="104" s="1"/>
  <c r="I134" i="104"/>
  <c r="P203" i="123" l="1"/>
  <c r="I58" i="104"/>
  <c r="J58" i="104" s="1"/>
  <c r="L58" i="104"/>
  <c r="P202" i="120"/>
  <c r="P122" i="97"/>
  <c r="H57" i="104"/>
  <c r="I57" i="104" s="1"/>
  <c r="H121" i="104"/>
  <c r="I121" i="104" s="1"/>
  <c r="I122" i="104"/>
  <c r="J122" i="104" s="1"/>
  <c r="P215" i="123" l="1"/>
  <c r="F213" i="123"/>
  <c r="P211" i="123"/>
  <c r="P214" i="120"/>
  <c r="F212" i="120"/>
  <c r="P210" i="120"/>
  <c r="E177" i="97"/>
  <c r="K179" i="104" s="1"/>
  <c r="P217" i="123" l="1"/>
  <c r="P216" i="123"/>
  <c r="P215" i="120"/>
  <c r="P216" i="120"/>
  <c r="F177" i="97"/>
  <c r="P177" i="97"/>
  <c r="J179" i="104" s="1"/>
  <c r="E176" i="97"/>
  <c r="P178" i="97"/>
  <c r="P178" i="120" l="1"/>
  <c r="P179" i="123"/>
  <c r="Q177" i="97"/>
  <c r="R177" i="97"/>
  <c r="P176" i="97"/>
  <c r="F176" i="97"/>
  <c r="F193" i="97" l="1"/>
  <c r="F202" i="97"/>
  <c r="E202" i="97"/>
  <c r="P210" i="97" s="1"/>
  <c r="E193" i="97"/>
  <c r="P194" i="97"/>
  <c r="J198" i="104" s="1"/>
  <c r="P202" i="97"/>
  <c r="P214" i="97" l="1"/>
  <c r="P215" i="97" s="1"/>
  <c r="T202" i="97"/>
  <c r="P193" i="97"/>
  <c r="Q194" i="97"/>
  <c r="R194" i="97"/>
  <c r="F212" i="97"/>
  <c r="E212" i="97"/>
  <c r="P216" i="97" l="1"/>
  <c r="I42" i="104"/>
  <c r="J42" i="104" s="1"/>
  <c r="H41" i="104"/>
  <c r="H201" i="104" s="1"/>
  <c r="I201" i="104" s="1"/>
  <c r="I41" i="104" l="1"/>
</calcChain>
</file>

<file path=xl/sharedStrings.xml><?xml version="1.0" encoding="utf-8"?>
<sst xmlns="http://schemas.openxmlformats.org/spreadsheetml/2006/main" count="8821" uniqueCount="1041">
  <si>
    <t>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</si>
  <si>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</si>
  <si>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</si>
  <si>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</si>
  <si>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</si>
  <si>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</si>
  <si>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Департамент освіти та науки  Хмельницької міської ради (головний розпорядник)</t>
  </si>
  <si>
    <t>Всього</t>
  </si>
  <si>
    <t>Всього видатків</t>
  </si>
  <si>
    <t>1</t>
  </si>
  <si>
    <t>2</t>
  </si>
  <si>
    <t>Проведення навчально-тренувальних зборів і змагань з неолімпійських видів спорту</t>
  </si>
  <si>
    <t>4</t>
  </si>
  <si>
    <t>Програма впровадження електронного урядування у Хмельницькій  міській раді на 2015-2020 роки</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</si>
  <si>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</si>
  <si>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</si>
  <si>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</si>
  <si>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</si>
  <si>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</si>
  <si>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</si>
  <si>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</si>
  <si>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</si>
  <si>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</si>
  <si>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</si>
  <si>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</si>
  <si>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</si>
  <si>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</si>
  <si>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</si>
  <si>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</si>
  <si>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 xml:space="preserve"> Програма “Громадські ініціативи” м.Хмельницького на 2016-2020 роки</t>
  </si>
  <si>
    <t>Програма охорони довкілля міста Хмельницького на 2016-2020 роки</t>
  </si>
  <si>
    <t>Компенсаційні виплати на пільговий проїзд електротранспортом окремим категоріям громадян</t>
  </si>
  <si>
    <t>бюджет розвитку</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</si>
  <si>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</si>
  <si>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</si>
  <si>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</si>
  <si>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</si>
  <si>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</si>
  <si>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Програма міжнародного співробітництва та промоції міста Хмельницького на 2016-2020 роки</t>
  </si>
  <si>
    <t>3</t>
  </si>
  <si>
    <t>комунальні послуги та енергоносії</t>
  </si>
  <si>
    <t>Код програмної класифікації видатків та кредитування місцевих бюджетів</t>
  </si>
  <si>
    <t>Код ТПКВКМБ</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</si>
  <si>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</si>
  <si>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</si>
  <si>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Назва головного розпорядника, відповідального виконавця, бюджетної програми або напрямку видатків згідно з типовою відомчою/ТПКВКМБ</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</si>
  <si>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</si>
  <si>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</si>
  <si>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</si>
  <si>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</si>
  <si>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Соціальний захист ветеранів війни та праці</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</si>
  <si>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</si>
  <si>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</si>
  <si>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</si>
  <si>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Управління охорони здоров'я Хмельницької міської ради (відповідальний розпорядник)</t>
  </si>
  <si>
    <t>Багатопрофільна стаціонарна медична допомога населенню</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</si>
  <si>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</si>
  <si>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</si>
  <si>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</si>
  <si>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</si>
  <si>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</si>
  <si>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Код ТПКВКМБ /
ТКВКБМС</t>
  </si>
  <si>
    <t>Разом загальний та спеціальний фонди</t>
  </si>
  <si>
    <t>Найменування місцевої (регіональної) програми</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</si>
  <si>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</si>
  <si>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</si>
  <si>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</si>
  <si>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</si>
  <si>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</si>
  <si>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</si>
  <si>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</si>
  <si>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</si>
  <si>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</si>
  <si>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 xml:space="preserve">Управління з питань екології та контролю за благоустроєм міста (відповідальний розпорядник) </t>
  </si>
  <si>
    <t>Фінансове управління Хмельницької міської ради (головний розпорядник)</t>
  </si>
  <si>
    <t>Програма підтримки обдарованих дітей міста</t>
  </si>
  <si>
    <t>Реалізація державної політики у молодіжній сфері</t>
  </si>
  <si>
    <t>1115031</t>
  </si>
  <si>
    <t>1115030</t>
  </si>
  <si>
    <t>Розвиток дитячо-юнацького та резервного спорту</t>
  </si>
  <si>
    <t>1115032</t>
  </si>
  <si>
    <t>Інші заходи з розвитку фізичної культури та спорту</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</si>
  <si>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</si>
  <si>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</si>
  <si>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</si>
  <si>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</si>
  <si>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Інженерно-геодезичні вишукування та проекти планування  територій</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</si>
  <si>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</si>
  <si>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</si>
  <si>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</si>
  <si>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</si>
  <si>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</si>
  <si>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</si>
  <si>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</si>
  <si>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</si>
  <si>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</si>
  <si>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</si>
  <si>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</si>
  <si>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</si>
  <si>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</si>
  <si>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</si>
  <si>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</si>
  <si>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</si>
  <si>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</si>
  <si>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</si>
  <si>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1113130</t>
  </si>
  <si>
    <t>Здійснення соціальної роботи з вразливими категоріями населення</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</si>
  <si>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</si>
  <si>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</si>
  <si>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</si>
  <si>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</si>
  <si>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</si>
  <si>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1115020</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</si>
  <si>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</si>
  <si>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</si>
  <si>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</si>
  <si>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1115060</t>
  </si>
  <si>
    <t>1060</t>
  </si>
  <si>
    <t>Всього, в т.ч.:</t>
  </si>
  <si>
    <t>0511</t>
  </si>
  <si>
    <t>Охорона та раціональне використання природних ресурсів</t>
  </si>
  <si>
    <t>0512</t>
  </si>
  <si>
    <t>0540</t>
  </si>
  <si>
    <t>0520</t>
  </si>
  <si>
    <t>Спеціальний фонд</t>
  </si>
  <si>
    <t>видатки споживання</t>
  </si>
  <si>
    <t>оплата праці</t>
  </si>
  <si>
    <t>видатки розвитку</t>
  </si>
  <si>
    <t>Розподіл</t>
  </si>
  <si>
    <t>Додаток №3</t>
  </si>
  <si>
    <t>Збереження природно-заповідного фонду</t>
  </si>
  <si>
    <t>Назва об’єктів відповідно  до проектно- кошторисної документації тощо</t>
  </si>
  <si>
    <t xml:space="preserve">Загальний обсяг фінансування будівництва </t>
  </si>
  <si>
    <t>Капітальні видатки</t>
  </si>
  <si>
    <t>грн.</t>
  </si>
  <si>
    <t xml:space="preserve">Реконструкція покрівель житлових будинків </t>
  </si>
  <si>
    <t>Програма діяльності газети "Проскурів" у період реформування державних і комунальних засобів масової інформації на 2017-2018 роки</t>
  </si>
  <si>
    <t>Програма розвитку освіти міста Хмельницького на 2017-2021 роки</t>
  </si>
  <si>
    <t>Комплексна програма «Піклування» в м.Хмельницькому на 2017 - 2021 роки</t>
  </si>
  <si>
    <t>Комплексна  програма «Піклування» в м.Хмельницькому на 2017 - 2021 роки</t>
  </si>
  <si>
    <t>Комплексна програма «Піклування» в м Хмельницькому на 2017 - 2021 роки</t>
  </si>
  <si>
    <t>Програма реалізації молодіжної політики та розвитку фізичної культури і спорту у м.Хмельницькому на 2017 - 2021 роки</t>
  </si>
  <si>
    <t>Додаток 1</t>
  </si>
  <si>
    <t>( грн.)</t>
  </si>
  <si>
    <t>Код</t>
  </si>
  <si>
    <t>Найменування згідно
 з класифікацією доходів бюджету</t>
  </si>
  <si>
    <t>в т.ч. бюджет розвитку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</si>
  <si>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</si>
  <si>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</si>
  <si>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</si>
  <si>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</si>
  <si>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</si>
  <si>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</si>
  <si>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</si>
  <si>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</si>
  <si>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</si>
  <si>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</si>
  <si>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</si>
  <si>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</si>
  <si>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</si>
  <si>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</si>
  <si>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</si>
  <si>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</si>
  <si>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</si>
  <si>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</si>
  <si>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</si>
  <si>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</si>
  <si>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</si>
  <si>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</si>
  <si>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</si>
  <si>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</si>
  <si>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</si>
  <si>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</si>
  <si>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</si>
  <si>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</si>
  <si>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</si>
  <si>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</si>
  <si>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</si>
  <si>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</si>
  <si>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</si>
  <si>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</si>
  <si>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</si>
  <si>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</si>
  <si>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</si>
  <si>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</si>
  <si>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</si>
  <si>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</si>
  <si>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</si>
  <si>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</si>
  <si>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</si>
  <si>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</si>
  <si>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</si>
  <si>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</si>
  <si>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</si>
  <si>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</si>
  <si>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</si>
  <si>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</si>
  <si>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</si>
  <si>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</si>
  <si>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</si>
  <si>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</si>
  <si>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</si>
  <si>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</si>
  <si>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</si>
  <si>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</si>
  <si>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</si>
  <si>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</si>
  <si>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</si>
  <si>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</si>
  <si>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</si>
  <si>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</si>
  <si>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</si>
  <si>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</si>
  <si>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Разом доходів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</si>
  <si>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</si>
  <si>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</si>
  <si>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</si>
  <si>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</si>
  <si>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</si>
  <si>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</si>
  <si>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</si>
  <si>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</si>
  <si>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</si>
  <si>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</si>
  <si>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</si>
  <si>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</si>
  <si>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</si>
  <si>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Назва</t>
  </si>
  <si>
    <t>У т.ч. бюджет розвитку</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</si>
  <si>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</si>
  <si>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</si>
  <si>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</si>
  <si>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</si>
  <si>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</si>
  <si>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</si>
  <si>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</si>
  <si>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</si>
  <si>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</si>
  <si>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</si>
  <si>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</si>
  <si>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</si>
  <si>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r>
      <t>Код програмної класифікації видатків та кредитування місцевих бюджетів</t>
    </r>
    <r>
      <rPr>
        <vertAlign val="superscript"/>
        <sz val="8"/>
        <rFont val="Times New Roman"/>
        <family val="1"/>
        <charset val="204"/>
      </rPr>
      <t>1</t>
    </r>
  </si>
  <si>
    <t>Надання кредитів</t>
  </si>
  <si>
    <t>Повернення кредитів</t>
  </si>
  <si>
    <t>Кредитування-всього</t>
  </si>
  <si>
    <t xml:space="preserve">з них </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</si>
  <si>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</si>
  <si>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</si>
  <si>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</si>
  <si>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</si>
  <si>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</si>
  <si>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</si>
  <si>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</si>
  <si>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</si>
  <si>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</si>
  <si>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</si>
  <si>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</si>
  <si>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</si>
  <si>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</si>
  <si>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</si>
  <si>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</si>
  <si>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</si>
  <si>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</si>
  <si>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</si>
  <si>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</si>
  <si>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</si>
  <si>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</si>
  <si>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</si>
  <si>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</si>
  <si>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</si>
  <si>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</si>
  <si>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 Хмельницькому </t>
  </si>
  <si>
    <t>3.2.5.</t>
  </si>
  <si>
    <t>Оформлення передплати на газету міської ради «Проскурів» організаціям інвалідів, ветеранів війни і праці, окремим категоріям громадян</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</si>
  <si>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</si>
  <si>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</si>
  <si>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</si>
  <si>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</si>
  <si>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</si>
  <si>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</si>
  <si>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</si>
  <si>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</si>
  <si>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</si>
  <si>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</si>
  <si>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</si>
  <si>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</si>
  <si>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</si>
  <si>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</si>
  <si>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</si>
  <si>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</si>
  <si>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</si>
  <si>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 xml:space="preserve"> </t>
  </si>
  <si>
    <t xml:space="preserve">до рішення   №        від    </t>
  </si>
  <si>
    <t>Внески до статутного капіталу КП "Хмельницькбудзамовник" (Придбання основних засобів)</t>
  </si>
  <si>
    <t>Реконструкція існуючих та добудова гурткових приміщень Хмельницького міського будинку культури по вул.Проскурівській, 43 в м.Хмельницькому</t>
  </si>
  <si>
    <t>Програма фінансової підтримки комунальної установи Хмельницької міської ради "Агенція розвитку міста" на 2017-2018 роки</t>
  </si>
  <si>
    <t>Програма розвитку підприємництва м.Хмельницького на 2017-2018 роки</t>
  </si>
  <si>
    <t xml:space="preserve">Будівництво центру поводження з тваринами  КП “Надія” по вул. Заводській, 165 в м. Хмельницькому </t>
  </si>
  <si>
    <t>Доходи  бюджету м. Хмельницького на 2018 рік</t>
  </si>
  <si>
    <t>Адміністративний збір з проведення державної реєстрації юридичних осіб, фізичних осіб - підприємців та громадських формувань</t>
  </si>
  <si>
    <t>на 2018 рік</t>
  </si>
  <si>
    <t>2018 р.</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</si>
  <si>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</si>
  <si>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</si>
  <si>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</si>
  <si>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</si>
  <si>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</si>
  <si>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</si>
  <si>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</si>
  <si>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</si>
  <si>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</si>
  <si>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</si>
  <si>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</si>
  <si>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</si>
  <si>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</si>
  <si>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</si>
  <si>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</si>
  <si>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</si>
  <si>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</si>
  <si>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</si>
  <si>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</si>
  <si>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</si>
  <si>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</si>
  <si>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</si>
  <si>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</si>
  <si>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</si>
  <si>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</si>
  <si>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</si>
  <si>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</si>
  <si>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</si>
  <si>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</si>
  <si>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</si>
  <si>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</si>
  <si>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</si>
  <si>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</si>
  <si>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</si>
  <si>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</si>
  <si>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</si>
  <si>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</si>
  <si>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</si>
  <si>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</si>
  <si>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</si>
  <si>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</si>
  <si>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</si>
  <si>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</si>
  <si>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Інші заклади та заходи в галузі культури і мистецтва</t>
  </si>
  <si>
    <t>1014080</t>
  </si>
  <si>
    <t>4080</t>
  </si>
  <si>
    <t>0829</t>
  </si>
  <si>
    <t>1113120</t>
  </si>
  <si>
    <t>3120</t>
  </si>
  <si>
    <t>1113121</t>
  </si>
  <si>
    <t>3121</t>
  </si>
  <si>
    <t>1040</t>
  </si>
  <si>
    <t>Утримання та забезпечення діяльності центрів соціальних служб для сім’ї, дітей та молоді</t>
  </si>
  <si>
    <t>5010</t>
  </si>
  <si>
    <t>5011</t>
  </si>
  <si>
    <t>5012</t>
  </si>
  <si>
    <t>5020</t>
  </si>
  <si>
    <t>5022</t>
  </si>
  <si>
    <t>1113132</t>
  </si>
  <si>
    <t>3132</t>
  </si>
  <si>
    <t>3230</t>
  </si>
  <si>
    <t>1090</t>
  </si>
  <si>
    <t>Інші заклади та заходи</t>
  </si>
  <si>
    <t>5030</t>
  </si>
  <si>
    <t>5031</t>
  </si>
  <si>
    <t>5032</t>
  </si>
  <si>
    <t>5060</t>
  </si>
  <si>
    <t>5061</t>
  </si>
  <si>
    <t>0810</t>
  </si>
  <si>
    <t>5063</t>
  </si>
  <si>
    <t>1117670</t>
  </si>
  <si>
    <t>7670</t>
  </si>
  <si>
    <t>Надання кредиту</t>
  </si>
  <si>
    <t>Повернення кредиту</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</si>
  <si>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</si>
  <si>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</si>
  <si>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</si>
  <si>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</si>
  <si>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</si>
  <si>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</si>
  <si>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</si>
  <si>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</si>
  <si>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0611030</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</si>
  <si>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</si>
  <si>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</si>
  <si>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</si>
  <si>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</si>
  <si>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</si>
  <si>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</si>
  <si>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</si>
  <si>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</si>
  <si>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</si>
  <si>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</si>
  <si>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</si>
  <si>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</si>
  <si>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</si>
  <si>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Інші програми, заклади та заходи у сфері освіти</t>
  </si>
  <si>
    <t>0611160</t>
  </si>
  <si>
    <t>1160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</si>
  <si>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</si>
  <si>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</si>
  <si>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</si>
  <si>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</si>
  <si>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</si>
  <si>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</si>
  <si>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</si>
  <si>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</si>
  <si>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</si>
  <si>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</si>
  <si>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</si>
  <si>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</si>
  <si>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</si>
  <si>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</si>
  <si>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</si>
  <si>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</si>
  <si>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</si>
  <si>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0712110</t>
  </si>
  <si>
    <t>2110</t>
  </si>
  <si>
    <t>0712111</t>
  </si>
  <si>
    <t>2111</t>
  </si>
  <si>
    <t>Первинна медична допомога населенню, що надається центрами первинної медичної (медико-санітарної) допомоги</t>
  </si>
  <si>
    <t>0712150</t>
  </si>
  <si>
    <t>2150</t>
  </si>
  <si>
    <t>0763</t>
  </si>
  <si>
    <t>Інші  програми, заклади та заходи у сфері охорони здоров’я</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</si>
  <si>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</si>
  <si>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</si>
  <si>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</si>
  <si>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</si>
  <si>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</si>
  <si>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0210160</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</si>
  <si>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</si>
  <si>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</si>
  <si>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</si>
  <si>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</si>
  <si>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</si>
  <si>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</si>
  <si>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</si>
  <si>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</si>
  <si>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</si>
  <si>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</si>
  <si>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</si>
  <si>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</si>
  <si>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</si>
  <si>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</si>
  <si>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Інша економічна діяльність</t>
  </si>
  <si>
    <t>0217690</t>
  </si>
  <si>
    <t>7690</t>
  </si>
  <si>
    <t>Надання пільг на оплату житлово-комунальних послуг окремим категоріям громадян відповідно до законодавства</t>
  </si>
  <si>
    <t>0813010</t>
  </si>
  <si>
    <t>3010</t>
  </si>
  <si>
    <t>0813011</t>
  </si>
  <si>
    <t>3011</t>
  </si>
  <si>
    <t>0813040</t>
  </si>
  <si>
    <t>3040</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</si>
  <si>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</si>
  <si>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</si>
  <si>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</si>
  <si>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</si>
  <si>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</si>
  <si>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</si>
  <si>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</si>
  <si>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</si>
  <si>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</si>
  <si>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</si>
  <si>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</si>
  <si>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</si>
  <si>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</si>
  <si>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</si>
  <si>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</si>
  <si>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</si>
  <si>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3080</t>
  </si>
  <si>
    <t>3090</t>
  </si>
  <si>
    <t>0813080</t>
  </si>
  <si>
    <t>0813012</t>
  </si>
  <si>
    <t>3012</t>
  </si>
  <si>
    <t>0813020</t>
  </si>
  <si>
    <t>3020</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</si>
  <si>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</si>
  <si>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</si>
  <si>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</si>
  <si>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</si>
  <si>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</si>
  <si>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</si>
  <si>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</si>
  <si>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</si>
  <si>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</si>
  <si>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</si>
  <si>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</si>
  <si>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</si>
  <si>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</si>
  <si>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</si>
  <si>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</si>
  <si>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2717690</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</si>
  <si>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</si>
  <si>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</si>
  <si>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</si>
  <si>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</si>
  <si>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</si>
  <si>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</si>
  <si>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</si>
  <si>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</si>
  <si>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</si>
  <si>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</si>
  <si>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Надання реабілітаційних послуг інвалідам та дітям-інвалідам</t>
  </si>
  <si>
    <t>0813100</t>
  </si>
  <si>
    <t>3100</t>
  </si>
  <si>
    <t>3104</t>
  </si>
  <si>
    <t>3105</t>
  </si>
  <si>
    <t>0813104</t>
  </si>
  <si>
    <t>0813105</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</si>
  <si>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</si>
  <si>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0813030</t>
  </si>
  <si>
    <t>3030</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</si>
  <si>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</si>
  <si>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</si>
  <si>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</si>
  <si>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</si>
  <si>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</si>
  <si>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</si>
  <si>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</si>
  <si>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</si>
  <si>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</si>
  <si>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</si>
  <si>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</si>
  <si>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1216010</t>
  </si>
  <si>
    <t>6010</t>
  </si>
  <si>
    <t>1216011</t>
  </si>
  <si>
    <t>6011</t>
  </si>
  <si>
    <t>Утримання та ефективна експлуатація об’єктів житлово-комунального господарства</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</si>
  <si>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</si>
  <si>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</si>
  <si>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</si>
  <si>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</si>
  <si>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</si>
  <si>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</si>
  <si>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</si>
  <si>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</si>
  <si>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</si>
  <si>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</si>
  <si>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</si>
  <si>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</si>
  <si>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1217420</t>
  </si>
  <si>
    <t>7420</t>
  </si>
  <si>
    <t>7426</t>
  </si>
  <si>
    <t>Забезпечення надання послуг з перевезення пасажирів електротранспортом</t>
  </si>
  <si>
    <t>Інші заходи у сфері електротранспорту</t>
  </si>
  <si>
    <t>0453</t>
  </si>
  <si>
    <t>1217460</t>
  </si>
  <si>
    <t>7460</t>
  </si>
  <si>
    <t>Утримання та розвиток автомобільних доріг та дорожньої інфраструктури</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</si>
  <si>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</si>
  <si>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</si>
  <si>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</si>
  <si>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</si>
  <si>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</si>
  <si>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</si>
  <si>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</si>
  <si>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Програма розвитку міського комунального підприємства "Муніципальна телерадіокомпанія "Місто"" на 2018-2020 роки</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</si>
  <si>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</si>
  <si>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</si>
  <si>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</si>
  <si>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</si>
  <si>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</si>
  <si>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</si>
  <si>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</si>
  <si>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</si>
  <si>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</si>
  <si>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</si>
  <si>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</si>
  <si>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</si>
  <si>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</si>
  <si>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</si>
  <si>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</si>
  <si>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</si>
  <si>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</si>
  <si>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</si>
  <si>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</si>
  <si>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</si>
  <si>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</si>
  <si>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</si>
  <si>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2818310</t>
  </si>
  <si>
    <t>8310</t>
  </si>
  <si>
    <t>Запобігання та ліквідація забруднення навколишнього природного середовища</t>
  </si>
  <si>
    <t>2818311</t>
  </si>
  <si>
    <t>8311</t>
  </si>
  <si>
    <t>2818312</t>
  </si>
  <si>
    <t>8312</t>
  </si>
  <si>
    <t>Утилізація відходів</t>
  </si>
  <si>
    <t>2818320</t>
  </si>
  <si>
    <t>8320</t>
  </si>
  <si>
    <t>2818330</t>
  </si>
  <si>
    <t>8330</t>
  </si>
  <si>
    <t xml:space="preserve">Інша діяльність у сфері екології та охорони природних ресурсів </t>
  </si>
  <si>
    <t>Програма економічного та соціального розвитку міста Хмельницького на 2018 рік</t>
  </si>
  <si>
    <r>
      <t>Будівництвоˈ об'єктів житлово-комунального господарства</t>
    </r>
    <r>
      <rPr>
        <sz val="11"/>
        <rFont val="Calibri"/>
        <family val="2"/>
        <charset val="204"/>
      </rPr>
      <t>ˈ</t>
    </r>
  </si>
  <si>
    <t>Будівництвоˈ об'єктів соціально-культурного призначення</t>
  </si>
  <si>
    <t>1517320</t>
  </si>
  <si>
    <t>7320</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</si>
  <si>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</si>
  <si>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</si>
  <si>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</si>
  <si>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</si>
  <si>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</si>
  <si>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</si>
  <si>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Будівництвоˈ інших об'єктів соціальної та виробничої інфраструктури комунальної власності</t>
  </si>
  <si>
    <t>1517330</t>
  </si>
  <si>
    <t>7330</t>
  </si>
  <si>
    <t>1517670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</si>
  <si>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</si>
  <si>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</si>
  <si>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</si>
  <si>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</si>
  <si>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</si>
  <si>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навколишнього природного середовища у 2018 році</t>
  </si>
  <si>
    <t>№ п/п</t>
  </si>
  <si>
    <t>Код КПКВ</t>
  </si>
  <si>
    <t>Заходи, на які виділяються кошти</t>
  </si>
  <si>
    <t>Сума, грн.</t>
  </si>
  <si>
    <t>Наукові дослідження, проектні та проектно-конструкторські розроблення, проведення спеціальних заходів, спрямованих на запобігання знищенню чи покращенню природних комплексів територій та об‘єктів природно-заповідного фонду (розробка схеми екологічної мережі міста Хмельницького)</t>
  </si>
  <si>
    <r>
      <t xml:space="preserve">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t>
    </r>
    <r>
      <rPr>
        <sz val="12"/>
        <color indexed="42"/>
        <rFont val="Times New Roman"/>
        <family val="1"/>
        <charset val="204"/>
      </rPr>
      <t xml:space="preserve"> </t>
    </r>
    <r>
      <rPr>
        <sz val="12"/>
        <color indexed="8"/>
        <rFont val="Times New Roman"/>
        <family val="1"/>
        <charset val="204"/>
      </rPr>
      <t>тощо</t>
    </r>
  </si>
  <si>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</si>
  <si>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</si>
  <si>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</si>
  <si>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</si>
  <si>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</si>
  <si>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</si>
  <si>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Внески до статутного капіталу ХКП "Спецкомунтранс" (придбання дозиметричного обладнання )</t>
  </si>
  <si>
    <t>Внески до статутного капіталу ХКП "Спецкомунтранс" (придбання та встановлення мобільної туалетної кабінки)</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</si>
  <si>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</si>
  <si>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</si>
  <si>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</si>
  <si>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</si>
  <si>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Внески до статутного капіталу МКП "Хмельницькводоканал" (придбання насосного обладнання)</t>
  </si>
  <si>
    <t>Реконструкція каналізаційно-насосної станції з мережами водопроводу та каналізації в мікрорайоні "Лезнево"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</si>
  <si>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t>
  </si>
  <si>
    <t>Програма утримання та розвитку житлово-комунального господарства м.Хмельницького на 2017-2020 роки.</t>
  </si>
  <si>
    <t xml:space="preserve">Програма розвитку міського електротранспорту м. Хмельницького на 2016-2020 роки. </t>
  </si>
  <si>
    <t>Повернення кредитів до міського бюджету  та розподіл надання кредитів 
з міського бюджету  в  2018 році</t>
  </si>
  <si>
    <t>видатків бюджету міста Хмельницького на 2018 рік</t>
  </si>
  <si>
    <t>Перелік об’єктів, видатки на які у 2018  році будуть проводитися за рахунок коштів бюджету розвитку</t>
  </si>
  <si>
    <t xml:space="preserve">Перелік місцевих програм, які фінансуватимуться за рахунок коштів
бюджету міста Хмельницького  у 2018 році
</t>
  </si>
  <si>
    <t>Будівництво локальних очисних споруд зливових стоків та покращення стану існуючої дощової каналізації міста (експертиза проекту "Будівництво колектора на витоках зливової каналізації від вул.Кам‘янецької до вул. Свободи в районі вул.Прибузької")</t>
  </si>
  <si>
    <t>Роботи, пов’язані зі збором, перевезенням, зберіганням та передачею для подальшої утилізації небезпечних відходів які утворюються в побуті  (відпрацьовані енергозберігаючі лампи, термометри, батарейки тощо)</t>
  </si>
  <si>
    <t>0217670</t>
  </si>
  <si>
    <t>Внески до статутного капіталу МКП "Хмельницькводоканал" (технічне переоснащення ГКНС по вул.Трудовій,6 м.Хмельницький з улаштуванням енергозберігаючого насосного агрегату з частотним перетворювачем та системою автоматизації)</t>
  </si>
  <si>
    <t>Програма бюджетування за участі громадськості (Бюджет участі) міста Хмельницького на 2017-2019 роки</t>
  </si>
  <si>
    <t>Наукові дослідження, проектні та проектно-конструкторські розроблення (виготовлення проектів землеустрою щодо відведення земельних ділянок під парки, сквери, зелені зони)</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</si>
  <si>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</si>
  <si>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</si>
  <si>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</si>
  <si>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</si>
  <si>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</si>
  <si>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</si>
  <si>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</si>
  <si>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</si>
  <si>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</si>
  <si>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</si>
  <si>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</si>
  <si>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</si>
  <si>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</si>
  <si>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</si>
  <si>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</si>
  <si>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</si>
  <si>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</si>
  <si>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</si>
  <si>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</si>
  <si>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0813170</t>
  </si>
  <si>
    <t>3170</t>
  </si>
  <si>
    <t>Забезпечення реалізації окремих програм для осіб з інвалідністю</t>
  </si>
  <si>
    <t>0813171</t>
  </si>
  <si>
    <t>3171</t>
  </si>
  <si>
    <t>0813172</t>
  </si>
  <si>
    <t>3172</t>
  </si>
  <si>
    <t>0813190</t>
  </si>
  <si>
    <t>3190</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</si>
  <si>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</si>
  <si>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</si>
  <si>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</si>
  <si>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</si>
  <si>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0813241</t>
  </si>
  <si>
    <t>0813242</t>
  </si>
  <si>
    <t>0813240</t>
  </si>
  <si>
    <t>3240</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</si>
  <si>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</si>
  <si>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</si>
  <si>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</si>
  <si>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</si>
  <si>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</si>
  <si>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</si>
  <si>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</si>
  <si>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</si>
  <si>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</si>
  <si>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</si>
  <si>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</si>
  <si>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</si>
  <si>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</si>
  <si>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</si>
  <si>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</si>
  <si>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</si>
  <si>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</si>
  <si>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Заходи із запобігання та ліквідації надзвичайних ситуацій та наслідків стихійного лиха</t>
  </si>
  <si>
    <t>1116080</t>
  </si>
  <si>
    <t xml:space="preserve">Реалізація державних та місцевих житлових програм </t>
  </si>
  <si>
    <t>6080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</si>
  <si>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</si>
  <si>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</si>
  <si>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</si>
  <si>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</si>
  <si>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Джерела фінансування міського бюджету на 2018 рік </t>
  </si>
  <si>
    <t>Виготовлення ПКД на реконструкцію існуючої системи опалення ЗОШ №29 м.Хмельницького</t>
  </si>
  <si>
    <t>Будівництво міні-футбольного поля та двох баскетбольних майданчиків з тенісними кортами на території СКЦ "Плоскирів" по вул.Курчатова, 90 в м.Хмельницькому, в тому числі виготовлення проектно-кошторисної документації</t>
  </si>
  <si>
    <t>Реконструкція скидного колектора  та розчистка р. Плоскої з метою здійснення заходів щодо відновлення  і підтримання сприятливого гідрологічного  режиму та санітарного стану річки в м. Хмельницький</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</si>
  <si>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</si>
  <si>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</si>
  <si>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Програма енергоефективності, енергозбереження та термомодернізації багатоквартирних житлових будинків м.Хмельницького  на 2016-2020 роки. Програма енергоефективної  модернізації внутрішнього та зовнішнього освітлення м.Хмельницького на 2016 - 2018 роки.</t>
  </si>
  <si>
    <t>Внески до статутного капіталу МКП "Хмельницькінфоцентр" (встановлення камер відеоспостереження)</t>
  </si>
  <si>
    <t>Внески до статутного капіталу МКП "Хмельницькінфоцентр" (реконструкція волоконно-оптичної лінії зв’язку І та ІІ черги в м.Хмельницькому)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</si>
  <si>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</si>
  <si>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</si>
  <si>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1217330</t>
  </si>
  <si>
    <t>Будівництво інших об"єктів соціальної та виробничої інфраструктури комунальної власності</t>
  </si>
  <si>
    <t>Будівництво очисних споруд для очищення зливових, дощових і талих вод в м. Хмельницькому від вул. Кам'янецької до вул. Трудової</t>
  </si>
  <si>
    <t>Будівництво інших об'єктів соціальної та виробничої інфраструктури комунальної власності</t>
  </si>
  <si>
    <t xml:space="preserve"> Програма економічного та соціального розвитку міста Хмельницького на 2018 рік</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</si>
  <si>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</si>
  <si>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</si>
  <si>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</si>
  <si>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</si>
  <si>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Первинна медична допомога населенню</t>
  </si>
  <si>
    <t>0726</t>
  </si>
  <si>
    <t>Надання допомоги сім'ям з дітьми, малозабезпеченим сім’ям, тимчасової допомоги дітям</t>
  </si>
  <si>
    <t>0813083</t>
  </si>
  <si>
    <t>3083</t>
  </si>
  <si>
    <t>Надання державної соціальної допомоги особам з інвалідністю з дитинства та дітям з інвалідністю</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</si>
  <si>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t>
  </si>
  <si>
    <t xml:space="preserve">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</si>
  <si>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</si>
  <si>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</si>
  <si>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</si>
  <si>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</si>
  <si>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</si>
  <si>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</si>
  <si>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</si>
  <si>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</si>
  <si>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</si>
  <si>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</si>
  <si>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</si>
  <si>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</si>
  <si>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</si>
  <si>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</si>
  <si>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</si>
  <si>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</si>
  <si>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2717370</t>
  </si>
  <si>
    <t>7370</t>
  </si>
  <si>
    <t>Спортивний майданчик для міні-футболу зі штучним покриттям на території ЗОШ І-ІІІ ступенів №8 по вул. Я.Гальчевського, 34, м.Хмельницький - будівництво</t>
  </si>
  <si>
    <t>Будівництво на кладовищі надгробків на могилах загиблих учасників АТО</t>
  </si>
  <si>
    <t>Будівництво на кладовищі надгробка на могилі Шоханова А.Г.</t>
  </si>
  <si>
    <t>Будівництво на кладовищі надгробка на могилі Комарницького З.А.</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</si>
  <si>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</si>
  <si>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</si>
  <si>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</si>
  <si>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</si>
  <si>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</si>
  <si>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</si>
  <si>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</si>
  <si>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</si>
  <si>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</si>
  <si>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</si>
  <si>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</si>
  <si>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 xml:space="preserve">Разом коштів, отриманих з усіх джерел фінансування бюджету за типом кредитора </t>
  </si>
  <si>
    <t xml:space="preserve">Фінансування бюджету за типом кредитора </t>
  </si>
  <si>
    <t xml:space="preserve">Фінансування бюджету за типом боргового зобов"язання </t>
  </si>
  <si>
    <t>Зовнішні запозичення</t>
  </si>
  <si>
    <t xml:space="preserve">Середньострокові зобов"язання </t>
  </si>
  <si>
    <t xml:space="preserve">Погашення </t>
  </si>
  <si>
    <t>Зовнішні зобов"язання</t>
  </si>
  <si>
    <t xml:space="preserve">Субвенція з місцевого бюджету за рахунок залишку коштів освітньої субвенції, що утворився на початок бюджетного періоду </t>
  </si>
  <si>
    <t xml:space="preserve">Субвенція з місцевого бюджету на надання державної підтримки особам з особливими потребами за рахунок відповідної субвенції з державного бюджету </t>
  </si>
  <si>
    <t>0170</t>
  </si>
  <si>
    <t>Обслуговування місцевого боргу</t>
  </si>
  <si>
    <t>0712140</t>
  </si>
  <si>
    <t>2140</t>
  </si>
  <si>
    <t xml:space="preserve">Програми і централізовані заходи у галузі охорони здоров’я </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</si>
  <si>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</si>
  <si>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</si>
  <si>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</si>
  <si>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</si>
  <si>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</si>
  <si>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</si>
  <si>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Довгострокові кредити громадянам на будівництво / реконструкцію / придбання житла та їх повернення</t>
  </si>
  <si>
    <t>1118840</t>
  </si>
  <si>
    <t>8840</t>
  </si>
  <si>
    <t>1118841</t>
  </si>
  <si>
    <t>1118842</t>
  </si>
  <si>
    <t>8841</t>
  </si>
  <si>
    <t>8842</t>
  </si>
  <si>
    <t>0719770</t>
  </si>
  <si>
    <t>9770</t>
  </si>
  <si>
    <t>Інші субвенції з місцевого бюджету</t>
  </si>
  <si>
    <t>Реставрація приміщення з надбудовою мансардного поверху Хмельницької дитячої музичної школи №1 ім. М. Мозгового (колишній кінотеатр "Модерн") по вул.Проскурівській, 18 в м.Хмельницькому</t>
  </si>
  <si>
    <t>Виготовлення проектно-кошторисної документації для реконструкції будинку молоді  "Проскурів" під Центр національно-патріотичного виховання дітей і молоді ім. Р.Шухевича на вул.Хотовицького, 2А в м. Хмельницькому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</si>
  <si>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</si>
  <si>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Топо-геодезичні вишукування площадки забудови та робочий проект на реконструкцію будівлі поліклініки Хмельницького міського лікувально-діагностичного центру під заклад паліативної медицини (ХОСПІС) за адресою: м.Хмельницький, вул.Б.Олійника, 191 (вул.Вокзальна)</t>
  </si>
  <si>
    <t>Реконструкція частини корпусу поліклініки Хмельницької міської дитячої лікарні під відділення стоматології по вул. Степана Разіна,1 в м.Хмельницькому</t>
  </si>
  <si>
    <t>Робочий проект  на реконструкцію вентиляційної системи Хмельницької міської поліклініки №4 по вул.Молодіжна, 9 в м.Хмельницькому</t>
  </si>
  <si>
    <t>Реконструкція вентиляційної системи Хмельницької міської поліклініки №4 по вул.Молодіжна, 9 в м.Хмельницькому</t>
  </si>
  <si>
    <t>Робочий проект з інженерними вишукуваннями на реконструкцію площадки для стоянки автомобілів Хмельницької міської поліклініки №4 по вул.Молодіжна, 9 в м.Хмельницькому</t>
  </si>
  <si>
    <t>Реконструкція площадки для стоянки автомобілів Хмельницької міської поліклініки №4 по вул.Молодіжна, 9 в м.Хмельницькому</t>
  </si>
  <si>
    <t>Програма створення та розвитку індустріального парку "Хмельницький"</t>
  </si>
  <si>
    <t>Розробка техніко-економічного обгрунтування на будівництво сміттєпереробного заводу</t>
  </si>
  <si>
    <t>Виготовлення робочого проекту на спорудження пам'ятника "Скіфський курган - історія наших предків" по вул.Проспект Миру, 102 в м.Хмельницькому</t>
  </si>
  <si>
    <t>Фінансова підтримка кінематографії</t>
  </si>
  <si>
    <t>1014070</t>
  </si>
  <si>
    <t>4070</t>
  </si>
  <si>
    <t>0823</t>
  </si>
  <si>
    <t>Внески до статутного капіталу суб'єктів господарювання</t>
  </si>
  <si>
    <t>1017670</t>
  </si>
  <si>
    <t>Програма підтримки книговидання місцевих авторів та популяризації української книги у м.Хмельницькому на 2018-2020 роки "Читай українською"</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</si>
  <si>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</si>
  <si>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0219800</t>
  </si>
  <si>
    <t>9800</t>
  </si>
  <si>
    <t>Субвенція з місцевого бюджету державному бюджету на виконання програм соціально-економічного розвитку регіонів</t>
  </si>
  <si>
    <t>Комплексна програма мобілізації зусиль Хмельницької міської ради та Державної податкової інспекції у м.Хмельницькому Головного управління Державної фіскальної служби у Хмельницькій області по забезпеченню надходжень до бюджетів усіх рівнів на 2016-2020 рр</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</si>
  <si>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2016-2020 роки</t>
  </si>
  <si>
    <t>Програма військово-патріотичного виховання мешканців міста Хмельницького на 2016-2020 роки</t>
  </si>
  <si>
    <t>Комплексна програма профілактики, попередження адміністративних правопорушень та покращення забезпечення громадського правопорядку для жителів міста Хмельницького на 2016-2020 роки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</si>
  <si>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</si>
  <si>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2017-2020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</si>
  <si>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м. Хмельницького на 2017-2018 роки</t>
  </si>
  <si>
    <t>0816080</t>
  </si>
  <si>
    <t>Реалізація державних та місцевих житлових програм</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</si>
  <si>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</si>
  <si>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</si>
  <si>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</si>
  <si>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</si>
  <si>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Проведення експертизи містобудівної документації "Коригування (внесення змін) генерального плану м.Хмельницький"</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</si>
  <si>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</si>
  <si>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</si>
  <si>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</si>
  <si>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</si>
  <si>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</si>
  <si>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Реконструкція станції прийому рідких побутових відходів по вул.Трудовій, 6а</t>
  </si>
  <si>
    <t>Реконструкція і розширення приміщень, огорож і вольєрів для утримання тварин зоокуточку в парку ім.Чекмана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</si>
  <si>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</si>
  <si>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</si>
  <si>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</si>
  <si>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</si>
  <si>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недобудованого плавального басейну школи № 20 під дитячий дошкільний заклад на 6 груп по вул.Ричка, 1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</si>
  <si>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</si>
  <si>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 Будівництво (влаштування) двох футбольних полів та спортивного комплексу Хмельницької ДЮСШ №1 на вул. Зарічанській,11/5, в м. Хмельницькому, в т.ч. виготовлення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</si>
  <si>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</si>
  <si>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 xml:space="preserve">   Будівництво Льодового палацу  по вул.Прибузькій, 7/3А в м.Хмельницькому, в т.ч. виготовлення проектно-кошторисної документації</t>
  </si>
  <si>
    <t>Виготовлення проектно-кошторисної документації на будівництво каналізаційних мереж в мікрорайоні Озерна в м. Хмельницькому</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</si>
  <si>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</si>
  <si>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</si>
  <si>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комунального підприємства по будівництву, ремонту та експлуатації доріг (Придбання обладнання )</t>
  </si>
  <si>
    <t>Внески до статутного капіталу ХКП "Міськсвітло" (Придбання обладнання та оснащення для святкового оформлення міста)</t>
  </si>
  <si>
    <t>Внески до статутного капіталу ХКП "Міськсвітло" (Придбання радіостанції автомобільної)</t>
  </si>
  <si>
    <t>Внески до статутного капіталу ХКП "Міськсвітло" (Придбання автокрану)</t>
  </si>
  <si>
    <t>Внески до статутного капіталу ХКП "Міськсвітло" (Придбання комплекту лінійного передавача з індукційними кліщами)</t>
  </si>
  <si>
    <t>Внески до статутного капіталу ХКП "Спецкомунтранс" (придбання контейнерів)</t>
  </si>
  <si>
    <t>Внески до статутного капіталу ХКП "Спецкомунтранс" (придбання вантажного фургону)</t>
  </si>
  <si>
    <t>Внески до статутного капіталу ХКП "Спецкомунтранс" (придбання легкового фургону)</t>
  </si>
  <si>
    <t>Внески до статутного капіталу СКП "Хмельницька міська ритуальна служба" (Придбання малогабаритної бурової установки )</t>
  </si>
  <si>
    <t>Внески до статутного капіталу КП "Парки і сквери міста Хмельницького" (Придбання контейнерів)</t>
  </si>
  <si>
    <t>Внески до статутного капіталу МКП "Хмельницькводоканал" (реконструкція ділянки каналізаційної мережі від колодязя № 390 по вул. Чорновола,95/1 до колодязя № 386 по вул. Гальчевського в м. Хмельницький)</t>
  </si>
  <si>
    <t>Внески до статутного капіталу МКП "Хмельницькводоканал" (реконструкція самопливного каналізаційного колектора діаметром 800 мм від колодязя № 554а до КНС-2 по вул. Паркова, 64 у м. Хмельницький)</t>
  </si>
  <si>
    <t>Внески до статутного капіталу МКП "Хмельницькводоканал" (будівництво самопливного каналізаційного колектора  від ж.б. № 15 по пров. Польовий до ж.б. № 45 по вул. Залізнична в м. Хмельницький)</t>
  </si>
  <si>
    <t>Внески до статутного капіталу МКП "Хмельницькводоканал" (будівництво самопливних каналізаційних колекторів від ж.б. № 16, №16/1 по вул. Інститутська в м. Хмельницький)</t>
  </si>
  <si>
    <t>Внески до статутного капіталу МКП "Хмельницькводоканал" (будівництво вуличних мереж водопостачання та каналізації житлових будинків вул. Лісна, прв. Лісний, вул. Підгірна, прв. Садовий, в м. Хмельницький)</t>
  </si>
  <si>
    <t>Внески до статутного капіталу КП "Південно-Західні тепломережі"  (Реконструкція теплової мережі від ТК-9 до приміщення піцерії по вул. Курчатова, 1А в м. Хмельницькому)</t>
  </si>
  <si>
    <t>Внески до статутного капіталу КП "Південно-Західні тепломережі"  (Технічне переоснащення котла ТВГ-8 з заміною пальників і автоматики в котельні по вул. Тернопільській, 14/3 в м. Хмельницькому)</t>
  </si>
  <si>
    <t>Внески до статутного капіталу міського комунального аварійно-технічного підприємства (придбання  автомобіля)</t>
  </si>
  <si>
    <t>Внески до статутного капіталу Комунального підприємства «Управляюча муніципальна компанія «Центральна» Хмельницької міської (придбання мотокоси)</t>
  </si>
  <si>
    <t>Внески до статутного капіталу Комунального підприємства «Управляюча муніципальна компанія «Проскурівська» Хмельницької міської (придбання мотокос)</t>
  </si>
  <si>
    <t>Внески до статутного капіталу Комунального підприємства «Управляюча муніципальна компанія «Південно-Західна» Хмельницької міської (придбання мотокос)</t>
  </si>
  <si>
    <t>Внески до статутного капіталу Комунального підприємства «Управляюча муніципальна компанія «Дубове» Хмельницької міської (придбання мотокос)</t>
  </si>
  <si>
    <t>Внески до статутного капіталу Комунального підприємства «Управляюча муніципальна компанія «Заріччя» Хмельницької міської (придбання мотокос)</t>
  </si>
  <si>
    <t>Внески до статутного капіталу Комунального підприємства «Управляюча муніципальна компанія «Озерна» Хмельницької міської (придбання мотокос)</t>
  </si>
  <si>
    <t>Внески до статутного капіталу Комунального підприємства «Управляюча муніципальна компанія «Будівельник» Хмельницької міської (придбання мотокос)</t>
  </si>
  <si>
    <t>Внески до статутного капіталу міського комунального підприємства "Муніципальна дружина" (придбання комп"ютерного обладнання в комплекті)</t>
  </si>
  <si>
    <t>Робочий проект на реконструкцію будівлі ДЮСШ №3 по заміні конструкції даху над спортивним залом по вул. Прибузькій, 3/1 в м.Хмельницькому</t>
  </si>
  <si>
    <t>Залишок коштів на 01.01.2018 року</t>
  </si>
  <si>
    <t xml:space="preserve">Разом коштів, отриманих з усіх джерел фінансування бюджету за типом боргового зобов"язання </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</si>
  <si>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 (50% від загальної кошторисної вартості проекту))</t>
  </si>
  <si>
    <t>Внески до статутного капіталу МКП "Хмельницькводоканал" (будівництво вуличних мереж водовідведення по вул. О. Кошового та Черняховського у м. Хмельницький  (70% від загальної кошторисної вартості проекту))</t>
  </si>
  <si>
    <t>Внески до статутного капіталу МКП "Хмельницькводоканал" (будівництво вуличних мереж водопроводу діаметром 110 мм  по вул. Дачна в м.Хмельницький)</t>
  </si>
  <si>
    <t>Внески до статутного капіталу МКП "Хмельницьктеплокомуненерго" (капітальний ремонт теплової мережі по вул. Кармелюка від ТК27 до ТК 33 із заміною труб на попередньоізольовані, м. Хмельницький)</t>
  </si>
  <si>
    <t xml:space="preserve">Внески до статутного капіталу МКП "Хмельницьктеплокомуненерго" (реконструкція  теплової мережі по вул.Зарічанській ,8  із заміною труб на попередньоізольовані, м. Хмельницький)  </t>
  </si>
  <si>
    <t xml:space="preserve">Всього за типом боргового зобов"язання </t>
  </si>
  <si>
    <t>Будівництво свердловини для господарсько-питного водопостачання ПНЗ ДЮОК "Чайка"</t>
  </si>
  <si>
    <t>Програма розвитку і функціонування української мови на 2016-2020 роки у місті Хмельницькому</t>
  </si>
  <si>
    <t xml:space="preserve">до рішення  №        від         2018 року </t>
  </si>
  <si>
    <t>Внески до статутного капіталу МКП "Хмельницькводоканал" (реконструкція самопливного каналізаційного колектора на площі С.Бандери в м.Хмельницький)</t>
  </si>
  <si>
    <t>Внески до статутного капіталу МКП "Хмельницькводоканал" (будівництво вуличних мереж водопостачання мікрорайону Лезневе у м.Хмельницькому)</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</si>
  <si>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каналізаційно-насосної станції, електропостачання КНС мікрорайону Дубове у м.Хмельницький)</t>
  </si>
  <si>
    <t>Внески до статутного капіталу МКП "Хмельницькводоканал" (будівництво вуличних мереж водовідведення по вул. Гагаріна (школа № 32) в м.Хмельницький)</t>
  </si>
  <si>
    <t>Внески до статутного капіталу МКП "Хмельницькводоканал" (будівництво водопроводу по вул. Митрополита Шептицького (мкр-н "Дубове-1") в м.Хмельницький)</t>
  </si>
  <si>
    <t>Будівництво навчально-виховного комплексу на вул. Залізняка, 32 в м.Хмельницькому</t>
  </si>
  <si>
    <t>Виготовлення проектно-кошторисної документації для будівництва спеціалізованого залу боксу на території спортивного комплексу "Поділля" , ДЮСШ №1 по вул.Проскурівській, 81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</si>
  <si>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</si>
  <si>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</si>
  <si>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Виготовлення проектно-кошторисної документації на будівництво вулиці між вулицями Свободи та Старокостянтинівським шосе в м.Хмельницькому</t>
  </si>
  <si>
    <t>Будівництво автодорожнього тунелю під залізничними коліями на перегоні Хмельницький-Гречани ПК-12256+71.00 в м.Хмельницькому</t>
  </si>
  <si>
    <t>Будівництво підпірної стінки біля 130-ти квартирного житлового  будинку по вул.Лісогринівецькій,16 в м.Хмельницькому</t>
  </si>
  <si>
    <t>Внески до статутного капіталу МКП "Хмельницьктеплокомуненерго" (капітальний ремонт котельні по вул. Водопровідній, 48, м. Хмельницький)</t>
  </si>
  <si>
    <t>Внески до статутного капіталу МКП "Хмельницьктеплокомуненерго" (технічне переоснащення котельні по вул. Бандери, 32/1, м .Хмельницький)</t>
  </si>
  <si>
    <t xml:space="preserve">Внески до статутного капіталу МКП "Хмельницьктеплокомуненерго"  (реконструкція котельні по вул. Сковороди, 11 м. Хмельницький) </t>
  </si>
  <si>
    <t>Внески до статутного капіталу МКП "Хмельницьктеплокомуненерго" (технічне переоснащення когенераційної установки в котельні по вул. Свободи, 44 м. Хмельницький)</t>
  </si>
  <si>
    <t>Внески до статутного капіталу МКП "Хмельницьктеплокомуненерго" (технічне переоснащення когенераційної установки в котельні по вул. Водопровідній, 48 м. Хмельницький)</t>
  </si>
  <si>
    <t>Внески до статутного капіталу МКП "Хмельницьктеплокомуненерго" (реконструкція центрального теплового пункту по вул. Прибузькій, 6 під котельню, м. Хмельницький)</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</si>
  <si>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</si>
  <si>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Додаток № 4
до рішення  №          від                     2018 року</t>
  </si>
  <si>
    <t xml:space="preserve">Додаток № 5
до рішення №              від                 2018 року
</t>
  </si>
  <si>
    <t>Додаток №8
до рішення №        від             2018 року</t>
  </si>
  <si>
    <t>Виготовлення проектно-кошторисної документації на будівництво  вулиці Мельникова (від вул. Зарічанської до вул. Трудової) в м. Хмельницькому</t>
  </si>
  <si>
    <t>Виготовлення проектно-кошторисної документації на будівництво вулиці  в продовження вулиці Гагаріна та провулку Гагаріна в м. Хмельницькому</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</si>
  <si>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</si>
  <si>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</si>
  <si>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Проведення експертизи проектної документації на будівництво спортивних майданчиків для міні-футболу зі штучним покриттям</t>
  </si>
  <si>
    <t>Спортивний майданчик для міні-футболу зі штучним покриттям по вул.Львівське шосе, 47/4, м.Хмельницький - будівництво</t>
  </si>
  <si>
    <t>Будівництво двох міні-футбольних майданчиків дитячо-юнацької спортивної школи №1 по вул.Спортивній, 17 в м.Хмельницькому (коригування)</t>
  </si>
  <si>
    <t>Внески до статутного капіталу ХКП "Спецкомунтранс" (на виготовлення проекту "Реконструкція полігону твердих побутових відходів м. Хмельницького з метою запобігання виникнення надзвичайної аварійної ситуації")</t>
  </si>
  <si>
    <t>Внески до статутного капіталу МКП "Хмельницькводоканал" (реконструкція РУ-6 кВ МКП "Хмельницькводоканал" в с. Чернелівка Красилівського району Хмельницької області)</t>
  </si>
  <si>
    <t>Програма шефської допомоги військовим частинам Збройних Сил України,  Національної гвардії України, які розташовані на території м.Хмельницького на 2018-2019 роки</t>
  </si>
  <si>
    <t>Організація та проведення громадських робіт</t>
  </si>
  <si>
    <t>0213210</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</si>
  <si>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</si>
  <si>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</si>
  <si>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</si>
  <si>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</si>
  <si>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</si>
  <si>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Реконструкція покрівлі казарми №25/258 в/ч А0661 Хмельницького гарнізону КЕВ по вул. Чорновола, 192А в м.Хмельницькому</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</si>
  <si>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</si>
  <si>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Субвенція з державного бюджету місцевим бюджетам за здійснення заходів щодо соціально-економічного розвитку окремих територій (Будівництво навчально-виховного комплексу на вул. Залізняка, 32 в м.Хмельницькому)</t>
  </si>
  <si>
    <t>Субвенція з державного бюджету місцевим бюджетам на будівництво/реконструкцію палаців спорту у 2018 році (Будівництво Палацу спорту по вул.Прибузькій, 5/1А в м.Хмельницькому, в т.ч. виготовлення проектно-кошторисної документації )</t>
  </si>
  <si>
    <t>0216083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</si>
  <si>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</si>
  <si>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</si>
  <si>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0216080</t>
  </si>
  <si>
    <t>Поточні</t>
  </si>
  <si>
    <t>КЕКВ 2111</t>
  </si>
  <si>
    <t>КЕКВ 2270</t>
  </si>
  <si>
    <t>Грошова компенсація за належні для отримання жилі приміщення для окремих категорій населення відповідно до законодавства</t>
  </si>
  <si>
    <t>0813220</t>
  </si>
  <si>
    <t>3220</t>
  </si>
  <si>
    <t>0813221</t>
  </si>
  <si>
    <t>3221</t>
  </si>
  <si>
    <t>Грошова компенсація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</si>
  <si>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t>
  </si>
  <si>
    <t>захисту", та які потребують поліпшення житлових умов</t>
  </si>
  <si>
    <t>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t>
  </si>
  <si>
    <t xml:space="preserve"> потребують поліпшення житлових умов</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</si>
  <si>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</si>
  <si>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</si>
  <si>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</si>
  <si>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будівництво/реконструкцію палаців спорту </t>
  </si>
  <si>
    <t xml:space="preserve">  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</si>
  <si>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місцевого бюджету на забезпечення якісної, сучасної та доступної загальної середньої освіти "Нова українська школа" </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</si>
  <si>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</si>
  <si>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 xml:space="preserve">Загальне збільшення </t>
  </si>
  <si>
    <t>Нац.поліція</t>
  </si>
  <si>
    <t>Патрудбна поліція</t>
  </si>
  <si>
    <t>0219770</t>
  </si>
  <si>
    <t>Інші субвенції з місцевого бюджету (на співфінансування завершення будівництва водогону с. Писарівка Заслучненської сільської ради  Красилівського району Хмельницької області)</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</si>
  <si>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</si>
  <si>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</si>
  <si>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Реставрація будівлі дитячої музичної школи №1 ім. Миколи Мозгового по вул. Проскурівській, 18 в м. Хмельницькому  (в т.ч. виготовлення проектно-кошторисної документації)</t>
  </si>
  <si>
    <t>Виготовлення проектно-кошторисної документації на реконструкцію існуючої системи опалення із зовнішньою тепломережею по ДМШ №3 по вул. Кармелюка, 8/1 в м. Хмельницькому</t>
  </si>
  <si>
    <t>Реставрація приміщення Хмельницького міського будинку культури по вул.Проскурівській, 43 в м.Хмельницькому</t>
  </si>
  <si>
    <t>Реконструкція існуючих газових мереж з заміною ВОГ теплогенераторної амбулаторії ЗПСМ по вул.Філатова, 4 в м.Хмельницькому</t>
  </si>
  <si>
    <t>Проведення експертизи містобудівної документації Розділ інженерно-технічних заходів цивільного захисту (цивільної оборони) на особливий період у складі Генерального плану м.Хмельницький</t>
  </si>
  <si>
    <t>1216012</t>
  </si>
  <si>
    <t>6012</t>
  </si>
  <si>
    <t>Забезпечення діяльності з виробництва, транспортування, постачання теплової енергії</t>
  </si>
  <si>
    <t>Виконання інвестиційних проектів</t>
  </si>
  <si>
    <t>1217360</t>
  </si>
  <si>
    <t>7360</t>
  </si>
  <si>
    <t>1217363</t>
  </si>
  <si>
    <t>Виконання інвестиційних проектів в рамках здійснення заходів щодо соціально-економічного розвитку окремих територій</t>
  </si>
  <si>
    <t>7363</t>
  </si>
  <si>
    <t>Субвенція з державного бюджету місцевим бюджетам за здійснення заходів щодо соціально-економічного розвитку окремих територій (Будівництво 2-ї черги водогону від с.Чернелівка Красилівського району до м.Хмельницький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</si>
  <si>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 розробка проектної документації )</t>
  </si>
  <si>
    <t>Співфінансування з міського бюджету  (реконструкція системи водопостачання м.Хмельницький, розробка проектної документації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</si>
  <si>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</si>
  <si>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 Програма створення та розвитку індустріального парку "Хмельницький"</t>
  </si>
  <si>
    <t>Внески до статутного капіталу МКП "Хмельницькводоканал" (заміна каналізаційного колектора діам. 200мм по вул. Спортивна,42 в м.Хмельницький)</t>
  </si>
  <si>
    <t>Внески до статутного капіталу МКП "Хмельницькводоканал" (виготовлення ПКД з будівництва сучасних каналізаційних очисних споруд господарсько-побутових стоків м. Хмельницький, вул. Вінницьке шосе, 135)</t>
  </si>
  <si>
    <t>Співфінансування з міського бюджету (реконструкція системи водопостачання м.Хмельницький)</t>
  </si>
  <si>
    <t>Програма «Здоров’я хмельничан» на 2017-2021 роки</t>
  </si>
  <si>
    <t>Внески до статутного капіталу КП "Парки і сквери міста Хмельницького" (капітальний ремонт гаража в парку ім. М. Чекмана по вул Парковій,1 в м.Хмельницькому)</t>
  </si>
  <si>
    <t>Внески до статутного капіталу міського комунального підприємства по утриманню нежитлових приміщень комунальної власності  (Капітальний ремонт нежитлових приміщень третього поверху в будівлі по вул. Проскурівській, 56 в м. Хмельницькому)</t>
  </si>
  <si>
    <t>Виготовлення проектно-кошторисної документації на 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</si>
  <si>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Внески до статутного капіталу КП по зеленому будівництву і благоустрою міста (придбання будиночків для святкового оформлення міста)</t>
  </si>
  <si>
    <t>Внески до статутного капіталу МКП "Хмельницькводоканал" (реконструкція ділянки водопроводу діам.400 мм по вул.Подільській в м.Хмельницький)</t>
  </si>
  <si>
    <t>Внески до статутного капіталу МКП "Хмельницькводоканал" (будівництво вуличних мереж водопостачання житлових будинків по вул. Криничній  в м. Хмельницький)</t>
  </si>
  <si>
    <t>Внески до статутного капіталу МКП "Хмельницькводоканал" (будівництво вуличних мереж водопостачання житлових будинків по вул. І. Заремби  в м. Хмельницький)</t>
  </si>
  <si>
    <t>Внески до статутного капіталу МКП "Хмельницькводоканал" (будівництво вуличних мереж водопостачання житлових будинків по вул. 8-го Березня  в м. Хмельницький)</t>
  </si>
  <si>
    <t>Внески до статутного капіталу міського комунального підприємства по утриманню нежитлових приміщень комунальної власності  (Капітальний ремонт приміщення комунальної власності  за адресою: вул. Пилипчука,49 ,м. Хмельницький)</t>
  </si>
  <si>
    <t>Реконструкція вхідної частини Державної податкової інспекції у місті Хмельницький по вул.Героїв Майдану, буд.12 (в тому числі виготовлення проектно-кошторисної документації)</t>
  </si>
  <si>
    <t>Програма соціальної підтримки учасників АТО, учасників Революції Гідності, бійців-добровольців АТО у м. Хмельницькому та членів їх сімей на 2018 - 2020 рр.</t>
  </si>
  <si>
    <t xml:space="preserve">  -  на забезпечення  медикаментами відділень  Хмельницької міської дитячої лікарні </t>
  </si>
  <si>
    <t xml:space="preserve">     - на забезпечення інсулінами хворих на цукровий діабет, що потребують інсулінотерапії </t>
  </si>
  <si>
    <t>Інші субвенції з місцевого бюджету (на будівництво мереж водопостачання вул. Молодіжної в с. Кошелівка Красилівського району Хмельницької області)</t>
  </si>
  <si>
    <t>Підтримка фізкультурно-спортивного руху</t>
  </si>
  <si>
    <t>1115050</t>
  </si>
  <si>
    <t>5050</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</si>
  <si>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</si>
  <si>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1115052</t>
  </si>
  <si>
    <t>5052</t>
  </si>
  <si>
    <t>Виготовлення проектно-кошторисної документації на будівництво під'їзних доріг</t>
  </si>
  <si>
    <t>Проведення експертизи містобудівної  документації Розділ інженерно-технічних заходів цивільного захисту (цивільної оборони) на мирний час у складі Генерального плану м.Хмельницький</t>
  </si>
  <si>
    <t>Внески до статутного капіталу МКП "Хмельницькводоканал" (реконструкція вуличних мереж водопостачання житлових будинків по вул. Мічуріна, пров. Щедріна в м. Хмельницькому</t>
  </si>
  <si>
    <t>Внески до статутного капіталу МКП "Хмельницькводоканал" (реконструкція вуличних мереж водопостачання для житлових будинків №33,35,35/1,36,38 по вул. Стеніна в м.Хмельницький</t>
  </si>
  <si>
    <t>Внески до статутного капіталу КП по зеленому будівництву і благоустрою міста (придбання бензопил)</t>
  </si>
  <si>
    <t>0611170</t>
  </si>
  <si>
    <t>1170</t>
  </si>
  <si>
    <t>Надання допомоги дітям-сиротам та дітям, позбавленим батьківського піклування, яким виповнюється 18 років</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</si>
  <si>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</si>
  <si>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</si>
  <si>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Різницця видатків на додатковий ресурс</t>
  </si>
  <si>
    <t>Різницця видатків на субвенції, довідки, комісії</t>
  </si>
  <si>
    <t>Внески до статутного капіталу МКП "Хмельницькводоканал" (будівництво  мереж водопроводу та напірної каналізації  по вул. Геологів в м.Хмельницький )</t>
  </si>
  <si>
    <t>Внески до статутного капіталу МКП "Хмельницькводоканал" (Субвенція з державного бюджету місцевим бюджетам за здійснення заходів щодо соціально-економічного розвитку окремих територій (будівництво  мереж водопроводу та напірної каналізації  по вул. Геологів м.Хмельницький ))</t>
  </si>
  <si>
    <t>Внески до статутного капіталу МКП "Хмельницькводоканал" (реконструкція системи знезараження питної води ВНС-9 по проспекту Миру,36/2а  у  м.Хмельницький)</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</si>
  <si>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</si>
  <si>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Забезпечення екологічно безпечного збирання, перевезення, зберігання відходів (в тому числі улаштування покриття контейнерних майданчиків)</t>
  </si>
  <si>
    <t>Керуючий справами виконавчого комітету</t>
  </si>
  <si>
    <t xml:space="preserve">Ю.Сабій </t>
  </si>
  <si>
    <t xml:space="preserve">Керуючий справами виконавчого комітету </t>
  </si>
  <si>
    <t xml:space="preserve">   Ю. Сабій </t>
  </si>
  <si>
    <t>Ю. Сабій</t>
  </si>
  <si>
    <t xml:space="preserve">Керуючий справами виконавчого комітету                                                                                                                                               Ю.Сабій </t>
  </si>
  <si>
    <t xml:space="preserve">Керуючий справами виконавчого комітету  </t>
  </si>
  <si>
    <t>Начальник фінансового управління                                                                                                                                                         С. Ямчук</t>
  </si>
  <si>
    <t xml:space="preserve">     Начальник фінансового управління</t>
  </si>
  <si>
    <t xml:space="preserve">                      Начальник фінансового управління                                                   С. Ямчук </t>
  </si>
  <si>
    <t>Різницця видатків після МВК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</si>
</sst>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Red]#,##0.00"/>
  </numFmts>
  <fonts count="125" x14ac:knownFonts="1">
    <font>
      <sz val="10"/>
      <name val="Arial Cyr"/>
      <charset val="204"/>
    </font>
    <font>
      <sz val="10"/>
      <name val="Arial Cyr"/>
      <charset val="204"/>
    </font>
    <font>
      <sz val="10"/>
      <name val="MS Sans Serif"/>
      <family val="2"/>
      <charset val="204"/>
    </font>
    <font>
      <sz val="10"/>
      <name val="Times New Roman"/>
      <family val="1"/>
      <charset val="204"/>
    </font>
    <font>
      <b/>
      <i/>
      <sz val="10"/>
      <name val="Times New Roman Cyr"/>
      <family val="1"/>
      <charset val="204"/>
    </font>
    <font>
      <sz val="10"/>
      <name val="Times New Roman Cyr"/>
      <family val="1"/>
      <charset val="204"/>
    </font>
    <font>
      <b/>
      <sz val="10"/>
      <name val="Times New Roman Cyr"/>
      <family val="1"/>
      <charset val="204"/>
    </font>
    <font>
      <b/>
      <sz val="10"/>
      <name val="Arial Cyr"/>
      <charset val="204"/>
    </font>
    <font>
      <b/>
      <sz val="12"/>
      <name val="Times New Roman"/>
      <family val="1"/>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i/>
      <sz val="12"/>
      <name val="Times New Roman"/>
      <family val="1"/>
      <charset val="204"/>
    </font>
    <font>
      <i/>
      <sz val="10"/>
      <name val="Times New Roman Cyr"/>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i/>
      <sz val="10"/>
      <color indexed="8"/>
      <name val="Times New Roman"/>
      <family val="1"/>
      <charset val="204"/>
    </font>
    <font>
      <b/>
      <sz val="28"/>
      <name val="Times New Roman Cyr"/>
      <family val="1"/>
      <charset val="204"/>
    </font>
    <font>
      <b/>
      <sz val="36"/>
      <name val="Times New Roman Cyr"/>
      <family val="1"/>
      <charset val="204"/>
    </font>
    <font>
      <i/>
      <sz val="36"/>
      <name val="Times New Roman Cyr"/>
      <family val="1"/>
      <charset val="204"/>
    </font>
    <font>
      <sz val="20"/>
      <name val="Times New Roman Cyr"/>
      <family val="1"/>
      <charset val="204"/>
    </font>
    <font>
      <sz val="24"/>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vertAlign val="superscript"/>
      <sz val="8"/>
      <name val="Times New Roman"/>
      <family val="1"/>
      <charset val="204"/>
    </font>
    <font>
      <i/>
      <sz val="10"/>
      <name val="Times New Roman Cyr"/>
      <charset val="204"/>
    </font>
    <font>
      <sz val="9"/>
      <name val="Times New Roman CYR"/>
      <charset val="204"/>
    </font>
    <font>
      <b/>
      <sz val="12.5"/>
      <name val="Times New Roman"/>
      <family val="1"/>
      <charset val="204"/>
    </font>
    <font>
      <sz val="12"/>
      <name val="Arial Cyr"/>
      <charset val="204"/>
    </font>
    <font>
      <sz val="12"/>
      <name val="Arial"/>
      <family val="2"/>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sz val="12"/>
      <name val="Times New Roman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i/>
      <sz val="22"/>
      <name val="Times New Roman"/>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i/>
      <sz val="20"/>
      <name val="Arial Cyr"/>
      <charset val="204"/>
    </font>
    <font>
      <i/>
      <sz val="22"/>
      <name val="Times New Roman Cyr"/>
      <family val="1"/>
      <charset val="204"/>
    </font>
    <font>
      <sz val="11"/>
      <name val="Calibri"/>
      <family val="2"/>
      <charset val="204"/>
    </font>
    <font>
      <b/>
      <sz val="12"/>
      <color indexed="8"/>
      <name val="Times New Roman"/>
      <family val="1"/>
      <charset val="204"/>
    </font>
    <font>
      <sz val="12"/>
      <color indexed="8"/>
      <name val="Times New Roman"/>
      <family val="1"/>
      <charset val="204"/>
    </font>
    <font>
      <sz val="12"/>
      <color indexed="42"/>
      <name val="Times New Roman"/>
      <family val="1"/>
      <charset val="204"/>
    </font>
    <font>
      <i/>
      <sz val="11"/>
      <name val="Times New Roman Cyr"/>
      <charset val="204"/>
    </font>
    <font>
      <vertAlign val="superscript"/>
      <sz val="10"/>
      <name val="Times New Roman"/>
      <family val="1"/>
      <charset val="204"/>
    </font>
    <font>
      <sz val="10"/>
      <name val="Arial Cyr"/>
      <family val="2"/>
      <charset val="204"/>
    </font>
    <font>
      <sz val="36"/>
      <name val="Times New Roman Cyr"/>
      <family val="1"/>
      <charset val="204"/>
    </font>
    <font>
      <i/>
      <sz val="12"/>
      <name val="Times New Roman Cyr"/>
      <charset val="204"/>
    </font>
    <font>
      <i/>
      <sz val="10"/>
      <name val="Times New Roman"/>
      <family val="1"/>
      <charset val="204"/>
    </font>
    <font>
      <i/>
      <sz val="11"/>
      <name val="Arial Cyr"/>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s>
  <fills count="33">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99FF99"/>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patternFill patternType="solid">
        <fgColor rgb="FFCCFFFF"/>
        <bgColor indexed="64"/>
      </patternFill>
    </fill>
    <fill>
      <patternFill patternType="solid">
        <fgColor rgb="FF99FF99"/>
        <bgColor auto="1"/>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88">
    <xf numFmtId="0" fontId="0" fillId="0" borderId="0"/>
    <xf numFmtId="0" fontId="1"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53" fillId="0" borderId="0"/>
    <xf numFmtId="0" fontId="27" fillId="0" borderId="0"/>
    <xf numFmtId="0" fontId="1" fillId="0" borderId="0"/>
    <xf numFmtId="0" fontId="53" fillId="0" borderId="0"/>
    <xf numFmtId="0" fontId="1" fillId="0" borderId="0"/>
    <xf numFmtId="0" fontId="53" fillId="0" borderId="0"/>
    <xf numFmtId="0" fontId="27" fillId="0" borderId="0"/>
    <xf numFmtId="0" fontId="27" fillId="0" borderId="0"/>
    <xf numFmtId="0" fontId="27" fillId="0" borderId="0"/>
    <xf numFmtId="0" fontId="27" fillId="0" borderId="0"/>
    <xf numFmtId="0" fontId="27" fillId="0" borderId="0"/>
    <xf numFmtId="0" fontId="50" fillId="0" borderId="0">
      <alignment vertical="top"/>
    </xf>
    <xf numFmtId="0" fontId="21" fillId="5" borderId="5" applyNumberFormat="0" applyAlignment="0" applyProtection="0"/>
    <xf numFmtId="0" fontId="22" fillId="0" borderId="0" applyNumberFormat="0" applyFill="0" applyBorder="0" applyAlignment="0" applyProtection="0"/>
    <xf numFmtId="0" fontId="1" fillId="0" borderId="0"/>
    <xf numFmtId="0" fontId="53" fillId="0" borderId="0"/>
    <xf numFmtId="0" fontId="3" fillId="0" borderId="0"/>
    <xf numFmtId="0" fontId="74" fillId="0" borderId="0" applyNumberFormat="0" applyFont="0" applyFill="0" applyBorder="0" applyAlignment="0" applyProtection="0">
      <alignment vertical="top"/>
    </xf>
    <xf numFmtId="0" fontId="26" fillId="0" borderId="0"/>
    <xf numFmtId="0" fontId="2" fillId="0" borderId="0" applyNumberFormat="0" applyFont="0" applyFill="0" applyBorder="0" applyAlignment="0" applyProtection="0">
      <alignment vertical="top"/>
    </xf>
    <xf numFmtId="0" fontId="3" fillId="0" borderId="0"/>
    <xf numFmtId="0" fontId="26" fillId="0" borderId="0"/>
    <xf numFmtId="0" fontId="53"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 fillId="0" borderId="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3" borderId="0" applyNumberFormat="0" applyBorder="0" applyAlignment="0" applyProtection="0"/>
    <xf numFmtId="0" fontId="91" fillId="2"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4" borderId="0" applyNumberFormat="0" applyBorder="0" applyAlignment="0" applyProtection="0"/>
    <xf numFmtId="0" fontId="92" fillId="15"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22" borderId="0" applyNumberFormat="0" applyBorder="0" applyAlignment="0" applyProtection="0"/>
    <xf numFmtId="0" fontId="17" fillId="2" borderId="1" applyNumberFormat="0" applyAlignment="0" applyProtection="0"/>
    <xf numFmtId="0" fontId="93" fillId="23" borderId="20" applyNumberFormat="0" applyAlignment="0" applyProtection="0"/>
    <xf numFmtId="0" fontId="94" fillId="23" borderId="1" applyNumberFormat="0" applyAlignment="0" applyProtection="0"/>
    <xf numFmtId="0" fontId="90" fillId="0" borderId="0" applyNumberFormat="0" applyFill="0" applyBorder="0" applyAlignment="0" applyProtection="0">
      <alignment vertical="top"/>
      <protection locked="0"/>
    </xf>
    <xf numFmtId="0" fontId="95" fillId="0" borderId="21"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6" fillId="4" borderId="0" applyNumberFormat="0" applyBorder="0" applyAlignment="0" applyProtection="0"/>
    <xf numFmtId="0" fontId="97" fillId="8" borderId="0" applyNumberFormat="0" applyBorder="0" applyAlignment="0" applyProtection="0"/>
    <xf numFmtId="0" fontId="98" fillId="0" borderId="0" applyNumberFormat="0" applyFill="0" applyBorder="0" applyAlignment="0" applyProtection="0"/>
    <xf numFmtId="0" fontId="91" fillId="24" borderId="22"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16" fillId="0" borderId="0"/>
    <xf numFmtId="0" fontId="1" fillId="0" borderId="0"/>
    <xf numFmtId="0" fontId="1" fillId="0" borderId="0"/>
  </cellStyleXfs>
  <cellXfs count="747">
    <xf numFmtId="0" fontId="0" fillId="0" borderId="0" xfId="0"/>
    <xf numFmtId="0" fontId="42" fillId="0" borderId="7" xfId="0" applyFont="1" applyBorder="1" applyAlignment="1">
      <alignment horizontal="center" vertical="center" wrapText="1"/>
    </xf>
    <xf numFmtId="0" fontId="5" fillId="0" borderId="0" xfId="0" applyFont="1" applyAlignment="1">
      <alignment vertical="center"/>
    </xf>
    <xf numFmtId="0" fontId="7" fillId="0" borderId="0" xfId="0" applyFont="1"/>
    <xf numFmtId="164" fontId="4" fillId="0" borderId="0" xfId="0" applyNumberFormat="1" applyFont="1" applyBorder="1" applyAlignment="1">
      <alignment horizontal="right" vertical="center" wrapText="1"/>
    </xf>
    <xf numFmtId="0" fontId="0" fillId="0" borderId="0" xfId="0" applyFill="1"/>
    <xf numFmtId="4" fontId="5" fillId="0" borderId="0" xfId="0" applyNumberFormat="1" applyFont="1" applyAlignment="1">
      <alignment vertical="center"/>
    </xf>
    <xf numFmtId="0" fontId="5" fillId="0" borderId="0" xfId="0" applyFont="1" applyAlignment="1">
      <alignment horizontal="right" vertical="center"/>
    </xf>
    <xf numFmtId="4" fontId="6" fillId="0" borderId="0" xfId="0" applyNumberFormat="1" applyFont="1" applyAlignment="1">
      <alignment vertical="center"/>
    </xf>
    <xf numFmtId="0" fontId="6" fillId="0" borderId="0" xfId="0" applyFont="1" applyAlignment="1">
      <alignment vertical="center"/>
    </xf>
    <xf numFmtId="2" fontId="8" fillId="0" borderId="0" xfId="38" applyNumberFormat="1" applyFont="1" applyFill="1" applyBorder="1" applyAlignment="1" applyProtection="1">
      <alignment vertical="center" wrapText="1"/>
      <protection locked="0"/>
    </xf>
    <xf numFmtId="164" fontId="6" fillId="0" borderId="0" xfId="0" applyNumberFormat="1" applyFont="1" applyBorder="1" applyAlignment="1">
      <alignment horizontal="right" vertical="center" wrapText="1"/>
    </xf>
    <xf numFmtId="4" fontId="36" fillId="0" borderId="0" xfId="0" applyNumberFormat="1" applyFont="1" applyAlignment="1">
      <alignment vertical="center"/>
    </xf>
    <xf numFmtId="0" fontId="36" fillId="0" borderId="0" xfId="0" applyFont="1" applyAlignment="1">
      <alignment vertical="center"/>
    </xf>
    <xf numFmtId="164" fontId="36" fillId="0" borderId="0" xfId="0" applyNumberFormat="1" applyFont="1" applyBorder="1" applyAlignment="1">
      <alignment horizontal="right" vertical="center" wrapText="1"/>
    </xf>
    <xf numFmtId="0" fontId="42"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right" vertical="center"/>
    </xf>
    <xf numFmtId="0" fontId="43" fillId="0" borderId="7" xfId="0" applyFont="1" applyBorder="1" applyAlignment="1">
      <alignment horizontal="center" vertical="center"/>
    </xf>
    <xf numFmtId="49" fontId="40" fillId="0" borderId="7" xfId="0" applyNumberFormat="1" applyFont="1" applyBorder="1" applyAlignment="1">
      <alignment horizontal="center" vertical="center" wrapText="1"/>
    </xf>
    <xf numFmtId="0" fontId="40" fillId="0" borderId="7" xfId="0" applyFont="1" applyBorder="1" applyAlignment="1">
      <alignment horizontal="center" vertical="center" wrapText="1"/>
    </xf>
    <xf numFmtId="4" fontId="42" fillId="0" borderId="0" xfId="0" applyNumberFormat="1" applyFont="1" applyAlignment="1">
      <alignment horizontal="center" vertical="center"/>
    </xf>
    <xf numFmtId="0" fontId="48" fillId="0" borderId="0" xfId="0" applyFont="1"/>
    <xf numFmtId="4" fontId="48" fillId="0" borderId="0" xfId="0" applyNumberFormat="1" applyFont="1"/>
    <xf numFmtId="0" fontId="9" fillId="0" borderId="0" xfId="35" applyNumberFormat="1" applyFont="1" applyFill="1" applyAlignment="1" applyProtection="1"/>
    <xf numFmtId="0" fontId="9" fillId="0" borderId="0" xfId="35" applyFont="1" applyFill="1"/>
    <xf numFmtId="0" fontId="3" fillId="0" borderId="0" xfId="35" applyNumberFormat="1" applyFont="1" applyFill="1" applyAlignment="1" applyProtection="1"/>
    <xf numFmtId="0" fontId="3" fillId="0" borderId="0" xfId="35" applyFont="1" applyFill="1"/>
    <xf numFmtId="0" fontId="11" fillId="0" borderId="11" xfId="35" applyNumberFormat="1" applyFont="1" applyFill="1" applyBorder="1" applyAlignment="1" applyProtection="1">
      <alignment horizontal="center"/>
    </xf>
    <xf numFmtId="0" fontId="3" fillId="0" borderId="11" xfId="35" applyFont="1" applyFill="1" applyBorder="1" applyAlignment="1">
      <alignment horizontal="center"/>
    </xf>
    <xf numFmtId="0" fontId="3" fillId="0" borderId="0" xfId="35" applyFont="1" applyFill="1" applyBorder="1" applyAlignment="1">
      <alignment horizontal="center"/>
    </xf>
    <xf numFmtId="0" fontId="11" fillId="0" borderId="0" xfId="35" applyNumberFormat="1" applyFont="1" applyFill="1" applyBorder="1" applyAlignment="1" applyProtection="1">
      <alignment horizontal="center" vertical="top"/>
    </xf>
    <xf numFmtId="0" fontId="14" fillId="0" borderId="11" xfId="35" applyNumberFormat="1" applyFont="1" applyFill="1" applyBorder="1" applyAlignment="1" applyProtection="1">
      <alignment horizontal="right" vertical="center"/>
    </xf>
    <xf numFmtId="0" fontId="3" fillId="0" borderId="0" xfId="35" applyNumberFormat="1" applyFont="1" applyFill="1" applyBorder="1" applyAlignment="1" applyProtection="1"/>
    <xf numFmtId="0" fontId="13" fillId="0" borderId="7" xfId="35" applyNumberFormat="1" applyFont="1" applyFill="1" applyBorder="1" applyAlignment="1" applyProtection="1">
      <alignment horizontal="center" vertical="center" wrapText="1"/>
    </xf>
    <xf numFmtId="0" fontId="30" fillId="0" borderId="7" xfId="35" applyNumberFormat="1" applyFont="1" applyFill="1" applyBorder="1" applyAlignment="1" applyProtection="1">
      <alignment horizontal="center" vertical="center" wrapText="1"/>
    </xf>
    <xf numFmtId="0" fontId="30" fillId="0" borderId="7" xfId="35" applyFont="1" applyBorder="1" applyAlignment="1">
      <alignment horizontal="center" vertical="center" wrapText="1"/>
    </xf>
    <xf numFmtId="0" fontId="3" fillId="0" borderId="0" xfId="35" applyNumberFormat="1" applyFont="1" applyFill="1" applyAlignment="1" applyProtection="1">
      <alignment vertical="center"/>
    </xf>
    <xf numFmtId="0" fontId="3" fillId="0" borderId="0" xfId="35" applyFont="1" applyFill="1" applyAlignment="1">
      <alignment vertical="center"/>
    </xf>
    <xf numFmtId="0" fontId="29" fillId="0" borderId="7" xfId="35" applyFont="1" applyBorder="1" applyAlignment="1">
      <alignment horizontal="center" vertical="center" wrapText="1"/>
    </xf>
    <xf numFmtId="0" fontId="10" fillId="0" borderId="7" xfId="35" applyNumberFormat="1" applyFont="1" applyFill="1" applyBorder="1" applyAlignment="1" applyProtection="1">
      <alignment vertical="center" wrapText="1"/>
    </xf>
    <xf numFmtId="0" fontId="13" fillId="0" borderId="12" xfId="35" applyNumberFormat="1" applyFont="1" applyFill="1" applyBorder="1" applyAlignment="1" applyProtection="1">
      <alignment horizontal="center" vertical="center" wrapText="1"/>
    </xf>
    <xf numFmtId="0" fontId="13" fillId="0" borderId="10" xfId="35" applyNumberFormat="1" applyFont="1" applyFill="1" applyBorder="1" applyAlignment="1" applyProtection="1">
      <alignment horizontal="center" vertical="center" wrapText="1"/>
    </xf>
    <xf numFmtId="0" fontId="52" fillId="0" borderId="7" xfId="35" applyFont="1" applyBorder="1" applyAlignment="1">
      <alignment horizontal="center" vertical="center" wrapText="1"/>
    </xf>
    <xf numFmtId="4" fontId="45" fillId="0" borderId="7" xfId="38" applyNumberFormat="1" applyFont="1" applyFill="1" applyBorder="1" applyAlignment="1" applyProtection="1">
      <alignment horizontal="center" vertical="center" wrapText="1"/>
      <protection locked="0"/>
    </xf>
    <xf numFmtId="4" fontId="59" fillId="0" borderId="0" xfId="0" applyNumberFormat="1" applyFont="1" applyAlignment="1">
      <alignment vertical="center"/>
    </xf>
    <xf numFmtId="0" fontId="3" fillId="6" borderId="0" xfId="35" applyNumberFormat="1" applyFont="1" applyFill="1" applyAlignment="1" applyProtection="1"/>
    <xf numFmtId="4" fontId="41" fillId="0" borderId="0" xfId="0" applyNumberFormat="1" applyFont="1" applyAlignment="1">
      <alignment horizontal="center" vertical="center"/>
    </xf>
    <xf numFmtId="4" fontId="60" fillId="0" borderId="0" xfId="0" applyNumberFormat="1" applyFont="1" applyAlignment="1">
      <alignment vertical="center"/>
    </xf>
    <xf numFmtId="4" fontId="61"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4" fontId="63" fillId="0" borderId="0" xfId="0" applyNumberFormat="1" applyFont="1" applyAlignment="1">
      <alignment vertical="center"/>
    </xf>
    <xf numFmtId="4" fontId="64" fillId="0" borderId="0" xfId="0" applyNumberFormat="1" applyFont="1" applyAlignment="1">
      <alignment vertical="center"/>
    </xf>
    <xf numFmtId="0" fontId="3" fillId="0" borderId="0" xfId="39" applyNumberFormat="1" applyFont="1" applyFill="1" applyAlignment="1" applyProtection="1"/>
    <xf numFmtId="0" fontId="3" fillId="0" borderId="0" xfId="39" applyFont="1" applyFill="1"/>
    <xf numFmtId="0" fontId="29" fillId="0" borderId="0" xfId="39" applyNumberFormat="1" applyFont="1" applyFill="1" applyAlignment="1" applyProtection="1">
      <alignment horizontal="center" vertical="center"/>
    </xf>
    <xf numFmtId="0" fontId="3" fillId="0" borderId="0" xfId="39" applyNumberFormat="1" applyFont="1" applyFill="1" applyBorder="1" applyAlignment="1" applyProtection="1"/>
    <xf numFmtId="0" fontId="14" fillId="0" borderId="11" xfId="39" applyNumberFormat="1" applyFont="1" applyFill="1" applyBorder="1" applyAlignment="1" applyProtection="1">
      <alignment vertical="center"/>
    </xf>
    <xf numFmtId="0" fontId="10" fillId="0" borderId="7" xfId="39" applyNumberFormat="1" applyFont="1" applyFill="1" applyBorder="1" applyAlignment="1" applyProtection="1">
      <alignment horizontal="center" vertical="center" wrapText="1"/>
    </xf>
    <xf numFmtId="0" fontId="3" fillId="0" borderId="0" xfId="39" applyNumberFormat="1" applyFont="1" applyFill="1" applyBorder="1" applyAlignment="1" applyProtection="1">
      <alignment vertical="center" wrapText="1"/>
    </xf>
    <xf numFmtId="0" fontId="3" fillId="0" borderId="0" xfId="39" applyNumberFormat="1" applyFont="1" applyFill="1" applyAlignment="1" applyProtection="1">
      <alignment vertical="center" wrapText="1"/>
    </xf>
    <xf numFmtId="0" fontId="3" fillId="0" borderId="0" xfId="39" applyFont="1" applyFill="1" applyAlignment="1">
      <alignment vertical="center" wrapText="1"/>
    </xf>
    <xf numFmtId="0" fontId="13" fillId="0" borderId="7" xfId="39" applyNumberFormat="1" applyFont="1" applyFill="1" applyBorder="1" applyAlignment="1" applyProtection="1">
      <alignment horizontal="center" vertical="center" wrapText="1"/>
    </xf>
    <xf numFmtId="0" fontId="29" fillId="0" borderId="0" xfId="39" applyNumberFormat="1" applyFont="1" applyFill="1" applyBorder="1" applyAlignment="1" applyProtection="1">
      <alignment wrapText="1"/>
    </xf>
    <xf numFmtId="0" fontId="29" fillId="0" borderId="0" xfId="39" applyNumberFormat="1" applyFont="1" applyFill="1" applyAlignment="1" applyProtection="1">
      <alignment wrapText="1"/>
    </xf>
    <xf numFmtId="0" fontId="29" fillId="0" borderId="0" xfId="39" applyFont="1" applyFill="1" applyAlignment="1">
      <alignment wrapText="1"/>
    </xf>
    <xf numFmtId="0" fontId="30" fillId="0" borderId="7" xfId="39" applyNumberFormat="1" applyFont="1" applyFill="1" applyBorder="1" applyAlignment="1" applyProtection="1">
      <alignment horizontal="center" vertical="center" wrapText="1"/>
    </xf>
    <xf numFmtId="0" fontId="30" fillId="0" borderId="7" xfId="39" applyNumberFormat="1" applyFont="1" applyFill="1" applyBorder="1" applyAlignment="1" applyProtection="1">
      <alignment horizontal="left" vertical="center" wrapText="1"/>
    </xf>
    <xf numFmtId="4" fontId="31" fillId="0" borderId="7" xfId="39" applyNumberFormat="1" applyFont="1" applyFill="1" applyBorder="1" applyAlignment="1">
      <alignment vertical="center" wrapText="1"/>
    </xf>
    <xf numFmtId="0" fontId="30" fillId="0" borderId="0" xfId="39" applyNumberFormat="1" applyFont="1" applyFill="1" applyBorder="1" applyAlignment="1" applyProtection="1">
      <alignment wrapText="1"/>
    </xf>
    <xf numFmtId="0" fontId="30" fillId="0" borderId="0" xfId="39" applyNumberFormat="1" applyFont="1" applyFill="1" applyAlignment="1" applyProtection="1">
      <alignment wrapText="1"/>
    </xf>
    <xf numFmtId="0" fontId="30" fillId="0" borderId="0" xfId="39" applyFont="1" applyFill="1" applyAlignment="1">
      <alignment wrapText="1"/>
    </xf>
    <xf numFmtId="0" fontId="29" fillId="0" borderId="7" xfId="39" applyNumberFormat="1" applyFont="1" applyFill="1" applyBorder="1" applyAlignment="1" applyProtection="1">
      <alignment horizontal="center" vertical="center" wrapText="1"/>
    </xf>
    <xf numFmtId="0" fontId="13" fillId="0" borderId="7" xfId="39" applyNumberFormat="1" applyFont="1" applyFill="1" applyBorder="1" applyAlignment="1" applyProtection="1">
      <alignment vertical="center" wrapText="1"/>
    </xf>
    <xf numFmtId="4" fontId="15" fillId="0" borderId="7" xfId="39" applyNumberFormat="1" applyFont="1" applyFill="1" applyBorder="1" applyAlignment="1">
      <alignment vertical="center" wrapText="1"/>
    </xf>
    <xf numFmtId="4" fontId="32" fillId="0" borderId="7" xfId="39" applyNumberFormat="1" applyFont="1" applyFill="1" applyBorder="1" applyAlignment="1">
      <alignment vertical="center" wrapText="1"/>
    </xf>
    <xf numFmtId="0" fontId="66" fillId="0" borderId="0" xfId="39" applyNumberFormat="1" applyFont="1" applyFill="1" applyBorder="1" applyAlignment="1" applyProtection="1">
      <alignment wrapText="1"/>
    </xf>
    <xf numFmtId="0" fontId="66" fillId="0" borderId="0" xfId="39" applyNumberFormat="1" applyFont="1" applyFill="1" applyAlignment="1" applyProtection="1">
      <alignment wrapText="1"/>
    </xf>
    <xf numFmtId="0" fontId="66" fillId="0" borderId="0" xfId="39" applyFont="1" applyFill="1" applyAlignment="1">
      <alignment wrapText="1"/>
    </xf>
    <xf numFmtId="0" fontId="37" fillId="0" borderId="7" xfId="39" applyNumberFormat="1" applyFont="1" applyFill="1" applyBorder="1" applyAlignment="1" applyProtection="1">
      <alignment vertical="center" wrapText="1"/>
    </xf>
    <xf numFmtId="4" fontId="38" fillId="0" borderId="7" xfId="39" applyNumberFormat="1" applyFont="1" applyFill="1" applyBorder="1" applyAlignment="1">
      <alignment vertical="center" wrapText="1"/>
    </xf>
    <xf numFmtId="0" fontId="66" fillId="0" borderId="7" xfId="39" applyNumberFormat="1" applyFont="1" applyFill="1" applyBorder="1" applyAlignment="1" applyProtection="1">
      <alignment horizontal="center" vertical="center" wrapText="1"/>
    </xf>
    <xf numFmtId="0" fontId="66" fillId="0" borderId="7" xfId="39" applyNumberFormat="1" applyFont="1" applyFill="1" applyBorder="1" applyAlignment="1" applyProtection="1">
      <alignment vertical="center" wrapText="1"/>
    </xf>
    <xf numFmtId="4" fontId="34" fillId="0" borderId="7" xfId="39" applyNumberFormat="1" applyFont="1" applyFill="1" applyBorder="1" applyAlignment="1">
      <alignment vertical="center" wrapText="1"/>
    </xf>
    <xf numFmtId="4" fontId="30" fillId="0" borderId="7" xfId="39" applyNumberFormat="1" applyFont="1" applyFill="1" applyBorder="1" applyAlignment="1" applyProtection="1">
      <alignment horizontal="right" vertical="center" wrapText="1"/>
    </xf>
    <xf numFmtId="4" fontId="29" fillId="0" borderId="7" xfId="39" applyNumberFormat="1" applyFont="1" applyFill="1" applyBorder="1" applyAlignment="1" applyProtection="1">
      <alignment horizontal="right" vertical="center" wrapText="1"/>
    </xf>
    <xf numFmtId="0" fontId="66" fillId="0" borderId="7" xfId="37" applyFont="1" applyFill="1" applyBorder="1" applyAlignment="1">
      <alignment horizontal="justify" vertical="top" wrapText="1"/>
    </xf>
    <xf numFmtId="4" fontId="29" fillId="0" borderId="7" xfId="39" applyNumberFormat="1" applyFont="1" applyFill="1" applyBorder="1" applyAlignment="1" applyProtection="1">
      <alignment vertical="center" wrapText="1"/>
    </xf>
    <xf numFmtId="4" fontId="39" fillId="0" borderId="7" xfId="39" applyNumberFormat="1" applyFont="1" applyFill="1" applyBorder="1" applyAlignment="1">
      <alignment vertical="center" wrapText="1"/>
    </xf>
    <xf numFmtId="0" fontId="3" fillId="0" borderId="0" xfId="39" applyNumberFormat="1" applyFont="1" applyFill="1" applyBorder="1" applyAlignment="1" applyProtection="1">
      <alignment wrapText="1"/>
    </xf>
    <xf numFmtId="0" fontId="3" fillId="0" borderId="0" xfId="39" applyNumberFormat="1" applyFont="1" applyFill="1" applyAlignment="1" applyProtection="1">
      <alignment wrapText="1"/>
    </xf>
    <xf numFmtId="0" fontId="3" fillId="0" borderId="0" xfId="39" applyFont="1" applyFill="1" applyAlignment="1">
      <alignment wrapText="1"/>
    </xf>
    <xf numFmtId="0" fontId="30" fillId="0" borderId="7" xfId="39" applyNumberFormat="1" applyFont="1" applyFill="1" applyBorder="1" applyAlignment="1" applyProtection="1">
      <alignment vertical="center" wrapText="1"/>
    </xf>
    <xf numFmtId="0" fontId="31" fillId="0" borderId="7" xfId="37" applyFont="1" applyFill="1" applyBorder="1" applyAlignment="1">
      <alignment horizontal="justify" vertical="top" wrapText="1"/>
    </xf>
    <xf numFmtId="4" fontId="33" fillId="0" borderId="7" xfId="39" applyNumberFormat="1" applyFont="1" applyFill="1" applyBorder="1" applyAlignment="1">
      <alignment vertical="center" wrapText="1"/>
    </xf>
    <xf numFmtId="0" fontId="34" fillId="0" borderId="7" xfId="37" applyFont="1" applyFill="1" applyBorder="1" applyAlignment="1">
      <alignment horizontal="justify" vertical="top" wrapText="1"/>
    </xf>
    <xf numFmtId="0" fontId="66" fillId="0" borderId="14" xfId="37" applyFont="1" applyFill="1" applyBorder="1" applyAlignment="1">
      <alignment horizontal="justify" vertical="top" wrapText="1"/>
    </xf>
    <xf numFmtId="0" fontId="67" fillId="0" borderId="7" xfId="37" applyFont="1" applyFill="1" applyBorder="1" applyAlignment="1">
      <alignment horizontal="justify" vertical="top" wrapText="1"/>
    </xf>
    <xf numFmtId="0" fontId="68" fillId="0" borderId="7" xfId="37" applyFont="1" applyFill="1" applyBorder="1" applyAlignment="1">
      <alignment horizontal="justify" vertical="top" wrapText="1"/>
    </xf>
    <xf numFmtId="0" fontId="37" fillId="0" borderId="7" xfId="39" applyNumberFormat="1" applyFont="1" applyFill="1" applyBorder="1" applyAlignment="1" applyProtection="1">
      <alignment horizontal="center" vertical="center" wrapText="1"/>
    </xf>
    <xf numFmtId="0" fontId="38" fillId="0" borderId="7" xfId="37" applyFont="1" applyFill="1" applyBorder="1" applyAlignment="1">
      <alignment horizontal="justify" vertical="top" wrapText="1"/>
    </xf>
    <xf numFmtId="0" fontId="34" fillId="0" borderId="7" xfId="37" applyFont="1" applyFill="1" applyBorder="1" applyAlignment="1">
      <alignment vertical="top" wrapText="1"/>
    </xf>
    <xf numFmtId="0" fontId="3" fillId="0" borderId="7" xfId="39" applyNumberFormat="1" applyFont="1" applyFill="1" applyBorder="1" applyAlignment="1" applyProtection="1">
      <alignment vertical="center" wrapText="1"/>
    </xf>
    <xf numFmtId="0" fontId="69" fillId="0" borderId="0" xfId="39" applyNumberFormat="1" applyFont="1" applyFill="1" applyBorder="1" applyAlignment="1" applyProtection="1">
      <alignment wrapText="1"/>
    </xf>
    <xf numFmtId="0" fontId="69" fillId="0" borderId="0" xfId="39" applyNumberFormat="1" applyFont="1" applyFill="1" applyAlignment="1" applyProtection="1">
      <alignment wrapText="1"/>
    </xf>
    <xf numFmtId="0" fontId="69" fillId="0" borderId="0" xfId="39" applyFont="1" applyFill="1" applyAlignment="1">
      <alignment wrapText="1"/>
    </xf>
    <xf numFmtId="0" fontId="68" fillId="0" borderId="7" xfId="39" applyNumberFormat="1" applyFont="1" applyFill="1" applyBorder="1" applyAlignment="1" applyProtection="1">
      <alignment horizontal="center" vertical="center" wrapText="1"/>
    </xf>
    <xf numFmtId="0" fontId="67" fillId="0" borderId="7" xfId="37" applyFont="1" applyFill="1" applyBorder="1" applyAlignment="1">
      <alignment vertical="top" wrapText="1"/>
    </xf>
    <xf numFmtId="4" fontId="67" fillId="0" borderId="7" xfId="39" applyNumberFormat="1" applyFont="1" applyFill="1" applyBorder="1" applyAlignment="1">
      <alignment vertical="center" wrapText="1"/>
    </xf>
    <xf numFmtId="4" fontId="70" fillId="0" borderId="7" xfId="39" applyNumberFormat="1" applyFont="1" applyFill="1" applyBorder="1" applyAlignment="1">
      <alignment vertical="center" wrapText="1"/>
    </xf>
    <xf numFmtId="0" fontId="71" fillId="0" borderId="7" xfId="37" applyFont="1" applyFill="1" applyBorder="1" applyAlignment="1">
      <alignment horizontal="justify" vertical="top" wrapText="1"/>
    </xf>
    <xf numFmtId="0" fontId="72" fillId="0" borderId="7" xfId="37" applyFont="1" applyFill="1" applyBorder="1" applyAlignment="1">
      <alignment horizontal="justify" vertical="top" wrapText="1"/>
    </xf>
    <xf numFmtId="0" fontId="29" fillId="0" borderId="7" xfId="39" applyNumberFormat="1" applyFont="1" applyFill="1" applyBorder="1" applyAlignment="1" applyProtection="1">
      <alignment vertical="center" wrapText="1"/>
    </xf>
    <xf numFmtId="0" fontId="73" fillId="0" borderId="7" xfId="37" applyFont="1" applyFill="1" applyBorder="1" applyAlignment="1">
      <alignment horizontal="justify" vertical="top" wrapText="1"/>
    </xf>
    <xf numFmtId="0" fontId="13" fillId="0" borderId="7" xfId="37" applyFont="1" applyFill="1" applyBorder="1" applyAlignment="1">
      <alignment horizontal="justify" vertical="top" wrapText="1"/>
    </xf>
    <xf numFmtId="0" fontId="11" fillId="0" borderId="7" xfId="37" applyFont="1" applyFill="1" applyBorder="1" applyAlignment="1">
      <alignment horizontal="justify" vertical="top" wrapText="1"/>
    </xf>
    <xf numFmtId="0" fontId="68" fillId="0" borderId="7" xfId="0" applyNumberFormat="1" applyFont="1" applyFill="1" applyBorder="1" applyAlignment="1" applyProtection="1">
      <alignment horizontal="left" vertical="center" wrapText="1"/>
    </xf>
    <xf numFmtId="0" fontId="66" fillId="0" borderId="7" xfId="0" applyNumberFormat="1" applyFont="1" applyFill="1" applyBorder="1" applyAlignment="1" applyProtection="1">
      <alignment horizontal="left" vertical="center" wrapText="1"/>
    </xf>
    <xf numFmtId="0" fontId="3" fillId="0" borderId="7" xfId="39" applyNumberFormat="1" applyFont="1" applyFill="1" applyBorder="1" applyAlignment="1" applyProtection="1">
      <alignment horizontal="center" vertical="center" wrapText="1"/>
    </xf>
    <xf numFmtId="0" fontId="65" fillId="0" borderId="7" xfId="39" applyFont="1" applyFill="1" applyBorder="1" applyAlignment="1">
      <alignment vertical="center" wrapText="1"/>
    </xf>
    <xf numFmtId="0" fontId="10" fillId="0" borderId="0" xfId="39" applyNumberFormat="1" applyFont="1" applyFill="1" applyBorder="1" applyAlignment="1" applyProtection="1"/>
    <xf numFmtId="0" fontId="10" fillId="0" borderId="0" xfId="39" applyNumberFormat="1" applyFont="1" applyFill="1" applyAlignment="1" applyProtection="1"/>
    <xf numFmtId="0" fontId="10" fillId="0" borderId="0" xfId="39" applyFont="1" applyFill="1"/>
    <xf numFmtId="2" fontId="3" fillId="0" borderId="0" xfId="39" applyNumberFormat="1" applyFont="1" applyFill="1" applyBorder="1" applyAlignment="1" applyProtection="1"/>
    <xf numFmtId="4" fontId="3" fillId="0" borderId="0" xfId="39" applyNumberFormat="1" applyFont="1" applyFill="1" applyBorder="1" applyAlignment="1" applyProtection="1"/>
    <xf numFmtId="0" fontId="53" fillId="0" borderId="0" xfId="0" applyFont="1" applyFill="1"/>
    <xf numFmtId="0" fontId="15" fillId="0" borderId="0" xfId="0" applyFont="1" applyFill="1" applyAlignment="1"/>
    <xf numFmtId="0" fontId="14" fillId="0" borderId="7" xfId="0" applyFont="1" applyFill="1" applyBorder="1" applyAlignment="1">
      <alignment horizontal="center" vertical="top" wrapText="1"/>
    </xf>
    <xf numFmtId="0" fontId="76" fillId="0" borderId="7" xfId="0" applyFont="1" applyFill="1" applyBorder="1" applyAlignment="1">
      <alignment horizontal="center" vertical="top" wrapText="1"/>
    </xf>
    <xf numFmtId="4" fontId="1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77" fillId="0" borderId="0" xfId="35" applyNumberFormat="1" applyFont="1" applyFill="1" applyAlignment="1" applyProtection="1"/>
    <xf numFmtId="0" fontId="77" fillId="0" borderId="0" xfId="35" applyFont="1" applyFill="1"/>
    <xf numFmtId="0" fontId="11" fillId="0" borderId="0" xfId="35" applyNumberFormat="1" applyFont="1" applyFill="1" applyAlignment="1" applyProtection="1">
      <alignment horizontal="center" vertical="center" wrapText="1"/>
    </xf>
    <xf numFmtId="0" fontId="14"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xf>
    <xf numFmtId="0" fontId="77" fillId="0" borderId="0" xfId="35" applyFont="1" applyFill="1" applyAlignment="1">
      <alignment horizontal="center"/>
    </xf>
    <xf numFmtId="0" fontId="14" fillId="0" borderId="0" xfId="35" applyFont="1" applyFill="1" applyAlignment="1">
      <alignment horizontal="right"/>
    </xf>
    <xf numFmtId="0" fontId="77" fillId="0" borderId="16" xfId="35" applyNumberFormat="1" applyFont="1" applyFill="1" applyBorder="1" applyAlignment="1" applyProtection="1"/>
    <xf numFmtId="0" fontId="77" fillId="0" borderId="17" xfId="35" applyNumberFormat="1" applyFont="1" applyFill="1" applyBorder="1" applyAlignment="1" applyProtection="1"/>
    <xf numFmtId="0" fontId="79" fillId="0" borderId="8" xfId="35" applyNumberFormat="1" applyFont="1" applyFill="1" applyBorder="1" applyAlignment="1" applyProtection="1">
      <alignment horizontal="center" vertical="center" wrapText="1"/>
    </xf>
    <xf numFmtId="0" fontId="77" fillId="0" borderId="0" xfId="35" applyNumberFormat="1" applyFont="1" applyFill="1" applyBorder="1" applyAlignment="1" applyProtection="1"/>
    <xf numFmtId="0" fontId="66" fillId="0" borderId="0" xfId="35" applyNumberFormat="1" applyFont="1" applyFill="1" applyAlignment="1" applyProtection="1"/>
    <xf numFmtId="49" fontId="30" fillId="0" borderId="7" xfId="35" applyNumberFormat="1" applyFont="1" applyBorder="1" applyAlignment="1">
      <alignment horizontal="center" vertical="center" wrapText="1"/>
    </xf>
    <xf numFmtId="49" fontId="30" fillId="0" borderId="7" xfId="0" applyNumberFormat="1" applyFont="1" applyFill="1" applyBorder="1" applyAlignment="1">
      <alignment horizontal="center" vertical="center" wrapText="1"/>
    </xf>
    <xf numFmtId="4" fontId="31" fillId="0" borderId="7" xfId="35" applyNumberFormat="1" applyFont="1" applyBorder="1" applyAlignment="1">
      <alignment horizontal="center" vertical="center"/>
    </xf>
    <xf numFmtId="0" fontId="80" fillId="0" borderId="0" xfId="35" applyFont="1" applyFill="1"/>
    <xf numFmtId="49" fontId="51" fillId="0" borderId="7" xfId="35" applyNumberFormat="1" applyFont="1" applyBorder="1" applyAlignment="1">
      <alignment horizontal="center" vertical="center" wrapText="1"/>
    </xf>
    <xf numFmtId="49" fontId="51" fillId="0" borderId="7" xfId="0" applyNumberFormat="1" applyFont="1" applyFill="1" applyBorder="1" applyAlignment="1">
      <alignment horizontal="center" vertical="center" wrapText="1"/>
    </xf>
    <xf numFmtId="4" fontId="33" fillId="0" borderId="7" xfId="35" applyNumberFormat="1" applyFont="1" applyBorder="1" applyAlignment="1">
      <alignment horizontal="center" vertical="center"/>
    </xf>
    <xf numFmtId="49" fontId="29" fillId="0" borderId="7" xfId="35" applyNumberFormat="1" applyFont="1" applyBorder="1" applyAlignment="1">
      <alignment horizontal="center" vertical="center" wrapText="1"/>
    </xf>
    <xf numFmtId="49" fontId="52" fillId="0" borderId="7" xfId="35" applyNumberFormat="1" applyFont="1" applyBorder="1" applyAlignment="1">
      <alignment horizontal="center" vertical="center" wrapText="1"/>
    </xf>
    <xf numFmtId="4" fontId="55" fillId="0" borderId="7" xfId="35" applyNumberFormat="1" applyFont="1" applyBorder="1" applyAlignment="1">
      <alignment horizontal="center" vertical="center"/>
    </xf>
    <xf numFmtId="0" fontId="81" fillId="0" borderId="0" xfId="36" applyNumberFormat="1" applyFont="1" applyFill="1" applyBorder="1" applyAlignment="1" applyProtection="1">
      <alignment vertical="top"/>
    </xf>
    <xf numFmtId="0" fontId="74" fillId="0" borderId="0" xfId="36" applyNumberFormat="1" applyFont="1" applyFill="1" applyBorder="1" applyAlignment="1" applyProtection="1">
      <alignment vertical="top"/>
    </xf>
    <xf numFmtId="0" fontId="81" fillId="0" borderId="0" xfId="36" applyNumberFormat="1" applyFont="1" applyFill="1" applyBorder="1" applyAlignment="1" applyProtection="1">
      <alignment horizontal="center" vertical="top"/>
    </xf>
    <xf numFmtId="0" fontId="83" fillId="0" borderId="0" xfId="36" applyNumberFormat="1" applyFont="1" applyFill="1" applyBorder="1" applyAlignment="1" applyProtection="1">
      <alignment horizontal="right" vertical="top"/>
    </xf>
    <xf numFmtId="0" fontId="10" fillId="0" borderId="0" xfId="36" applyNumberFormat="1" applyFont="1" applyFill="1" applyBorder="1" applyAlignment="1" applyProtection="1">
      <alignment horizontal="center" vertical="top"/>
    </xf>
    <xf numFmtId="2" fontId="74" fillId="0" borderId="0" xfId="36" applyNumberFormat="1" applyFont="1" applyFill="1" applyBorder="1" applyAlignment="1" applyProtection="1">
      <alignment horizontal="center" vertical="top"/>
    </xf>
    <xf numFmtId="2" fontId="81" fillId="0" borderId="7" xfId="36" applyNumberFormat="1" applyFont="1" applyFill="1" applyBorder="1" applyAlignment="1" applyProtection="1">
      <alignment horizontal="center" vertical="center"/>
    </xf>
    <xf numFmtId="2" fontId="10" fillId="0" borderId="7" xfId="36" applyNumberFormat="1" applyFont="1" applyFill="1" applyBorder="1" applyAlignment="1" applyProtection="1">
      <alignment horizontal="center" vertical="center"/>
    </xf>
    <xf numFmtId="2" fontId="10" fillId="0" borderId="0" xfId="36" applyNumberFormat="1" applyFont="1" applyFill="1" applyBorder="1" applyAlignment="1" applyProtection="1">
      <alignment horizontal="center" vertical="top"/>
    </xf>
    <xf numFmtId="2" fontId="9" fillId="0" borderId="7" xfId="36" applyNumberFormat="1" applyFont="1" applyFill="1" applyBorder="1" applyAlignment="1" applyProtection="1">
      <alignment horizontal="center" vertical="center" wrapText="1"/>
    </xf>
    <xf numFmtId="2" fontId="84" fillId="0" borderId="7" xfId="36" applyNumberFormat="1" applyFont="1" applyFill="1" applyBorder="1" applyAlignment="1" applyProtection="1">
      <alignment horizontal="center" vertical="center" wrapText="1"/>
    </xf>
    <xf numFmtId="4" fontId="9" fillId="0" borderId="7" xfId="36" applyNumberFormat="1" applyFont="1" applyFill="1" applyBorder="1" applyAlignment="1" applyProtection="1">
      <alignment horizontal="center" vertical="center"/>
    </xf>
    <xf numFmtId="2" fontId="81" fillId="0" borderId="7" xfId="36" applyNumberFormat="1" applyFont="1" applyFill="1" applyBorder="1" applyAlignment="1" applyProtection="1">
      <alignment horizontal="center" vertical="center" wrapText="1"/>
    </xf>
    <xf numFmtId="4" fontId="85" fillId="0" borderId="7" xfId="36" applyNumberFormat="1" applyFont="1" applyFill="1" applyBorder="1" applyAlignment="1" applyProtection="1">
      <alignment horizontal="center" vertical="center" wrapText="1"/>
    </xf>
    <xf numFmtId="0" fontId="84" fillId="0" borderId="0" xfId="36" applyNumberFormat="1" applyFont="1" applyFill="1" applyBorder="1" applyAlignment="1" applyProtection="1">
      <alignment horizontal="center" vertical="top" wrapText="1"/>
    </xf>
    <xf numFmtId="2" fontId="84" fillId="0" borderId="0" xfId="36" applyNumberFormat="1" applyFont="1" applyFill="1" applyBorder="1" applyAlignment="1" applyProtection="1">
      <alignment horizontal="center" vertical="top" wrapText="1"/>
    </xf>
    <xf numFmtId="165" fontId="9" fillId="0" borderId="0" xfId="36" applyNumberFormat="1" applyFont="1" applyFill="1" applyBorder="1" applyAlignment="1" applyProtection="1">
      <alignment horizontal="center" vertical="top"/>
    </xf>
    <xf numFmtId="0" fontId="86" fillId="0" borderId="0" xfId="38" applyNumberFormat="1" applyFont="1" applyFill="1" applyBorder="1" applyAlignment="1" applyProtection="1">
      <alignment horizontal="left" vertical="center" wrapText="1"/>
      <protection locked="0"/>
    </xf>
    <xf numFmtId="0" fontId="84" fillId="0" borderId="0" xfId="36" applyNumberFormat="1" applyFont="1" applyFill="1" applyBorder="1" applyAlignment="1" applyProtection="1">
      <alignment horizontal="left" vertical="top" wrapText="1"/>
    </xf>
    <xf numFmtId="4" fontId="46" fillId="0" borderId="7" xfId="38" applyNumberFormat="1" applyFont="1" applyFill="1" applyBorder="1" applyAlignment="1" applyProtection="1">
      <alignment horizontal="center" vertical="center" wrapText="1"/>
      <protection locked="0"/>
    </xf>
    <xf numFmtId="4" fontId="52" fillId="0" borderId="7" xfId="35" applyNumberFormat="1" applyFont="1" applyFill="1" applyBorder="1" applyAlignment="1" applyProtection="1">
      <alignment horizontal="center" vertical="center"/>
    </xf>
    <xf numFmtId="0" fontId="88" fillId="0" borderId="0" xfId="0" applyFont="1"/>
    <xf numFmtId="4" fontId="48" fillId="0" borderId="0" xfId="0" applyNumberFormat="1" applyFont="1" applyFill="1"/>
    <xf numFmtId="0" fontId="12" fillId="0" borderId="0" xfId="39" applyNumberFormat="1" applyFont="1" applyFill="1" applyAlignment="1" applyProtection="1"/>
    <xf numFmtId="4" fontId="53" fillId="0" borderId="0" xfId="0" applyNumberFormat="1" applyFont="1" applyFill="1"/>
    <xf numFmtId="0" fontId="13" fillId="0" borderId="7" xfId="0" applyFont="1" applyFill="1" applyBorder="1" applyAlignment="1">
      <alignment horizontal="left" vertical="center" wrapText="1"/>
    </xf>
    <xf numFmtId="0" fontId="99" fillId="0" borderId="0" xfId="0" applyFont="1" applyAlignment="1">
      <alignment vertical="center"/>
    </xf>
    <xf numFmtId="2" fontId="100" fillId="0" borderId="0" xfId="0" applyNumberFormat="1" applyFont="1" applyAlignment="1">
      <alignment horizontal="center" vertical="center"/>
    </xf>
    <xf numFmtId="4" fontId="99" fillId="0" borderId="0" xfId="0" applyNumberFormat="1" applyFont="1" applyAlignment="1">
      <alignment vertical="center"/>
    </xf>
    <xf numFmtId="2" fontId="101" fillId="0" borderId="0" xfId="36" applyNumberFormat="1" applyFont="1" applyFill="1" applyBorder="1" applyAlignment="1" applyProtection="1">
      <alignment horizontal="center" vertical="top"/>
    </xf>
    <xf numFmtId="4" fontId="45" fillId="0" borderId="7" xfId="0" applyNumberFormat="1" applyFont="1" applyFill="1" applyBorder="1" applyAlignment="1">
      <alignment horizontal="center" vertical="center" wrapText="1"/>
    </xf>
    <xf numFmtId="4" fontId="45" fillId="0" borderId="15" xfId="0" applyNumberFormat="1" applyFont="1" applyFill="1" applyBorder="1" applyAlignment="1">
      <alignment horizontal="center" vertical="center" wrapText="1"/>
    </xf>
    <xf numFmtId="2" fontId="10" fillId="0" borderId="7" xfId="36" applyNumberFormat="1" applyFont="1" applyFill="1" applyBorder="1" applyAlignment="1" applyProtection="1">
      <alignment horizontal="center" vertical="center" wrapText="1"/>
    </xf>
    <xf numFmtId="4" fontId="10" fillId="0" borderId="7" xfId="36" applyNumberFormat="1" applyFont="1" applyFill="1" applyBorder="1" applyAlignment="1" applyProtection="1">
      <alignment horizontal="center" vertical="center"/>
    </xf>
    <xf numFmtId="2" fontId="84" fillId="0" borderId="7" xfId="38" applyNumberFormat="1" applyFont="1" applyFill="1" applyBorder="1" applyAlignment="1" applyProtection="1">
      <alignment horizontal="center" vertical="center" wrapText="1"/>
      <protection locked="0"/>
    </xf>
    <xf numFmtId="4" fontId="3" fillId="0" borderId="0" xfId="35" applyNumberFormat="1" applyFont="1" applyFill="1"/>
    <xf numFmtId="4" fontId="102" fillId="0" borderId="0" xfId="0" applyNumberFormat="1" applyFont="1" applyAlignment="1">
      <alignment vertical="center"/>
    </xf>
    <xf numFmtId="4" fontId="103" fillId="0" borderId="0" xfId="0" applyNumberFormat="1" applyFont="1" applyAlignment="1">
      <alignment vertical="center"/>
    </xf>
    <xf numFmtId="0" fontId="105" fillId="0" borderId="0" xfId="0" applyFont="1" applyBorder="1" applyAlignment="1">
      <alignment horizontal="left" vertical="center"/>
    </xf>
    <xf numFmtId="0" fontId="107" fillId="0" borderId="0" xfId="0" applyFont="1" applyBorder="1" applyAlignment="1">
      <alignment horizontal="left" vertical="center"/>
    </xf>
    <xf numFmtId="0" fontId="108" fillId="0" borderId="0" xfId="0" applyFont="1" applyBorder="1" applyAlignment="1">
      <alignment horizontal="left" vertical="center"/>
    </xf>
    <xf numFmtId="0" fontId="43" fillId="0" borderId="7" xfId="0" applyFont="1" applyBorder="1" applyAlignment="1">
      <alignment horizontal="center" vertical="center" wrapText="1"/>
    </xf>
    <xf numFmtId="0" fontId="109" fillId="0" borderId="0" xfId="0" applyFont="1" applyAlignment="1">
      <alignment vertical="center"/>
    </xf>
    <xf numFmtId="0" fontId="56" fillId="0" borderId="0" xfId="0" applyFont="1"/>
    <xf numFmtId="0" fontId="41" fillId="0" borderId="0" xfId="0" applyFont="1" applyAlignment="1">
      <alignment vertical="center"/>
    </xf>
    <xf numFmtId="0" fontId="36" fillId="0" borderId="0" xfId="0" applyFont="1" applyAlignment="1">
      <alignment horizontal="right" vertical="center"/>
    </xf>
    <xf numFmtId="4" fontId="109" fillId="0" borderId="0" xfId="0" applyNumberFormat="1" applyFont="1" applyAlignment="1">
      <alignment vertical="center"/>
    </xf>
    <xf numFmtId="0" fontId="3" fillId="0" borderId="0" xfId="0" applyFont="1"/>
    <xf numFmtId="0" fontId="3" fillId="0" borderId="0" xfId="0" applyFont="1" applyFill="1"/>
    <xf numFmtId="0" fontId="111" fillId="0" borderId="7" xfId="0" applyFont="1" applyFill="1" applyBorder="1" applyAlignment="1">
      <alignment horizontal="center" vertical="center" wrapText="1"/>
    </xf>
    <xf numFmtId="0" fontId="10" fillId="0" borderId="7" xfId="35" applyNumberFormat="1" applyFont="1" applyFill="1" applyBorder="1" applyAlignment="1" applyProtection="1">
      <alignment horizontal="center" vertical="center" wrapText="1"/>
    </xf>
    <xf numFmtId="0" fontId="111" fillId="0" borderId="7" xfId="0" applyFont="1" applyFill="1" applyBorder="1" applyAlignment="1">
      <alignment horizontal="center" vertical="center"/>
    </xf>
    <xf numFmtId="4" fontId="111" fillId="25" borderId="7" xfId="0" applyNumberFormat="1" applyFont="1" applyFill="1" applyBorder="1" applyAlignment="1">
      <alignment horizontal="center" vertical="center"/>
    </xf>
    <xf numFmtId="0" fontId="9" fillId="0" borderId="0" xfId="0" applyFont="1"/>
    <xf numFmtId="2" fontId="9" fillId="0" borderId="0" xfId="36" applyNumberFormat="1" applyFont="1" applyFill="1" applyBorder="1" applyAlignment="1" applyProtection="1">
      <alignment vertical="top"/>
    </xf>
    <xf numFmtId="0" fontId="3" fillId="0" borderId="0" xfId="35" applyFont="1" applyFill="1" applyBorder="1"/>
    <xf numFmtId="0" fontId="111" fillId="0" borderId="0" xfId="0" applyFont="1" applyFill="1" applyBorder="1" applyAlignment="1">
      <alignment horizontal="center" vertical="center"/>
    </xf>
    <xf numFmtId="4" fontId="111" fillId="0" borderId="0" xfId="0" applyNumberFormat="1" applyFont="1" applyFill="1" applyBorder="1" applyAlignment="1">
      <alignment horizontal="center" vertical="center"/>
    </xf>
    <xf numFmtId="4" fontId="117" fillId="0" borderId="0" xfId="0" applyNumberFormat="1" applyFont="1" applyAlignment="1">
      <alignment vertical="center"/>
    </xf>
    <xf numFmtId="0" fontId="10" fillId="0" borderId="7" xfId="37" applyFont="1" applyFill="1" applyBorder="1" applyAlignment="1">
      <alignment horizontal="justify" vertical="top" wrapText="1"/>
    </xf>
    <xf numFmtId="0" fontId="29" fillId="0" borderId="7" xfId="37" applyFont="1" applyFill="1" applyBorder="1" applyAlignment="1">
      <alignment horizontal="justify" vertical="top" wrapText="1"/>
    </xf>
    <xf numFmtId="0" fontId="13" fillId="0" borderId="7"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top" wrapText="1"/>
    </xf>
    <xf numFmtId="4" fontId="7" fillId="0" borderId="0" xfId="0" applyNumberFormat="1" applyFont="1" applyFill="1"/>
    <xf numFmtId="0" fontId="7" fillId="0" borderId="0" xfId="0" applyFont="1" applyFill="1"/>
    <xf numFmtId="0" fontId="3" fillId="27" borderId="0" xfId="35" applyFont="1" applyFill="1"/>
    <xf numFmtId="4" fontId="33" fillId="26" borderId="7" xfId="30" applyNumberFormat="1" applyFont="1" applyFill="1" applyBorder="1" applyAlignment="1">
      <alignment horizontal="center" vertical="center"/>
    </xf>
    <xf numFmtId="4" fontId="52" fillId="0" borderId="0" xfId="0" applyNumberFormat="1" applyFont="1" applyAlignment="1">
      <alignment vertical="center"/>
    </xf>
    <xf numFmtId="0" fontId="11" fillId="0" borderId="11" xfId="35" applyNumberFormat="1" applyFont="1" applyFill="1" applyBorder="1" applyAlignment="1" applyProtection="1">
      <alignment horizontal="center" vertical="center"/>
    </xf>
    <xf numFmtId="0" fontId="3" fillId="0" borderId="11" xfId="35" applyFont="1" applyFill="1" applyBorder="1" applyAlignment="1">
      <alignment horizontal="center" vertical="center"/>
    </xf>
    <xf numFmtId="0" fontId="3" fillId="0" borderId="0" xfId="35" applyFont="1" applyFill="1" applyBorder="1" applyAlignment="1">
      <alignment horizontal="center" vertical="center"/>
    </xf>
    <xf numFmtId="0" fontId="11" fillId="0" borderId="0" xfId="35" applyNumberFormat="1" applyFont="1" applyFill="1" applyBorder="1" applyAlignment="1" applyProtection="1">
      <alignment horizontal="center" vertical="center"/>
    </xf>
    <xf numFmtId="0" fontId="3" fillId="0" borderId="0" xfId="35" applyNumberFormat="1" applyFont="1" applyFill="1" applyAlignment="1" applyProtection="1">
      <alignment horizontal="center" vertical="center"/>
    </xf>
    <xf numFmtId="0" fontId="14" fillId="0" borderId="11" xfId="35" applyNumberFormat="1" applyFont="1" applyFill="1" applyBorder="1" applyAlignment="1" applyProtection="1">
      <alignment horizontal="center" vertical="center"/>
    </xf>
    <xf numFmtId="0" fontId="41" fillId="0" borderId="7" xfId="0" applyFont="1" applyBorder="1" applyAlignment="1">
      <alignment horizontal="center" vertical="center" wrapText="1"/>
    </xf>
    <xf numFmtId="0" fontId="119" fillId="0" borderId="0" xfId="35" applyFont="1" applyFill="1"/>
    <xf numFmtId="4" fontId="46" fillId="0" borderId="7" xfId="0" applyNumberFormat="1" applyFont="1" applyFill="1" applyBorder="1" applyAlignment="1">
      <alignment horizontal="center" vertical="center" wrapText="1"/>
    </xf>
    <xf numFmtId="4" fontId="87" fillId="0" borderId="0" xfId="0" applyNumberFormat="1" applyFont="1" applyAlignment="1">
      <alignment horizontal="left" vertical="center"/>
    </xf>
    <xf numFmtId="4" fontId="47" fillId="0" borderId="7"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7" fillId="29" borderId="7" xfId="0" applyNumberFormat="1" applyFont="1" applyFill="1" applyBorder="1" applyAlignment="1">
      <alignment horizontal="center" vertical="center" wrapText="1"/>
    </xf>
    <xf numFmtId="4" fontId="44" fillId="29" borderId="7" xfId="0" applyNumberFormat="1" applyFont="1" applyFill="1" applyBorder="1" applyAlignment="1">
      <alignment horizontal="center" vertical="center" wrapText="1"/>
    </xf>
    <xf numFmtId="4" fontId="47" fillId="29" borderId="7" xfId="0" applyNumberFormat="1" applyFont="1" applyFill="1" applyBorder="1" applyAlignment="1">
      <alignment horizontal="center" vertical="center"/>
    </xf>
    <xf numFmtId="4" fontId="44" fillId="29" borderId="7" xfId="38" applyNumberFormat="1" applyFont="1" applyFill="1" applyBorder="1" applyAlignment="1" applyProtection="1">
      <alignment horizontal="center" vertical="center" wrapText="1"/>
      <protection locked="0"/>
    </xf>
    <xf numFmtId="4" fontId="47" fillId="29" borderId="7" xfId="38" applyNumberFormat="1" applyFont="1" applyFill="1" applyBorder="1" applyAlignment="1" applyProtection="1">
      <alignment horizontal="center" vertical="center" wrapText="1"/>
      <protection locked="0"/>
    </xf>
    <xf numFmtId="4" fontId="44" fillId="0" borderId="7" xfId="38" applyNumberFormat="1" applyFont="1" applyFill="1" applyBorder="1" applyAlignment="1" applyProtection="1">
      <alignment horizontal="center" vertical="center" wrapText="1"/>
      <protection locked="0"/>
    </xf>
    <xf numFmtId="4" fontId="44" fillId="30" borderId="7" xfId="0" applyNumberFormat="1" applyFont="1" applyFill="1" applyBorder="1" applyAlignment="1">
      <alignment horizontal="center" vertical="center"/>
    </xf>
    <xf numFmtId="4" fontId="47" fillId="30" borderId="7" xfId="0" applyNumberFormat="1" applyFont="1" applyFill="1" applyBorder="1" applyAlignment="1">
      <alignment horizontal="center" vertical="center"/>
    </xf>
    <xf numFmtId="0" fontId="29" fillId="30" borderId="7" xfId="35" applyFont="1" applyFill="1" applyBorder="1" applyAlignment="1">
      <alignment horizontal="center" vertical="center" wrapText="1"/>
    </xf>
    <xf numFmtId="49" fontId="29" fillId="30" borderId="7" xfId="35" applyNumberFormat="1" applyFont="1" applyFill="1" applyBorder="1" applyAlignment="1">
      <alignment horizontal="center" vertical="center" wrapText="1"/>
    </xf>
    <xf numFmtId="0" fontId="30" fillId="30" borderId="7" xfId="35" applyFont="1" applyFill="1" applyBorder="1" applyAlignment="1">
      <alignment horizontal="center" vertical="center" wrapText="1"/>
    </xf>
    <xf numFmtId="4" fontId="30" fillId="30" borderId="7" xfId="35" applyNumberFormat="1" applyFont="1" applyFill="1" applyBorder="1" applyAlignment="1" applyProtection="1">
      <alignment horizontal="center" vertical="center"/>
    </xf>
    <xf numFmtId="164" fontId="32" fillId="30" borderId="7" xfId="35" applyNumberFormat="1" applyFont="1" applyFill="1" applyBorder="1" applyAlignment="1">
      <alignment horizontal="center" vertical="center"/>
    </xf>
    <xf numFmtId="4" fontId="31" fillId="30" borderId="7" xfId="35" applyNumberFormat="1" applyFont="1" applyFill="1" applyBorder="1" applyAlignment="1">
      <alignment horizontal="center" vertical="center"/>
    </xf>
    <xf numFmtId="2" fontId="74" fillId="30" borderId="7" xfId="36" applyNumberFormat="1" applyFont="1" applyFill="1" applyBorder="1" applyAlignment="1" applyProtection="1">
      <alignment horizontal="center" vertical="center" wrapText="1"/>
    </xf>
    <xf numFmtId="2" fontId="10" fillId="30" borderId="7" xfId="36" applyNumberFormat="1" applyFont="1" applyFill="1" applyBorder="1" applyAlignment="1" applyProtection="1">
      <alignment horizontal="center" vertical="center"/>
    </xf>
    <xf numFmtId="4" fontId="85" fillId="30" borderId="7" xfId="36" applyNumberFormat="1" applyFont="1" applyFill="1" applyBorder="1" applyAlignment="1" applyProtection="1">
      <alignment horizontal="center" vertical="center"/>
    </xf>
    <xf numFmtId="2" fontId="9" fillId="30" borderId="7" xfId="36" applyNumberFormat="1" applyFont="1" applyFill="1" applyBorder="1" applyAlignment="1" applyProtection="1">
      <alignment horizontal="center" vertical="center" wrapText="1"/>
    </xf>
    <xf numFmtId="2" fontId="81" fillId="30" borderId="7" xfId="36" applyNumberFormat="1" applyFont="1" applyFill="1" applyBorder="1" applyAlignment="1" applyProtection="1">
      <alignment horizontal="center" vertical="center" wrapText="1"/>
    </xf>
    <xf numFmtId="4" fontId="85" fillId="30" borderId="7" xfId="36" applyNumberFormat="1" applyFont="1" applyFill="1" applyBorder="1" applyAlignment="1" applyProtection="1">
      <alignment horizontal="center" vertical="center" wrapText="1"/>
    </xf>
    <xf numFmtId="4" fontId="111" fillId="30" borderId="7" xfId="0" applyNumberFormat="1" applyFont="1" applyFill="1" applyBorder="1" applyAlignment="1">
      <alignment horizontal="center" vertical="center"/>
    </xf>
    <xf numFmtId="164" fontId="34" fillId="30" borderId="7" xfId="35" applyNumberFormat="1" applyFont="1" applyFill="1" applyBorder="1" applyAlignment="1">
      <alignment vertical="justify"/>
    </xf>
    <xf numFmtId="4" fontId="31" fillId="30" borderId="7" xfId="30" applyNumberFormat="1" applyFont="1" applyFill="1" applyBorder="1" applyAlignment="1">
      <alignment horizontal="center" vertical="center"/>
    </xf>
    <xf numFmtId="0" fontId="42" fillId="0" borderId="0" xfId="0" applyFont="1" applyAlignment="1">
      <alignment horizontal="right" vertical="center"/>
    </xf>
    <xf numFmtId="4" fontId="42" fillId="0" borderId="0" xfId="0" applyNumberFormat="1" applyFont="1" applyFill="1" applyAlignment="1">
      <alignment horizontal="left" vertical="center"/>
    </xf>
    <xf numFmtId="4" fontId="45" fillId="0" borderId="7" xfId="38" applyNumberFormat="1" applyFont="1" applyFill="1" applyBorder="1" applyAlignment="1" applyProtection="1">
      <alignment horizontal="center" vertical="center" wrapText="1"/>
    </xf>
    <xf numFmtId="4" fontId="47" fillId="0" borderId="7" xfId="38" applyNumberFormat="1" applyFont="1" applyFill="1" applyBorder="1" applyAlignment="1" applyProtection="1">
      <alignment horizontal="center" vertical="center" wrapText="1"/>
    </xf>
    <xf numFmtId="49" fontId="42"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xf>
    <xf numFmtId="49" fontId="42" fillId="0" borderId="8" xfId="0" applyNumberFormat="1" applyFont="1" applyFill="1" applyBorder="1" applyAlignment="1">
      <alignment horizontal="center" vertical="center" wrapText="1"/>
    </xf>
    <xf numFmtId="0" fontId="42" fillId="0" borderId="8" xfId="38" applyNumberFormat="1" applyFont="1" applyFill="1" applyBorder="1" applyAlignment="1" applyProtection="1">
      <alignment horizontal="center" vertical="center" wrapText="1"/>
      <protection locked="0"/>
    </xf>
    <xf numFmtId="0" fontId="41" fillId="0" borderId="8" xfId="38" applyNumberFormat="1" applyFont="1" applyFill="1" applyBorder="1" applyAlignment="1" applyProtection="1">
      <alignment horizontal="center" vertical="center" wrapText="1"/>
      <protection locked="0"/>
    </xf>
    <xf numFmtId="0" fontId="41" fillId="0" borderId="9" xfId="38" applyNumberFormat="1" applyFont="1" applyFill="1" applyBorder="1" applyAlignment="1" applyProtection="1">
      <alignment horizontal="center" vertical="center" wrapText="1"/>
      <protection locked="0"/>
    </xf>
    <xf numFmtId="49" fontId="43" fillId="29" borderId="7" xfId="0" applyNumberFormat="1" applyFont="1" applyFill="1" applyBorder="1" applyAlignment="1">
      <alignment horizontal="center" vertical="center" wrapText="1"/>
    </xf>
    <xf numFmtId="0" fontId="43" fillId="29" borderId="7" xfId="38" applyNumberFormat="1" applyFont="1" applyFill="1" applyBorder="1" applyAlignment="1" applyProtection="1">
      <alignment horizontal="center" vertical="center" wrapText="1"/>
      <protection locked="0"/>
    </xf>
    <xf numFmtId="4" fontId="44" fillId="29" borderId="7" xfId="0" applyNumberFormat="1" applyFont="1" applyFill="1" applyBorder="1" applyAlignment="1">
      <alignment horizontal="center" vertical="center"/>
    </xf>
    <xf numFmtId="49" fontId="40" fillId="29" borderId="7" xfId="0" applyNumberFormat="1" applyFont="1" applyFill="1" applyBorder="1" applyAlignment="1">
      <alignment horizontal="center" vertical="center" wrapText="1"/>
    </xf>
    <xf numFmtId="0" fontId="40" fillId="29" borderId="7" xfId="38" applyNumberFormat="1" applyFont="1" applyFill="1" applyBorder="1" applyAlignment="1" applyProtection="1">
      <alignment horizontal="center" vertical="center" wrapText="1"/>
      <protection locked="0"/>
    </xf>
    <xf numFmtId="49" fontId="51" fillId="29" borderId="7" xfId="0" applyNumberFormat="1" applyFont="1" applyFill="1" applyBorder="1" applyAlignment="1">
      <alignment horizontal="center" vertical="center" wrapText="1"/>
    </xf>
    <xf numFmtId="0" fontId="51" fillId="29" borderId="7" xfId="38" applyNumberFormat="1" applyFont="1" applyFill="1" applyBorder="1" applyAlignment="1" applyProtection="1">
      <alignment horizontal="center" vertical="center" wrapText="1"/>
      <protection locked="0"/>
    </xf>
    <xf numFmtId="0" fontId="30" fillId="29" borderId="7" xfId="35" applyFont="1" applyFill="1" applyBorder="1" applyAlignment="1">
      <alignment horizontal="center" vertical="center" wrapText="1"/>
    </xf>
    <xf numFmtId="4" fontId="51" fillId="29" borderId="7" xfId="35" applyNumberFormat="1" applyFont="1" applyFill="1" applyBorder="1" applyAlignment="1">
      <alignment horizontal="center" vertical="center" wrapText="1"/>
    </xf>
    <xf numFmtId="49" fontId="30" fillId="29" borderId="7" xfId="0" applyNumberFormat="1" applyFont="1" applyFill="1" applyBorder="1" applyAlignment="1">
      <alignment horizontal="center" vertical="center" wrapText="1"/>
    </xf>
    <xf numFmtId="0" fontId="30" fillId="29" borderId="7" xfId="38" applyNumberFormat="1" applyFont="1" applyFill="1" applyBorder="1" applyAlignment="1" applyProtection="1">
      <alignment horizontal="center" vertical="center" wrapText="1"/>
      <protection locked="0"/>
    </xf>
    <xf numFmtId="4" fontId="30" fillId="29" borderId="7" xfId="35"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49" fontId="41" fillId="0" borderId="8" xfId="0"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 fontId="44" fillId="0" borderId="7" xfId="0" applyNumberFormat="1" applyFont="1" applyFill="1" applyBorder="1" applyAlignment="1">
      <alignment horizontal="center" vertical="center" wrapText="1"/>
    </xf>
    <xf numFmtId="0" fontId="41" fillId="0" borderId="7" xfId="38" applyNumberFormat="1" applyFont="1" applyFill="1" applyBorder="1" applyAlignment="1" applyProtection="1">
      <alignment horizontal="center" vertical="center" wrapText="1"/>
      <protection locked="0"/>
    </xf>
    <xf numFmtId="49" fontId="40" fillId="29" borderId="7" xfId="0" applyNumberFormat="1" applyFont="1" applyFill="1" applyBorder="1" applyAlignment="1">
      <alignment horizontal="center" vertical="center"/>
    </xf>
    <xf numFmtId="49" fontId="42" fillId="29" borderId="7" xfId="0" applyNumberFormat="1" applyFont="1" applyFill="1" applyBorder="1" applyAlignment="1">
      <alignment horizontal="center" vertical="center"/>
    </xf>
    <xf numFmtId="0" fontId="41" fillId="0" borderId="8" xfId="0" applyFont="1" applyFill="1" applyBorder="1" applyAlignment="1">
      <alignment horizontal="center" vertical="center" wrapText="1"/>
    </xf>
    <xf numFmtId="49" fontId="41" fillId="0" borderId="16" xfId="0" applyNumberFormat="1"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0" xfId="0" applyFont="1" applyFill="1" applyAlignment="1">
      <alignment horizontal="center" vertical="center" wrapText="1"/>
    </xf>
    <xf numFmtId="0" fontId="42" fillId="0" borderId="13" xfId="0" applyNumberFormat="1" applyFont="1" applyFill="1" applyBorder="1" applyAlignment="1">
      <alignment horizontal="center" vertical="center" wrapText="1"/>
    </xf>
    <xf numFmtId="0" fontId="41" fillId="0" borderId="8" xfId="0" applyFont="1" applyFill="1" applyBorder="1" applyAlignment="1" applyProtection="1">
      <alignment horizontal="center" vertical="center" wrapText="1"/>
    </xf>
    <xf numFmtId="49" fontId="42" fillId="0" borderId="13"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2" fillId="0" borderId="7" xfId="38" applyNumberFormat="1" applyFont="1" applyFill="1" applyBorder="1" applyAlignment="1" applyProtection="1">
      <alignment horizontal="center" vertical="center" wrapText="1"/>
      <protection locked="0"/>
    </xf>
    <xf numFmtId="49" fontId="41" fillId="0" borderId="0" xfId="0" applyNumberFormat="1" applyFont="1" applyFill="1" applyBorder="1" applyAlignment="1">
      <alignment horizontal="center" vertical="center" wrapText="1"/>
    </xf>
    <xf numFmtId="4" fontId="44" fillId="28" borderId="0" xfId="0" applyNumberFormat="1" applyFont="1" applyFill="1" applyBorder="1" applyAlignment="1">
      <alignment horizontal="center" vertical="center" wrapText="1"/>
    </xf>
    <xf numFmtId="0" fontId="0" fillId="0" borderId="0" xfId="0" applyBorder="1"/>
    <xf numFmtId="49" fontId="30" fillId="29" borderId="7" xfId="0" applyNumberFormat="1" applyFont="1" applyFill="1" applyBorder="1" applyAlignment="1">
      <alignment horizontal="center" vertical="center"/>
    </xf>
    <xf numFmtId="49" fontId="29" fillId="29" borderId="7" xfId="0" applyNumberFormat="1" applyFont="1" applyFill="1" applyBorder="1" applyAlignment="1">
      <alignment horizontal="center" vertical="center"/>
    </xf>
    <xf numFmtId="164" fontId="39" fillId="29" borderId="7" xfId="30" applyNumberFormat="1" applyFont="1" applyFill="1" applyBorder="1" applyAlignment="1">
      <alignment horizontal="center" vertical="center"/>
    </xf>
    <xf numFmtId="4" fontId="33" fillId="29" borderId="7" xfId="30" applyNumberFormat="1" applyFont="1" applyFill="1" applyBorder="1" applyAlignment="1">
      <alignment horizontal="center" vertical="center"/>
    </xf>
    <xf numFmtId="4" fontId="31" fillId="29" borderId="7" xfId="30" applyNumberFormat="1" applyFont="1" applyFill="1" applyBorder="1" applyAlignment="1">
      <alignment horizontal="center" vertical="center"/>
    </xf>
    <xf numFmtId="49" fontId="29" fillId="29" borderId="7" xfId="35" applyNumberFormat="1" applyFont="1" applyFill="1" applyBorder="1" applyAlignment="1">
      <alignment horizontal="center" vertical="center" wrapText="1"/>
    </xf>
    <xf numFmtId="164" fontId="15" fillId="29" borderId="7" xfId="30" applyNumberFormat="1" applyFont="1" applyFill="1" applyBorder="1" applyAlignment="1">
      <alignment horizontal="center" vertical="center"/>
    </xf>
    <xf numFmtId="49" fontId="30" fillId="29" borderId="7" xfId="35" applyNumberFormat="1" applyFont="1" applyFill="1" applyBorder="1" applyAlignment="1">
      <alignment horizontal="center" vertical="center" wrapText="1"/>
    </xf>
    <xf numFmtId="49" fontId="42" fillId="0" borderId="0" xfId="0" applyNumberFormat="1" applyFont="1" applyFill="1" applyBorder="1" applyAlignment="1">
      <alignment horizontal="center" vertical="top" wrapText="1"/>
    </xf>
    <xf numFmtId="0" fontId="43" fillId="29" borderId="7" xfId="0" applyFont="1" applyFill="1" applyBorder="1" applyAlignment="1">
      <alignment horizontal="center" vertical="center" wrapText="1"/>
    </xf>
    <xf numFmtId="0" fontId="40" fillId="29" borderId="7" xfId="0" applyFont="1" applyFill="1" applyBorder="1" applyAlignment="1">
      <alignment horizontal="center" vertical="center" wrapText="1"/>
    </xf>
    <xf numFmtId="4" fontId="46" fillId="0" borderId="7" xfId="38" applyNumberFormat="1" applyFont="1" applyFill="1" applyBorder="1" applyAlignment="1" applyProtection="1">
      <alignment horizontal="center" vertical="center" wrapText="1"/>
    </xf>
    <xf numFmtId="4" fontId="44" fillId="28" borderId="0" xfId="0" applyNumberFormat="1" applyFont="1" applyFill="1" applyBorder="1" applyAlignment="1">
      <alignment horizontal="left" vertical="center" wrapText="1"/>
    </xf>
    <xf numFmtId="0" fontId="51" fillId="29" borderId="7" xfId="0" applyFont="1" applyFill="1" applyBorder="1" applyAlignment="1">
      <alignment horizontal="center" vertical="center" wrapText="1"/>
    </xf>
    <xf numFmtId="0" fontId="30" fillId="29" borderId="7" xfId="0" applyFont="1" applyFill="1" applyBorder="1" applyAlignment="1">
      <alignment horizontal="center" vertical="center" wrapText="1"/>
    </xf>
    <xf numFmtId="4" fontId="47" fillId="0" borderId="7" xfId="38" applyNumberFormat="1" applyFont="1" applyFill="1" applyBorder="1" applyAlignment="1" applyProtection="1">
      <alignment horizontal="center" vertical="center" wrapText="1"/>
      <protection locked="0"/>
    </xf>
    <xf numFmtId="49" fontId="41" fillId="0" borderId="7" xfId="0" applyNumberFormat="1" applyFont="1" applyFill="1" applyBorder="1" applyAlignment="1">
      <alignment horizontal="center" vertical="center"/>
    </xf>
    <xf numFmtId="164" fontId="32" fillId="29" borderId="7" xfId="30" applyNumberFormat="1" applyFont="1" applyFill="1" applyBorder="1" applyAlignment="1">
      <alignment horizontal="center" vertical="center"/>
    </xf>
    <xf numFmtId="4" fontId="51" fillId="29" borderId="7" xfId="0" applyNumberFormat="1" applyFont="1" applyFill="1" applyBorder="1" applyAlignment="1">
      <alignment horizontal="center" vertical="center" wrapText="1"/>
    </xf>
    <xf numFmtId="4" fontId="30" fillId="29" borderId="7" xfId="0" applyNumberFormat="1" applyFont="1" applyFill="1" applyBorder="1" applyAlignment="1">
      <alignment horizontal="center" vertical="center" wrapText="1"/>
    </xf>
    <xf numFmtId="166" fontId="46" fillId="0" borderId="7" xfId="0" applyNumberFormat="1" applyFont="1" applyFill="1" applyBorder="1" applyAlignment="1">
      <alignment horizontal="center" vertical="center" wrapText="1"/>
    </xf>
    <xf numFmtId="0" fontId="3" fillId="29" borderId="0" xfId="35" applyFont="1" applyFill="1"/>
    <xf numFmtId="0" fontId="42" fillId="0" borderId="7" xfId="0" applyFont="1" applyFill="1" applyBorder="1" applyAlignment="1">
      <alignment horizontal="center" vertical="center" wrapText="1"/>
    </xf>
    <xf numFmtId="49" fontId="42" fillId="31" borderId="7" xfId="0" applyNumberFormat="1" applyFont="1" applyFill="1" applyBorder="1" applyAlignment="1">
      <alignment horizontal="center" vertical="center" wrapText="1"/>
    </xf>
    <xf numFmtId="4" fontId="44" fillId="31" borderId="7" xfId="0" applyNumberFormat="1" applyFont="1" applyFill="1" applyBorder="1" applyAlignment="1">
      <alignment horizontal="center" vertical="center" wrapText="1"/>
    </xf>
    <xf numFmtId="4" fontId="45" fillId="31" borderId="7" xfId="0" applyNumberFormat="1" applyFont="1" applyFill="1" applyBorder="1" applyAlignment="1">
      <alignment horizontal="center" vertical="center" wrapText="1"/>
    </xf>
    <xf numFmtId="4" fontId="46" fillId="31" borderId="7" xfId="0" applyNumberFormat="1" applyFont="1" applyFill="1" applyBorder="1" applyAlignment="1">
      <alignment horizontal="center" vertical="center" wrapText="1"/>
    </xf>
    <xf numFmtId="49" fontId="42" fillId="31" borderId="7" xfId="0" applyNumberFormat="1" applyFont="1" applyFill="1" applyBorder="1" applyAlignment="1">
      <alignment horizontal="center" vertical="center"/>
    </xf>
    <xf numFmtId="49" fontId="29" fillId="31" borderId="7" xfId="0" applyNumberFormat="1" applyFont="1" applyFill="1" applyBorder="1" applyAlignment="1">
      <alignment horizontal="center" vertical="center" wrapText="1"/>
    </xf>
    <xf numFmtId="164" fontId="32" fillId="31" borderId="7" xfId="30" applyNumberFormat="1" applyFont="1" applyFill="1" applyBorder="1" applyAlignment="1">
      <alignment horizontal="center" vertical="center"/>
    </xf>
    <xf numFmtId="0" fontId="30" fillId="31" borderId="7" xfId="35" applyFont="1" applyFill="1" applyBorder="1" applyAlignment="1">
      <alignment horizontal="center" vertical="center" wrapText="1"/>
    </xf>
    <xf numFmtId="4" fontId="29" fillId="31" borderId="7" xfId="0" applyNumberFormat="1" applyFont="1" applyFill="1" applyBorder="1" applyAlignment="1">
      <alignment horizontal="center" vertical="center" wrapText="1"/>
    </xf>
    <xf numFmtId="49" fontId="29" fillId="31" borderId="7" xfId="0" applyNumberFormat="1" applyFont="1" applyFill="1" applyBorder="1" applyAlignment="1">
      <alignment horizontal="center" vertical="center"/>
    </xf>
    <xf numFmtId="164" fontId="32" fillId="31" borderId="7" xfId="30" applyNumberFormat="1" applyFont="1" applyFill="1" applyBorder="1" applyAlignment="1">
      <alignment horizontal="center" vertical="center" wrapText="1"/>
    </xf>
    <xf numFmtId="164" fontId="29" fillId="31" borderId="7" xfId="0" applyNumberFormat="1" applyFont="1" applyFill="1" applyBorder="1" applyAlignment="1">
      <alignment horizontal="center" vertical="center" wrapText="1"/>
    </xf>
    <xf numFmtId="164" fontId="39" fillId="31" borderId="7" xfId="30" applyNumberFormat="1" applyFont="1" applyFill="1" applyBorder="1" applyAlignment="1">
      <alignment horizontal="center" vertical="center"/>
    </xf>
    <xf numFmtId="4" fontId="32" fillId="31" borderId="7" xfId="30" applyNumberFormat="1" applyFont="1" applyFill="1" applyBorder="1" applyAlignment="1">
      <alignment horizontal="center" vertical="center"/>
    </xf>
    <xf numFmtId="0" fontId="29" fillId="31" borderId="7" xfId="40" applyFont="1" applyFill="1" applyBorder="1" applyAlignment="1">
      <alignment horizontal="center" vertical="center" wrapText="1"/>
    </xf>
    <xf numFmtId="0" fontId="51" fillId="0" borderId="7" xfId="39" applyNumberFormat="1" applyFont="1" applyFill="1" applyBorder="1" applyAlignment="1" applyProtection="1">
      <alignment horizontal="center" vertical="center" wrapText="1"/>
    </xf>
    <xf numFmtId="0" fontId="69" fillId="0" borderId="7" xfId="39" applyNumberFormat="1" applyFont="1" applyFill="1" applyBorder="1" applyAlignment="1" applyProtection="1">
      <alignment vertical="center" wrapText="1"/>
    </xf>
    <xf numFmtId="0" fontId="51" fillId="0" borderId="0" xfId="39" applyNumberFormat="1" applyFont="1" applyFill="1" applyBorder="1" applyAlignment="1" applyProtection="1">
      <alignment wrapText="1"/>
    </xf>
    <xf numFmtId="0" fontId="51" fillId="0" borderId="0" xfId="39" applyNumberFormat="1" applyFont="1" applyFill="1" applyAlignment="1" applyProtection="1">
      <alignment wrapText="1"/>
    </xf>
    <xf numFmtId="0" fontId="51" fillId="0" borderId="0" xfId="39" applyFont="1" applyFill="1" applyAlignment="1">
      <alignment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0" fontId="121" fillId="0" borderId="0" xfId="0" applyFont="1"/>
    <xf numFmtId="0" fontId="103" fillId="0" borderId="0" xfId="0" applyFont="1"/>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xf>
    <xf numFmtId="0" fontId="30" fillId="0" borderId="7" xfId="35"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4" fontId="32" fillId="0" borderId="7" xfId="30" applyNumberFormat="1" applyFont="1" applyFill="1" applyBorder="1" applyAlignment="1">
      <alignment horizontal="center" vertical="center"/>
    </xf>
    <xf numFmtId="49" fontId="29" fillId="0" borderId="8"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55" fillId="0" borderId="7" xfId="30" applyNumberFormat="1" applyFont="1" applyFill="1" applyBorder="1" applyAlignment="1">
      <alignment horizontal="center" vertical="center"/>
    </xf>
    <xf numFmtId="4" fontId="3" fillId="0" borderId="0" xfId="35" applyNumberFormat="1" applyFont="1" applyFill="1" applyAlignment="1">
      <alignment wrapText="1"/>
    </xf>
    <xf numFmtId="49" fontId="52" fillId="0" borderId="7" xfId="0" applyNumberFormat="1" applyFont="1" applyFill="1" applyBorder="1" applyAlignment="1">
      <alignment horizontal="center" vertical="center" wrapText="1"/>
    </xf>
    <xf numFmtId="164" fontId="55" fillId="0" borderId="7" xfId="30" applyNumberFormat="1" applyFont="1" applyFill="1" applyBorder="1" applyAlignment="1">
      <alignment horizontal="center" vertical="center"/>
    </xf>
    <xf numFmtId="0" fontId="51" fillId="0" borderId="7" xfId="35"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164" fontId="39" fillId="0" borderId="7" xfId="30" applyNumberFormat="1" applyFont="1" applyFill="1" applyBorder="1" applyAlignment="1">
      <alignment horizontal="center" vertical="center"/>
    </xf>
    <xf numFmtId="164" fontId="58" fillId="0" borderId="7" xfId="30" applyNumberFormat="1" applyFont="1" applyFill="1" applyBorder="1" applyAlignment="1">
      <alignment horizontal="center" vertical="center"/>
    </xf>
    <xf numFmtId="164" fontId="3" fillId="0" borderId="7" xfId="30" applyNumberFormat="1" applyFont="1" applyFill="1" applyBorder="1" applyAlignment="1">
      <alignment horizontal="center" vertical="center"/>
    </xf>
    <xf numFmtId="164" fontId="119" fillId="0" borderId="7" xfId="30" applyNumberFormat="1" applyFont="1" applyFill="1" applyBorder="1" applyAlignment="1">
      <alignment horizontal="center" vertical="center"/>
    </xf>
    <xf numFmtId="164" fontId="55" fillId="0" borderId="7" xfId="30" applyNumberFormat="1" applyFont="1" applyFill="1" applyBorder="1" applyAlignment="1">
      <alignment horizontal="center" vertical="center" wrapText="1"/>
    </xf>
    <xf numFmtId="164" fontId="52"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xf>
    <xf numFmtId="49" fontId="29" fillId="0" borderId="7" xfId="0" applyNumberFormat="1" applyFont="1" applyFill="1" applyBorder="1" applyAlignment="1">
      <alignment horizontal="center" vertical="center"/>
    </xf>
    <xf numFmtId="4" fontId="3" fillId="0" borderId="7" xfId="35" applyNumberFormat="1" applyFont="1" applyFill="1" applyBorder="1" applyAlignment="1">
      <alignment horizontal="center" vertical="center"/>
    </xf>
    <xf numFmtId="49" fontId="29" fillId="0" borderId="7" xfId="35" applyNumberFormat="1" applyFont="1" applyFill="1" applyBorder="1" applyAlignment="1">
      <alignment horizontal="center" vertical="center" wrapText="1"/>
    </xf>
    <xf numFmtId="0" fontId="29" fillId="0" borderId="7" xfId="35" applyFont="1" applyFill="1" applyBorder="1" applyAlignment="1">
      <alignment horizontal="center" vertical="center" wrapText="1"/>
    </xf>
    <xf numFmtId="49" fontId="52" fillId="0" borderId="7" xfId="35" applyNumberFormat="1" applyFont="1" applyFill="1" applyBorder="1" applyAlignment="1">
      <alignment horizontal="center" vertical="center" wrapText="1"/>
    </xf>
    <xf numFmtId="0" fontId="52" fillId="0" borderId="7" xfId="35" applyFont="1" applyFill="1" applyBorder="1" applyAlignment="1">
      <alignment horizontal="center" vertical="center" wrapText="1"/>
    </xf>
    <xf numFmtId="164" fontId="33" fillId="29" borderId="7" xfId="30" applyNumberFormat="1" applyFont="1" applyFill="1" applyBorder="1" applyAlignment="1">
      <alignment horizontal="center" vertical="center"/>
    </xf>
    <xf numFmtId="164" fontId="31" fillId="29" borderId="7" xfId="30" applyNumberFormat="1" applyFont="1" applyFill="1" applyBorder="1" applyAlignment="1">
      <alignment horizontal="center" vertical="center"/>
    </xf>
    <xf numFmtId="164" fontId="32" fillId="29" borderId="7" xfId="3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52" fillId="0" borderId="8"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164" fontId="29" fillId="0" borderId="7" xfId="30" applyNumberFormat="1" applyFont="1" applyFill="1" applyBorder="1" applyAlignment="1">
      <alignment horizontal="center" vertical="center" wrapText="1"/>
    </xf>
    <xf numFmtId="164" fontId="29" fillId="0" borderId="7" xfId="30" applyNumberFormat="1" applyFont="1" applyFill="1" applyBorder="1" applyAlignment="1">
      <alignment horizontal="center" vertical="center"/>
    </xf>
    <xf numFmtId="4" fontId="29" fillId="0" borderId="7" xfId="30" applyNumberFormat="1" applyFont="1" applyFill="1" applyBorder="1" applyAlignment="1">
      <alignment horizontal="center" vertical="center"/>
    </xf>
    <xf numFmtId="0" fontId="29" fillId="0" borderId="7" xfId="40" applyFont="1" applyFill="1" applyBorder="1" applyAlignment="1">
      <alignment horizontal="center" vertical="center" wrapText="1"/>
    </xf>
    <xf numFmtId="0" fontId="112" fillId="0" borderId="7" xfId="0" applyFont="1" applyFill="1" applyBorder="1" applyAlignment="1">
      <alignment horizontal="center" vertical="center"/>
    </xf>
    <xf numFmtId="49" fontId="35" fillId="0" borderId="7" xfId="0" applyNumberFormat="1" applyFont="1" applyFill="1" applyBorder="1" applyAlignment="1">
      <alignment horizontal="center" vertical="center" wrapText="1"/>
    </xf>
    <xf numFmtId="0" fontId="112" fillId="0" borderId="7" xfId="0" applyFont="1" applyFill="1" applyBorder="1" applyAlignment="1">
      <alignment horizontal="left" vertical="center" wrapText="1"/>
    </xf>
    <xf numFmtId="4" fontId="112" fillId="0" borderId="7"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49" fontId="51" fillId="29" borderId="8" xfId="0" applyNumberFormat="1" applyFont="1" applyFill="1" applyBorder="1" applyAlignment="1">
      <alignment horizontal="center" vertical="center" wrapText="1"/>
    </xf>
    <xf numFmtId="164" fontId="55" fillId="29" borderId="8" xfId="30" applyNumberFormat="1" applyFont="1" applyFill="1" applyBorder="1" applyAlignment="1">
      <alignment horizontal="center" vertical="center" wrapText="1"/>
    </xf>
    <xf numFmtId="4" fontId="51" fillId="29" borderId="8" xfId="0" applyNumberFormat="1" applyFont="1" applyFill="1" applyBorder="1" applyAlignment="1">
      <alignment horizontal="center" vertical="center" wrapText="1"/>
    </xf>
    <xf numFmtId="4" fontId="33" fillId="29" borderId="8" xfId="30" applyNumberFormat="1" applyFont="1" applyFill="1" applyBorder="1" applyAlignment="1">
      <alignment horizontal="center" vertical="center"/>
    </xf>
    <xf numFmtId="164" fontId="55" fillId="29" borderId="7" xfId="30" applyNumberFormat="1" applyFont="1" applyFill="1" applyBorder="1" applyAlignment="1">
      <alignment horizontal="center" vertical="center" wrapText="1"/>
    </xf>
    <xf numFmtId="49" fontId="43" fillId="32" borderId="7" xfId="0" applyNumberFormat="1" applyFont="1" applyFill="1" applyBorder="1" applyAlignment="1">
      <alignment horizontal="center" vertical="center" wrapText="1"/>
    </xf>
    <xf numFmtId="0" fontId="43" fillId="32" borderId="7" xfId="38" applyNumberFormat="1" applyFont="1" applyFill="1" applyBorder="1" applyAlignment="1" applyProtection="1">
      <alignment horizontal="center" vertical="center" wrapText="1"/>
      <protection locked="0"/>
    </xf>
    <xf numFmtId="4" fontId="47" fillId="32" borderId="7" xfId="0" applyNumberFormat="1" applyFont="1" applyFill="1" applyBorder="1" applyAlignment="1">
      <alignment horizontal="center" vertical="center"/>
    </xf>
    <xf numFmtId="4" fontId="44" fillId="32" borderId="7" xfId="0" applyNumberFormat="1" applyFont="1" applyFill="1" applyBorder="1" applyAlignment="1">
      <alignment horizontal="center" vertical="center"/>
    </xf>
    <xf numFmtId="49" fontId="40" fillId="32" borderId="7" xfId="0" applyNumberFormat="1" applyFont="1" applyFill="1" applyBorder="1" applyAlignment="1">
      <alignment horizontal="center" vertical="center" wrapText="1"/>
    </xf>
    <xf numFmtId="0" fontId="40" fillId="32" borderId="7" xfId="38" applyNumberFormat="1" applyFont="1" applyFill="1" applyBorder="1" applyAlignment="1" applyProtection="1">
      <alignment horizontal="center" vertical="center" wrapText="1"/>
      <protection locked="0"/>
    </xf>
    <xf numFmtId="4" fontId="44" fillId="32" borderId="7" xfId="0" applyNumberFormat="1" applyFont="1" applyFill="1" applyBorder="1" applyAlignment="1">
      <alignment horizontal="center" vertical="center" wrapText="1"/>
    </xf>
    <xf numFmtId="4" fontId="47" fillId="32" borderId="7" xfId="0" applyNumberFormat="1" applyFont="1" applyFill="1" applyBorder="1" applyAlignment="1">
      <alignment horizontal="center" vertical="center" wrapText="1"/>
    </xf>
    <xf numFmtId="4" fontId="44" fillId="32" borderId="7" xfId="38" applyNumberFormat="1" applyFont="1" applyFill="1" applyBorder="1" applyAlignment="1" applyProtection="1">
      <alignment horizontal="center" vertical="center" wrapText="1"/>
      <protection locked="0"/>
    </xf>
    <xf numFmtId="49" fontId="40" fillId="32" borderId="7" xfId="0" applyNumberFormat="1" applyFont="1" applyFill="1" applyBorder="1" applyAlignment="1">
      <alignment horizontal="center" vertical="center"/>
    </xf>
    <xf numFmtId="49" fontId="42" fillId="32" borderId="7" xfId="0" applyNumberFormat="1" applyFont="1" applyFill="1" applyBorder="1" applyAlignment="1">
      <alignment horizontal="center" vertical="center"/>
    </xf>
    <xf numFmtId="4" fontId="47" fillId="32" borderId="7" xfId="38" applyNumberFormat="1" applyFont="1" applyFill="1" applyBorder="1" applyAlignment="1" applyProtection="1">
      <alignment horizontal="center" vertical="center" wrapText="1"/>
      <protection locked="0"/>
    </xf>
    <xf numFmtId="0" fontId="43" fillId="32" borderId="7" xfId="0" applyFont="1" applyFill="1" applyBorder="1" applyAlignment="1">
      <alignment horizontal="center" vertical="center" wrapText="1"/>
    </xf>
    <xf numFmtId="0" fontId="40" fillId="32" borderId="7" xfId="0" applyFont="1" applyFill="1" applyBorder="1" applyAlignment="1">
      <alignment horizontal="center" vertical="center" wrapText="1"/>
    </xf>
    <xf numFmtId="4" fontId="58" fillId="0" borderId="7" xfId="30" applyNumberFormat="1" applyFont="1" applyFill="1" applyBorder="1" applyAlignment="1">
      <alignment horizontal="center" vertical="center"/>
    </xf>
    <xf numFmtId="0" fontId="52" fillId="0" borderId="7" xfId="38" applyNumberFormat="1" applyFont="1" applyFill="1" applyBorder="1" applyAlignment="1" applyProtection="1">
      <alignment horizontal="center" vertical="center" wrapText="1"/>
      <protection locked="0"/>
    </xf>
    <xf numFmtId="49" fontId="42"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52" fillId="0" borderId="7" xfId="30" applyNumberFormat="1" applyFont="1" applyFill="1" applyBorder="1" applyAlignment="1">
      <alignment horizontal="center" vertical="center"/>
    </xf>
    <xf numFmtId="49" fontId="89" fillId="0" borderId="7" xfId="0" applyNumberFormat="1" applyFont="1" applyFill="1" applyBorder="1" applyAlignment="1">
      <alignment horizontal="center" vertical="center" wrapText="1"/>
    </xf>
    <xf numFmtId="49" fontId="114" fillId="0" borderId="7" xfId="0" applyNumberFormat="1"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7" xfId="46" applyFont="1" applyFill="1" applyBorder="1" applyAlignment="1">
      <alignment horizontal="center" vertical="center" wrapText="1"/>
    </xf>
    <xf numFmtId="164" fontId="52" fillId="0" borderId="7" xfId="30" applyNumberFormat="1" applyFont="1" applyFill="1" applyBorder="1" applyAlignment="1">
      <alignment horizontal="center" vertical="center"/>
    </xf>
    <xf numFmtId="0" fontId="52" fillId="0" borderId="7" xfId="87" applyFont="1" applyFill="1" applyBorder="1" applyAlignment="1">
      <alignment horizontal="center" vertical="center" wrapText="1"/>
    </xf>
    <xf numFmtId="49" fontId="118" fillId="0" borderId="7" xfId="0" applyNumberFormat="1" applyFont="1" applyFill="1" applyBorder="1" applyAlignment="1">
      <alignment horizontal="center" vertical="center" wrapText="1"/>
    </xf>
    <xf numFmtId="4" fontId="52" fillId="0" borderId="7" xfId="46" applyNumberFormat="1" applyFont="1" applyFill="1" applyBorder="1" applyAlignment="1">
      <alignment horizontal="center" vertical="center"/>
    </xf>
    <xf numFmtId="4" fontId="52" fillId="0" borderId="7" xfId="38" applyNumberFormat="1" applyFont="1" applyFill="1" applyBorder="1" applyAlignment="1" applyProtection="1">
      <alignment horizontal="center" vertical="center" wrapText="1"/>
      <protection locked="0"/>
    </xf>
    <xf numFmtId="4" fontId="29" fillId="0" borderId="7" xfId="38" applyNumberFormat="1" applyFont="1" applyFill="1" applyBorder="1" applyAlignment="1" applyProtection="1">
      <alignment horizontal="center" vertical="center" wrapText="1"/>
      <protection locked="0"/>
    </xf>
    <xf numFmtId="164" fontId="55" fillId="29" borderId="7" xfId="30" applyNumberFormat="1" applyFont="1" applyFill="1" applyBorder="1" applyAlignment="1">
      <alignment horizontal="center" vertical="center"/>
    </xf>
    <xf numFmtId="49" fontId="54" fillId="0" borderId="7" xfId="0" applyNumberFormat="1" applyFont="1" applyFill="1" applyBorder="1" applyAlignment="1">
      <alignment horizontal="center" vertical="center" wrapText="1"/>
    </xf>
    <xf numFmtId="0" fontId="29" fillId="0" borderId="7" xfId="38" applyNumberFormat="1" applyFont="1" applyFill="1" applyBorder="1" applyAlignment="1" applyProtection="1">
      <alignment horizontal="center" vertical="center" wrapText="1"/>
      <protection locked="0"/>
    </xf>
    <xf numFmtId="49" fontId="41"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0" fontId="29" fillId="0" borderId="13" xfId="0" applyNumberFormat="1" applyFont="1" applyFill="1" applyBorder="1" applyAlignment="1">
      <alignment horizontal="center" vertical="center" wrapText="1"/>
    </xf>
    <xf numFmtId="0" fontId="52" fillId="0" borderId="8" xfId="0" applyFont="1" applyFill="1" applyBorder="1" applyAlignment="1" applyProtection="1">
      <alignment horizontal="center" vertical="center" wrapText="1"/>
    </xf>
    <xf numFmtId="0" fontId="56" fillId="0" borderId="7" xfId="0"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0" fontId="52" fillId="0" borderId="8" xfId="0" applyFont="1" applyFill="1" applyBorder="1" applyAlignment="1">
      <alignment horizontal="center" vertical="center" wrapText="1"/>
    </xf>
    <xf numFmtId="164" fontId="55" fillId="0" borderId="8" xfId="30" applyNumberFormat="1"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4" fontId="55" fillId="0" borderId="8" xfId="30" applyNumberFormat="1" applyFont="1" applyFill="1" applyBorder="1" applyAlignment="1">
      <alignment horizontal="center" vertical="center" wrapText="1"/>
    </xf>
    <xf numFmtId="0" fontId="52" fillId="0" borderId="0" xfId="0" applyFont="1" applyFill="1" applyAlignment="1">
      <alignment horizontal="center" vertical="center" wrapText="1"/>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4" fontId="55" fillId="0" borderId="8"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top" wrapText="1"/>
    </xf>
    <xf numFmtId="0" fontId="119" fillId="0" borderId="0" xfId="35" applyNumberFormat="1" applyFont="1" applyFill="1" applyAlignment="1" applyProtection="1"/>
    <xf numFmtId="49" fontId="41" fillId="0" borderId="11" xfId="0" applyNumberFormat="1" applyFont="1" applyFill="1" applyBorder="1" applyAlignment="1">
      <alignment horizontal="center" vertical="center" wrapText="1"/>
    </xf>
    <xf numFmtId="164" fontId="32" fillId="0" borderId="7" xfId="30" applyNumberFormat="1" applyFont="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52" fillId="25" borderId="7" xfId="0" applyNumberFormat="1" applyFont="1" applyFill="1" applyBorder="1" applyAlignment="1">
      <alignment horizontal="center" vertical="center" wrapText="1"/>
    </xf>
    <xf numFmtId="0" fontId="52" fillId="25" borderId="7" xfId="87" applyFont="1" applyFill="1" applyBorder="1" applyAlignment="1">
      <alignment horizontal="center" vertical="center" wrapText="1"/>
    </xf>
    <xf numFmtId="164" fontId="55" fillId="25" borderId="7" xfId="30" applyNumberFormat="1" applyFont="1" applyFill="1" applyBorder="1" applyAlignment="1">
      <alignment horizontal="center" vertical="center"/>
    </xf>
    <xf numFmtId="4" fontId="52" fillId="25" borderId="7" xfId="3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52" fillId="0" borderId="10" xfId="41" applyFont="1" applyFill="1" applyBorder="1" applyAlignment="1">
      <alignment horizontal="center" vertical="center" wrapText="1"/>
    </xf>
    <xf numFmtId="4" fontId="55" fillId="0" borderId="10" xfId="30" applyNumberFormat="1" applyFont="1" applyFill="1" applyBorder="1" applyAlignment="1">
      <alignment horizontal="center" vertical="center"/>
    </xf>
    <xf numFmtId="0" fontId="52" fillId="0" borderId="7" xfId="86" applyFont="1" applyFill="1" applyBorder="1" applyAlignment="1">
      <alignment horizontal="center" vertical="center" wrapText="1"/>
    </xf>
    <xf numFmtId="4" fontId="52" fillId="0" borderId="10" xfId="30" applyNumberFormat="1" applyFont="1" applyFill="1" applyBorder="1" applyAlignment="1">
      <alignment horizontal="center" vertical="center"/>
    </xf>
    <xf numFmtId="0" fontId="55" fillId="0" borderId="7" xfId="0" applyFont="1" applyFill="1" applyBorder="1" applyAlignment="1">
      <alignment horizontal="center" vertical="center" wrapText="1"/>
    </xf>
    <xf numFmtId="0" fontId="52" fillId="0" borderId="7" xfId="40" applyFont="1" applyFill="1" applyBorder="1" applyAlignment="1">
      <alignment horizontal="center" vertical="center" wrapText="1"/>
    </xf>
    <xf numFmtId="0" fontId="52" fillId="0" borderId="7" xfId="41" applyFont="1" applyFill="1" applyBorder="1" applyAlignment="1">
      <alignment horizontal="center" vertical="center" wrapText="1"/>
    </xf>
    <xf numFmtId="0" fontId="29" fillId="0" borderId="7" xfId="41" applyFont="1" applyFill="1" applyBorder="1" applyAlignment="1">
      <alignment horizontal="center" vertical="center" wrapText="1"/>
    </xf>
    <xf numFmtId="4" fontId="32" fillId="0" borderId="10" xfId="30" applyNumberFormat="1" applyFont="1" applyFill="1" applyBorder="1" applyAlignment="1">
      <alignment horizontal="center" vertical="center"/>
    </xf>
    <xf numFmtId="0" fontId="29" fillId="0" borderId="7" xfId="85" applyFont="1" applyFill="1" applyBorder="1" applyAlignment="1">
      <alignment horizontal="center" vertical="center" wrapText="1"/>
    </xf>
    <xf numFmtId="0" fontId="29" fillId="0" borderId="8" xfId="85" applyFont="1" applyFill="1" applyBorder="1" applyAlignment="1">
      <alignment horizontal="center" vertical="center" wrapText="1"/>
    </xf>
    <xf numFmtId="164" fontId="39" fillId="0" borderId="10" xfId="30" applyNumberFormat="1" applyFont="1" applyFill="1" applyBorder="1" applyAlignment="1">
      <alignment horizontal="center" vertical="center"/>
    </xf>
    <xf numFmtId="49" fontId="52"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46" fillId="0" borderId="0" xfId="0" applyFont="1"/>
    <xf numFmtId="4" fontId="45"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 fontId="46" fillId="0" borderId="8"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3" fillId="26" borderId="7" xfId="0" applyNumberFormat="1" applyFont="1" applyFill="1" applyBorder="1" applyAlignment="1">
      <alignment horizontal="center" vertical="center" wrapText="1"/>
    </xf>
    <xf numFmtId="0" fontId="43" fillId="26" borderId="7" xfId="38" applyNumberFormat="1" applyFont="1" applyFill="1" applyBorder="1" applyAlignment="1" applyProtection="1">
      <alignment horizontal="center" vertical="center" wrapText="1"/>
      <protection locked="0"/>
    </xf>
    <xf numFmtId="4" fontId="47" fillId="26" borderId="7" xfId="0" applyNumberFormat="1" applyFont="1" applyFill="1" applyBorder="1" applyAlignment="1">
      <alignment horizontal="center" vertical="center"/>
    </xf>
    <xf numFmtId="4" fontId="44" fillId="26" borderId="7" xfId="0" applyNumberFormat="1" applyFont="1" applyFill="1" applyBorder="1" applyAlignment="1">
      <alignment horizontal="center" vertical="center"/>
    </xf>
    <xf numFmtId="49" fontId="40" fillId="26" borderId="7" xfId="0" applyNumberFormat="1" applyFont="1" applyFill="1" applyBorder="1" applyAlignment="1">
      <alignment horizontal="center" vertical="center" wrapText="1"/>
    </xf>
    <xf numFmtId="0" fontId="40" fillId="26" borderId="7" xfId="38" applyNumberFormat="1" applyFont="1" applyFill="1" applyBorder="1" applyAlignment="1" applyProtection="1">
      <alignment horizontal="center" vertical="center" wrapText="1"/>
      <protection locked="0"/>
    </xf>
    <xf numFmtId="4" fontId="44" fillId="26" borderId="7" xfId="0" applyNumberFormat="1" applyFont="1" applyFill="1" applyBorder="1" applyAlignment="1">
      <alignment horizontal="center" vertical="center" wrapText="1"/>
    </xf>
    <xf numFmtId="4" fontId="47" fillId="26" borderId="7" xfId="0" applyNumberFormat="1" applyFont="1" applyFill="1" applyBorder="1" applyAlignment="1">
      <alignment horizontal="center" vertical="center" wrapText="1"/>
    </xf>
    <xf numFmtId="4" fontId="44" fillId="26" borderId="7" xfId="38" applyNumberFormat="1" applyFont="1" applyFill="1" applyBorder="1" applyAlignment="1" applyProtection="1">
      <alignment horizontal="center" vertical="center" wrapText="1"/>
      <protection locked="0"/>
    </xf>
    <xf numFmtId="4" fontId="87" fillId="0" borderId="0" xfId="0" applyNumberFormat="1" applyFont="1"/>
    <xf numFmtId="49" fontId="40" fillId="26" borderId="7" xfId="0" applyNumberFormat="1" applyFont="1" applyFill="1" applyBorder="1" applyAlignment="1">
      <alignment horizontal="center" vertical="center"/>
    </xf>
    <xf numFmtId="49" fontId="42" fillId="26" borderId="7" xfId="0" applyNumberFormat="1" applyFont="1" applyFill="1" applyBorder="1" applyAlignment="1">
      <alignment horizontal="center" vertical="center"/>
    </xf>
    <xf numFmtId="4" fontId="47" fillId="26" borderId="7" xfId="38" applyNumberFormat="1" applyFont="1" applyFill="1" applyBorder="1" applyAlignment="1" applyProtection="1">
      <alignment horizontal="center" vertical="center" wrapText="1"/>
      <protection locked="0"/>
    </xf>
    <xf numFmtId="0" fontId="41" fillId="0" borderId="0" xfId="0" applyFont="1" applyAlignment="1">
      <alignment horizontal="center" vertical="center" wrapText="1"/>
    </xf>
    <xf numFmtId="0" fontId="43" fillId="26" borderId="7" xfId="0" applyFont="1" applyFill="1" applyBorder="1" applyAlignment="1">
      <alignment horizontal="center" vertical="center" wrapText="1"/>
    </xf>
    <xf numFmtId="0" fontId="40" fillId="26" borderId="7" xfId="0" applyFont="1" applyFill="1" applyBorder="1" applyAlignment="1">
      <alignment horizontal="center" vertical="center" wrapText="1"/>
    </xf>
    <xf numFmtId="4" fontId="44" fillId="25" borderId="7" xfId="0" applyNumberFormat="1" applyFont="1" applyFill="1" applyBorder="1" applyAlignment="1">
      <alignment horizontal="center" vertical="center"/>
    </xf>
    <xf numFmtId="4" fontId="47" fillId="25" borderId="7" xfId="0" applyNumberFormat="1" applyFont="1" applyFill="1" applyBorder="1" applyAlignment="1">
      <alignment horizontal="center" vertical="center"/>
    </xf>
    <xf numFmtId="2" fontId="6" fillId="0" borderId="0" xfId="0" applyNumberFormat="1" applyFont="1" applyAlignment="1">
      <alignment vertical="center"/>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 fontId="46" fillId="0" borderId="7"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29" fillId="0" borderId="0" xfId="35" applyFont="1" applyFill="1" applyBorder="1" applyAlignment="1">
      <alignment horizontal="center" vertical="center" wrapText="1"/>
    </xf>
    <xf numFmtId="4" fontId="30" fillId="0" borderId="0" xfId="35" applyNumberFormat="1" applyFont="1" applyFill="1" applyBorder="1" applyAlignment="1" applyProtection="1">
      <alignment horizontal="center" vertical="center"/>
    </xf>
    <xf numFmtId="0" fontId="122" fillId="0" borderId="0" xfId="0" applyFont="1" applyAlignment="1">
      <alignment vertical="center"/>
    </xf>
    <xf numFmtId="4" fontId="123" fillId="0" borderId="0" xfId="0" applyNumberFormat="1" applyFont="1" applyAlignment="1">
      <alignment vertical="center"/>
    </xf>
    <xf numFmtId="4" fontId="124" fillId="0" borderId="0" xfId="0" applyNumberFormat="1" applyFont="1" applyAlignment="1">
      <alignment vertical="center"/>
    </xf>
    <xf numFmtId="0" fontId="124" fillId="0" borderId="0" xfId="0" applyFont="1" applyAlignment="1">
      <alignment vertical="center"/>
    </xf>
    <xf numFmtId="2" fontId="30" fillId="0" borderId="0" xfId="38" applyNumberFormat="1" applyFont="1" applyFill="1" applyBorder="1" applyAlignment="1" applyProtection="1">
      <alignment vertical="center" wrapText="1"/>
      <protection locked="0"/>
    </xf>
    <xf numFmtId="4" fontId="122" fillId="0" borderId="0" xfId="0" applyNumberFormat="1" applyFont="1" applyAlignment="1">
      <alignment vertical="center"/>
    </xf>
    <xf numFmtId="0" fontId="123" fillId="0" borderId="0" xfId="0" applyFont="1" applyAlignment="1">
      <alignment vertical="center"/>
    </xf>
    <xf numFmtId="0" fontId="54" fillId="0" borderId="0" xfId="35" applyFont="1" applyFill="1"/>
    <xf numFmtId="0" fontId="9" fillId="0" borderId="0" xfId="0" applyFont="1" applyFill="1"/>
    <xf numFmtId="0" fontId="112" fillId="0" borderId="0" xfId="0" applyFont="1" applyFill="1" applyBorder="1" applyAlignment="1">
      <alignment horizontal="center" vertical="center"/>
    </xf>
    <xf numFmtId="4" fontId="112" fillId="0" borderId="0" xfId="0" applyNumberFormat="1" applyFont="1" applyFill="1" applyBorder="1" applyAlignment="1">
      <alignment horizontal="center" vertical="center"/>
    </xf>
    <xf numFmtId="4" fontId="112" fillId="0" borderId="0" xfId="0" applyNumberFormat="1" applyFont="1" applyFill="1" applyBorder="1" applyAlignment="1">
      <alignment horizontal="left" vertical="center"/>
    </xf>
    <xf numFmtId="0" fontId="112" fillId="0" borderId="0" xfId="0" applyFont="1" applyFill="1" applyBorder="1" applyAlignment="1">
      <alignment horizontal="right" vertical="center"/>
    </xf>
    <xf numFmtId="2" fontId="12" fillId="0" borderId="0" xfId="36" applyNumberFormat="1" applyFont="1" applyFill="1" applyBorder="1" applyAlignment="1" applyProtection="1">
      <alignment vertical="top"/>
    </xf>
    <xf numFmtId="0" fontId="12" fillId="0" borderId="0" xfId="36" applyNumberFormat="1" applyFont="1" applyFill="1" applyBorder="1" applyAlignment="1" applyProtection="1">
      <alignment vertical="top"/>
    </xf>
    <xf numFmtId="0" fontId="9" fillId="0" borderId="0" xfId="39" applyNumberFormat="1" applyFont="1" applyFill="1" applyAlignment="1" applyProtection="1"/>
    <xf numFmtId="4" fontId="48" fillId="0" borderId="0" xfId="0" applyNumberFormat="1" applyFont="1" applyAlignment="1">
      <alignment horizontal="left"/>
    </xf>
    <xf numFmtId="4" fontId="103" fillId="0" borderId="0" xfId="0" applyNumberFormat="1" applyFont="1" applyFill="1" applyAlignment="1">
      <alignment horizontal="right"/>
    </xf>
    <xf numFmtId="4" fontId="44"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65" fillId="0" borderId="0" xfId="39" applyNumberFormat="1" applyFont="1" applyFill="1" applyBorder="1" applyAlignment="1" applyProtection="1">
      <alignment horizontal="center" vertical="center"/>
    </xf>
    <xf numFmtId="0" fontId="65" fillId="0" borderId="0" xfId="39" applyFont="1" applyFill="1" applyBorder="1" applyAlignment="1">
      <alignment horizontal="center" vertical="center"/>
    </xf>
    <xf numFmtId="0" fontId="65" fillId="0" borderId="0" xfId="39" applyNumberFormat="1" applyFont="1" applyFill="1" applyAlignment="1" applyProtection="1">
      <alignment horizontal="center" vertical="center"/>
    </xf>
    <xf numFmtId="0" fontId="65" fillId="0" borderId="0" xfId="39" applyFont="1" applyFill="1" applyAlignment="1">
      <alignment horizontal="center" vertical="center"/>
    </xf>
    <xf numFmtId="0" fontId="10" fillId="0" borderId="7" xfId="39" applyNumberFormat="1" applyFont="1" applyFill="1" applyBorder="1" applyAlignment="1" applyProtection="1">
      <alignment horizontal="center" vertical="center" wrapText="1"/>
    </xf>
    <xf numFmtId="0" fontId="3" fillId="0" borderId="0" xfId="0" applyFont="1" applyAlignment="1"/>
    <xf numFmtId="0" fontId="75" fillId="0" borderId="0" xfId="0" applyFont="1" applyFill="1" applyAlignment="1">
      <alignment horizontal="center"/>
    </xf>
    <xf numFmtId="0" fontId="67" fillId="0" borderId="7"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Alignment="1">
      <alignment wrapText="1"/>
    </xf>
    <xf numFmtId="0" fontId="29" fillId="0" borderId="0" xfId="0" applyFont="1" applyAlignment="1"/>
    <xf numFmtId="0" fontId="29"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vertical="center" wrapText="1"/>
    </xf>
    <xf numFmtId="0" fontId="9" fillId="0" borderId="18" xfId="35" applyNumberFormat="1" applyFont="1" applyFill="1" applyBorder="1" applyAlignment="1" applyProtection="1">
      <alignment horizontal="center" vertical="center" wrapText="1"/>
    </xf>
    <xf numFmtId="0" fontId="9" fillId="0" borderId="19" xfId="35" applyNumberFormat="1" applyFont="1" applyFill="1" applyBorder="1" applyAlignment="1" applyProtection="1">
      <alignment horizontal="center" vertical="center" wrapText="1"/>
    </xf>
    <xf numFmtId="0" fontId="9" fillId="0" borderId="7" xfId="35" applyNumberFormat="1" applyFont="1" applyFill="1" applyBorder="1" applyAlignment="1" applyProtection="1">
      <alignment horizontal="center" vertical="center" wrapText="1"/>
    </xf>
    <xf numFmtId="0" fontId="77" fillId="0" borderId="8" xfId="35" applyNumberFormat="1" applyFont="1" applyFill="1" applyBorder="1" applyAlignment="1" applyProtection="1">
      <alignment horizontal="center" vertical="center" wrapText="1"/>
    </xf>
    <xf numFmtId="0" fontId="77" fillId="0" borderId="10" xfId="35" applyNumberFormat="1" applyFont="1" applyFill="1" applyBorder="1" applyAlignment="1" applyProtection="1">
      <alignment horizontal="center" vertical="center" wrapText="1"/>
    </xf>
    <xf numFmtId="0" fontId="14" fillId="0" borderId="8" xfId="35" applyNumberFormat="1" applyFont="1" applyFill="1" applyBorder="1" applyAlignment="1" applyProtection="1">
      <alignment horizontal="center" vertical="center" wrapText="1"/>
    </xf>
    <xf numFmtId="0" fontId="14" fillId="0" borderId="9" xfId="35" applyNumberFormat="1" applyFont="1" applyFill="1" applyBorder="1" applyAlignment="1" applyProtection="1">
      <alignment horizontal="center" vertical="center" wrapText="1"/>
    </xf>
    <xf numFmtId="0" fontId="14" fillId="0" borderId="10" xfId="35" applyNumberFormat="1" applyFont="1" applyFill="1" applyBorder="1" applyAlignment="1" applyProtection="1">
      <alignment horizontal="center" vertical="center" wrapText="1"/>
    </xf>
    <xf numFmtId="0" fontId="77" fillId="0" borderId="9" xfId="35" applyNumberFormat="1" applyFont="1" applyFill="1" applyBorder="1" applyAlignment="1" applyProtection="1">
      <alignment horizontal="center" vertical="center" wrapText="1"/>
    </xf>
    <xf numFmtId="0" fontId="9" fillId="0" borderId="15" xfId="35"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115" fillId="0" borderId="13" xfId="0" applyFont="1" applyBorder="1" applyAlignment="1">
      <alignment horizontal="left" vertical="center"/>
    </xf>
    <xf numFmtId="0" fontId="0" fillId="0" borderId="13" xfId="0" applyFont="1" applyBorder="1" applyAlignment="1">
      <alignment horizontal="left" vertical="center"/>
    </xf>
    <xf numFmtId="0" fontId="9" fillId="0" borderId="0" xfId="35" applyNumberFormat="1" applyFont="1" applyFill="1" applyAlignment="1" applyProtection="1">
      <alignment horizontal="center" vertical="center"/>
    </xf>
    <xf numFmtId="0" fontId="49" fillId="0" borderId="0" xfId="35" applyNumberFormat="1" applyFont="1" applyFill="1" applyBorder="1" applyAlignment="1" applyProtection="1">
      <alignment horizontal="center" vertical="center" wrapText="1"/>
    </xf>
    <xf numFmtId="0" fontId="11" fillId="0" borderId="0" xfId="35" applyNumberFormat="1" applyFont="1" applyFill="1" applyBorder="1" applyAlignment="1" applyProtection="1">
      <alignment horizontal="center" vertical="center" wrapText="1"/>
    </xf>
    <xf numFmtId="49" fontId="52" fillId="0" borderId="8" xfId="0" applyNumberFormat="1" applyFont="1" applyFill="1" applyBorder="1" applyAlignment="1">
      <alignment horizontal="center" vertical="center" wrapText="1"/>
    </xf>
    <xf numFmtId="0" fontId="120" fillId="0" borderId="9" xfId="0" applyFont="1" applyFill="1" applyBorder="1" applyAlignment="1">
      <alignment horizontal="center" vertical="center" wrapText="1"/>
    </xf>
    <xf numFmtId="0" fontId="120" fillId="0" borderId="10" xfId="0"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0" fontId="120" fillId="0" borderId="7" xfId="0"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120" fillId="0" borderId="7" xfId="0" applyNumberFormat="1" applyFont="1" applyFill="1" applyBorder="1" applyAlignment="1">
      <alignment horizontal="center" vertical="center" wrapText="1"/>
    </xf>
    <xf numFmtId="0" fontId="12" fillId="0" borderId="0" xfId="36" applyNumberFormat="1" applyFont="1" applyFill="1" applyBorder="1" applyAlignment="1" applyProtection="1">
      <alignment horizontal="left" vertical="top" wrapText="1"/>
    </xf>
    <xf numFmtId="0" fontId="9" fillId="0" borderId="0" xfId="36" applyNumberFormat="1" applyFont="1" applyFill="1" applyBorder="1" applyAlignment="1" applyProtection="1">
      <alignment horizontal="center" vertical="center" wrapText="1"/>
    </xf>
    <xf numFmtId="0" fontId="82" fillId="0" borderId="0" xfId="0" applyFont="1" applyAlignment="1">
      <alignment horizontal="center" vertical="center"/>
    </xf>
    <xf numFmtId="0" fontId="81" fillId="0" borderId="0" xfId="36" applyNumberFormat="1" applyFont="1" applyFill="1" applyBorder="1" applyAlignment="1" applyProtection="1">
      <alignment horizontal="center"/>
    </xf>
    <xf numFmtId="0" fontId="81" fillId="0" borderId="0" xfId="36" applyNumberFormat="1" applyFont="1" applyFill="1" applyBorder="1" applyAlignment="1" applyProtection="1">
      <alignment horizontal="center" vertical="top"/>
    </xf>
    <xf numFmtId="0" fontId="81" fillId="0" borderId="0" xfId="0" applyFont="1" applyAlignment="1">
      <alignment horizontal="center"/>
    </xf>
    <xf numFmtId="0" fontId="10" fillId="0" borderId="0" xfId="0" applyFont="1" applyFill="1" applyAlignment="1">
      <alignment horizontal="center"/>
    </xf>
    <xf numFmtId="0" fontId="0" fillId="0" borderId="0" xfId="0" applyAlignment="1">
      <alignment horizontal="center"/>
    </xf>
    <xf numFmtId="0" fontId="10" fillId="0" borderId="11" xfId="0" applyFont="1" applyFill="1" applyBorder="1" applyAlignment="1">
      <alignment horizontal="center"/>
    </xf>
    <xf numFmtId="0" fontId="0" fillId="0" borderId="11" xfId="0" applyBorder="1" applyAlignment="1">
      <alignment horizontal="center"/>
    </xf>
    <xf numFmtId="0" fontId="111" fillId="30" borderId="18" xfId="0" applyFont="1" applyFill="1" applyBorder="1" applyAlignment="1">
      <alignment horizontal="center" vertical="center"/>
    </xf>
    <xf numFmtId="0" fontId="111" fillId="30" borderId="19" xfId="0" applyFont="1" applyFill="1" applyBorder="1" applyAlignment="1">
      <alignment horizontal="center" vertical="center"/>
    </xf>
    <xf numFmtId="0" fontId="111" fillId="30" borderId="15" xfId="0" applyFont="1" applyFill="1" applyBorder="1" applyAlignment="1">
      <alignment horizontal="center" vertical="center"/>
    </xf>
    <xf numFmtId="0" fontId="9" fillId="0" borderId="0" xfId="36" applyNumberFormat="1" applyFont="1" applyFill="1" applyBorder="1" applyAlignment="1" applyProtection="1">
      <alignment horizontal="left" vertical="top" wrapText="1"/>
    </xf>
    <xf numFmtId="0" fontId="112" fillId="0" borderId="0" xfId="0" applyFont="1" applyFill="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left"/>
    </xf>
    <xf numFmtId="49" fontId="29" fillId="0" borderId="8"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0" fillId="0" borderId="0" xfId="0" applyFont="1" applyBorder="1" applyAlignment="1">
      <alignment horizontal="left" vertical="center"/>
    </xf>
    <xf numFmtId="0" fontId="115" fillId="0" borderId="0" xfId="0" applyFont="1" applyBorder="1" applyAlignment="1">
      <alignment horizontal="left" vertical="center"/>
    </xf>
    <xf numFmtId="164" fontId="32" fillId="0" borderId="8" xfId="3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 fontId="32" fillId="0" borderId="8" xfId="30" applyNumberFormat="1" applyFont="1" applyFill="1" applyBorder="1" applyAlignment="1">
      <alignment horizontal="center" vertical="center"/>
    </xf>
    <xf numFmtId="0" fontId="0" fillId="0" borderId="10" xfId="0" applyFill="1" applyBorder="1" applyAlignment="1">
      <alignment horizontal="center" vertical="center"/>
    </xf>
    <xf numFmtId="0" fontId="12" fillId="0" borderId="0" xfId="0" applyFont="1" applyAlignment="1"/>
    <xf numFmtId="0" fontId="49" fillId="0" borderId="0" xfId="35" applyNumberFormat="1" applyFont="1" applyFill="1" applyBorder="1" applyAlignment="1" applyProtection="1">
      <alignment horizontal="center" vertical="top" wrapText="1"/>
    </xf>
    <xf numFmtId="0" fontId="11" fillId="0" borderId="0" xfId="35" applyNumberFormat="1" applyFont="1" applyFill="1" applyBorder="1" applyAlignment="1" applyProtection="1">
      <alignment horizontal="center" vertical="top" wrapText="1"/>
    </xf>
    <xf numFmtId="0" fontId="0" fillId="0" borderId="10" xfId="0"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0" fontId="57" fillId="0"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57" fillId="0" borderId="7" xfId="0" applyNumberFormat="1"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2" fillId="0" borderId="8"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 fontId="41" fillId="0" borderId="8" xfId="0" applyNumberFormat="1" applyFont="1" applyFill="1" applyBorder="1" applyAlignment="1">
      <alignment horizontal="center" vertical="center" wrapText="1"/>
    </xf>
    <xf numFmtId="4" fontId="56" fillId="0" borderId="10"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49" fontId="41" fillId="0" borderId="8"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49" fontId="41" fillId="0" borderId="7" xfId="0" applyNumberFormat="1" applyFont="1" applyFill="1" applyBorder="1" applyAlignment="1">
      <alignment horizontal="center" vertical="center" wrapText="1"/>
    </xf>
    <xf numFmtId="0" fontId="56" fillId="0" borderId="7" xfId="0" applyFont="1" applyBorder="1" applyAlignment="1">
      <alignment horizontal="center" vertical="center" wrapText="1"/>
    </xf>
    <xf numFmtId="4" fontId="45" fillId="0" borderId="7" xfId="0" applyNumberFormat="1" applyFont="1" applyFill="1" applyBorder="1" applyAlignment="1">
      <alignment horizontal="center" vertical="center" wrapText="1"/>
    </xf>
    <xf numFmtId="0" fontId="43" fillId="30" borderId="7" xfId="0" applyFont="1" applyFill="1" applyBorder="1" applyAlignment="1">
      <alignment horizontal="center" vertical="center"/>
    </xf>
    <xf numFmtId="0" fontId="105" fillId="0" borderId="13" xfId="0" applyFont="1" applyBorder="1" applyAlignment="1">
      <alignment horizontal="left" vertical="center"/>
    </xf>
    <xf numFmtId="0" fontId="107" fillId="0" borderId="13" xfId="0" applyFont="1" applyBorder="1" applyAlignment="1">
      <alignment horizontal="left" vertical="center"/>
    </xf>
    <xf numFmtId="0" fontId="42" fillId="0" borderId="0" xfId="0" applyFont="1" applyAlignment="1"/>
    <xf numFmtId="4" fontId="46" fillId="0"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7" xfId="0" applyFont="1" applyFill="1" applyBorder="1" applyAlignment="1">
      <alignment horizontal="center" vertical="center" wrapText="1"/>
    </xf>
    <xf numFmtId="4" fontId="56" fillId="0" borderId="10" xfId="0" applyNumberFormat="1" applyFont="1" applyBorder="1" applyAlignment="1">
      <alignment horizontal="center" vertical="center" wrapText="1"/>
    </xf>
    <xf numFmtId="0" fontId="43" fillId="25" borderId="7" xfId="0" applyFont="1" applyFill="1" applyBorder="1" applyAlignment="1">
      <alignment horizontal="center" vertical="center"/>
    </xf>
    <xf numFmtId="0" fontId="0" fillId="0" borderId="10" xfId="0" applyBorder="1" applyAlignment="1">
      <alignment horizontal="center" vertical="center" wrapText="1"/>
    </xf>
    <xf numFmtId="4" fontId="46" fillId="0" borderId="10" xfId="0" applyNumberFormat="1" applyFont="1" applyFill="1" applyBorder="1" applyAlignment="1">
      <alignment horizontal="center" vertical="center" wrapText="1"/>
    </xf>
    <xf numFmtId="0" fontId="0" fillId="0" borderId="9" xfId="0" applyBorder="1" applyAlignment="1">
      <alignment horizontal="center" vertical="center" wrapText="1"/>
    </xf>
    <xf numFmtId="4" fontId="46" fillId="0" borderId="9" xfId="0" applyNumberFormat="1" applyFont="1" applyFill="1" applyBorder="1" applyAlignment="1">
      <alignment horizontal="center" vertical="center" wrapText="1"/>
    </xf>
  </cellXfs>
  <cellStyles count="88">
    <cellStyle name="20% - Акцент1" xfId="47" xr:uid="{00000000-0005-0000-0000-000000000000}"/>
    <cellStyle name="20% - Акцент2" xfId="48" xr:uid="{00000000-0005-0000-0000-000001000000}"/>
    <cellStyle name="20% - Акцент3" xfId="49" xr:uid="{00000000-0005-0000-0000-000002000000}"/>
    <cellStyle name="20% - Акцент4" xfId="50" xr:uid="{00000000-0005-0000-0000-000003000000}"/>
    <cellStyle name="20% - Акцент5" xfId="51" xr:uid="{00000000-0005-0000-0000-000004000000}"/>
    <cellStyle name="20% - Акцент6" xfId="52" xr:uid="{00000000-0005-0000-0000-000005000000}"/>
    <cellStyle name="40% - Акцент1" xfId="53" xr:uid="{00000000-0005-0000-0000-000006000000}"/>
    <cellStyle name="40% - Акцент2" xfId="54" xr:uid="{00000000-0005-0000-0000-000007000000}"/>
    <cellStyle name="40% - Акцент3" xfId="55" xr:uid="{00000000-0005-0000-0000-000008000000}"/>
    <cellStyle name="40% - Акцент4" xfId="56" xr:uid="{00000000-0005-0000-0000-000009000000}"/>
    <cellStyle name="40% - Акцент5" xfId="57" xr:uid="{00000000-0005-0000-0000-00000A000000}"/>
    <cellStyle name="40% - Акцент6" xfId="58" xr:uid="{00000000-0005-0000-0000-00000B000000}"/>
    <cellStyle name="60% - Акцент1" xfId="59" xr:uid="{00000000-0005-0000-0000-00000C000000}"/>
    <cellStyle name="60% - Акцент2" xfId="60" xr:uid="{00000000-0005-0000-0000-00000D000000}"/>
    <cellStyle name="60% - Акцент3" xfId="61" xr:uid="{00000000-0005-0000-0000-00000E000000}"/>
    <cellStyle name="60% - Акцент4" xfId="62" xr:uid="{00000000-0005-0000-0000-00000F000000}"/>
    <cellStyle name="60% - Акцент5" xfId="63" xr:uid="{00000000-0005-0000-0000-000010000000}"/>
    <cellStyle name="60% - Акцент6" xfId="64" xr:uid="{00000000-0005-0000-0000-000011000000}"/>
    <cellStyle name="Excel Built-in Обычный_УКБ до бюджету 2016р ост" xfId="85" xr:uid="{00000000-0005-0000-0000-000012000000}"/>
    <cellStyle name="Normal_meresha_07" xfId="1" xr:uid="{00000000-0005-0000-0000-000013000000}"/>
    <cellStyle name="Акцент1" xfId="65" xr:uid="{00000000-0005-0000-0000-000014000000}"/>
    <cellStyle name="Акцент2" xfId="66" xr:uid="{00000000-0005-0000-0000-000015000000}"/>
    <cellStyle name="Акцент3" xfId="67" xr:uid="{00000000-0005-0000-0000-000016000000}"/>
    <cellStyle name="Акцент4" xfId="68" xr:uid="{00000000-0005-0000-0000-000017000000}"/>
    <cellStyle name="Акцент5" xfId="69" xr:uid="{00000000-0005-0000-0000-000018000000}"/>
    <cellStyle name="Акцент6" xfId="70" xr:uid="{00000000-0005-0000-0000-000019000000}"/>
    <cellStyle name="Ввід" xfId="2" xr:uid="{00000000-0005-0000-0000-00001A000000}"/>
    <cellStyle name="Ввод " xfId="71" xr:uid="{00000000-0005-0000-0000-00001B000000}"/>
    <cellStyle name="Вывод" xfId="72" xr:uid="{00000000-0005-0000-0000-00001C000000}"/>
    <cellStyle name="Вычисление" xfId="73" xr:uid="{00000000-0005-0000-0000-00001D000000}"/>
    <cellStyle name="Гіперпосилання 2" xfId="74" xr:uid="{00000000-0005-0000-0000-00001E000000}"/>
    <cellStyle name="Добре" xfId="3" xr:uid="{00000000-0005-0000-0000-00001F000000}"/>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xr:uid="{00000000-0005-0000-0000-000025000000}"/>
    <cellStyle name="Звичайний 11" xfId="9" xr:uid="{00000000-0005-0000-0000-000026000000}"/>
    <cellStyle name="Звичайний 12" xfId="10" xr:uid="{00000000-0005-0000-0000-000027000000}"/>
    <cellStyle name="Звичайний 13" xfId="11" xr:uid="{00000000-0005-0000-0000-000028000000}"/>
    <cellStyle name="Звичайний 14" xfId="12" xr:uid="{00000000-0005-0000-0000-000029000000}"/>
    <cellStyle name="Звичайний 15" xfId="13" xr:uid="{00000000-0005-0000-0000-00002A000000}"/>
    <cellStyle name="Звичайний 16" xfId="14" xr:uid="{00000000-0005-0000-0000-00002B000000}"/>
    <cellStyle name="Звичайний 17" xfId="15" xr:uid="{00000000-0005-0000-0000-00002C000000}"/>
    <cellStyle name="Звичайний 18" xfId="16" xr:uid="{00000000-0005-0000-0000-00002D000000}"/>
    <cellStyle name="Звичайний 19" xfId="17" xr:uid="{00000000-0005-0000-0000-00002E000000}"/>
    <cellStyle name="Звичайний 2" xfId="18" xr:uid="{00000000-0005-0000-0000-00002F000000}"/>
    <cellStyle name="Звичайний 2 2" xfId="19" xr:uid="{00000000-0005-0000-0000-000030000000}"/>
    <cellStyle name="Звичайний 20" xfId="20" xr:uid="{00000000-0005-0000-0000-000031000000}"/>
    <cellStyle name="Звичайний 3" xfId="21" xr:uid="{00000000-0005-0000-0000-000032000000}"/>
    <cellStyle name="Звичайний 3 2" xfId="22" xr:uid="{00000000-0005-0000-0000-000033000000}"/>
    <cellStyle name="Звичайний 4" xfId="23" xr:uid="{00000000-0005-0000-0000-000034000000}"/>
    <cellStyle name="Звичайний 4 2" xfId="24" xr:uid="{00000000-0005-0000-0000-000035000000}"/>
    <cellStyle name="Звичайний 5" xfId="25" xr:uid="{00000000-0005-0000-0000-000036000000}"/>
    <cellStyle name="Звичайний 6" xfId="26" xr:uid="{00000000-0005-0000-0000-000037000000}"/>
    <cellStyle name="Звичайний 7" xfId="27" xr:uid="{00000000-0005-0000-0000-000038000000}"/>
    <cellStyle name="Звичайний 8" xfId="28" xr:uid="{00000000-0005-0000-0000-000039000000}"/>
    <cellStyle name="Звичайний 9" xfId="29" xr:uid="{00000000-0005-0000-0000-00003A000000}"/>
    <cellStyle name="Звичайний_Додаток _ 3 зм_ни 4575" xfId="30" xr:uid="{00000000-0005-0000-0000-00003B000000}"/>
    <cellStyle name="Зв'язана клітинка" xfId="42" xr:uid="{00000000-0005-0000-0000-00003C000000}"/>
    <cellStyle name="Итог" xfId="75" xr:uid="{00000000-0005-0000-0000-00003D000000}"/>
    <cellStyle name="Контрольна клітинка" xfId="31" xr:uid="{00000000-0005-0000-0000-00003E000000}"/>
    <cellStyle name="Контрольная ячейка" xfId="76" xr:uid="{00000000-0005-0000-0000-00003F000000}"/>
    <cellStyle name="Назва" xfId="32" xr:uid="{00000000-0005-0000-0000-000040000000}"/>
    <cellStyle name="Название" xfId="77" xr:uid="{00000000-0005-0000-0000-000041000000}"/>
    <cellStyle name="Нейтральный" xfId="78" xr:uid="{00000000-0005-0000-0000-000042000000}"/>
    <cellStyle name="Обычный 2" xfId="33" xr:uid="{00000000-0005-0000-0000-000043000000}"/>
    <cellStyle name="Обычный 2 2" xfId="34" xr:uid="{00000000-0005-0000-0000-000044000000}"/>
    <cellStyle name="Обычный 3" xfId="35" xr:uid="{00000000-0005-0000-0000-000045000000}"/>
    <cellStyle name="Обычный 4 3" xfId="87" xr:uid="{00000000-0005-0000-0000-000046000000}"/>
    <cellStyle name="Обычный_Plan_kapbud_2006 уточн." xfId="36" xr:uid="{00000000-0005-0000-0000-000047000000}"/>
    <cellStyle name="Обычный_дод.1" xfId="37" xr:uid="{00000000-0005-0000-0000-000048000000}"/>
    <cellStyle name="Обычный_Додаток 2 до бюджету 2000 року" xfId="38" xr:uid="{00000000-0005-0000-0000-000049000000}"/>
    <cellStyle name="Обычный_Додаток №1" xfId="39" xr:uid="{00000000-0005-0000-0000-00004A000000}"/>
    <cellStyle name="Обычный_КАПІТАЛЬНІ  ВКЛАДЕННЯ 2015 2 2" xfId="46" xr:uid="{00000000-0005-0000-0000-00004B000000}"/>
    <cellStyle name="Обычный_УЖКГ бюджет 2016 Після Ямчука 2" xfId="40" xr:uid="{00000000-0005-0000-0000-00004C000000}"/>
    <cellStyle name="Обычный_УКБ до бюджету 2016р ост" xfId="41" xr:uid="{00000000-0005-0000-0000-00004D000000}"/>
    <cellStyle name="Обычный_УКБ до бюджету 2016р ост 2" xfId="86" xr:uid="{00000000-0005-0000-0000-00004E000000}"/>
    <cellStyle name="Плохой" xfId="79" xr:uid="{00000000-0005-0000-0000-00004F000000}"/>
    <cellStyle name="Пояснение" xfId="80" xr:uid="{00000000-0005-0000-0000-000050000000}"/>
    <cellStyle name="Примечание" xfId="81" xr:uid="{00000000-0005-0000-0000-000051000000}"/>
    <cellStyle name="Связанная ячейка" xfId="82" xr:uid="{00000000-0005-0000-0000-000052000000}"/>
    <cellStyle name="Середній" xfId="43" xr:uid="{00000000-0005-0000-0000-000053000000}"/>
    <cellStyle name="Стиль 1" xfId="44" xr:uid="{00000000-0005-0000-0000-000054000000}"/>
    <cellStyle name="Текст попередження" xfId="45" xr:uid="{00000000-0005-0000-0000-000055000000}"/>
    <cellStyle name="Текст предупреждения" xfId="83" xr:uid="{00000000-0005-0000-0000-000056000000}"/>
    <cellStyle name="Хороший" xfId="84" xr:uid="{00000000-0005-0000-0000-000057000000}"/>
  </cellStyles>
  <dxfs count="0"/>
  <tableStyles count="0" defaultTableStyle="TableStyleMedium2" defaultPivotStyle="PivotStyleLight16"/>
  <colors>
    <mruColors>
      <color rgb="FFCCFFFF"/>
      <color rgb="FFFF99FF"/>
      <color rgb="FF99FF99"/>
      <color rgb="FFFFFFCC"/>
      <color rgb="FFFFFF99"/>
      <color rgb="FF66FFCC"/>
      <color rgb="FFFF9900"/>
      <color rgb="FFFB0592"/>
      <color rgb="FF66FFFF"/>
      <color rgb="FF2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JET/2018/&#1056;&#1110;&#1096;&#1077;&#1085;&#1085;&#1103;%20&#1074;&#1110;&#1076;%2011.04.2018%20&#1088;&#1086;&#1082;&#1091;%20&#8470;3/&#1044;&#1086;&#1076;&#1072;&#1090;&#1082;&#1080;%202018%20&#1082;&#1074;&#1110;&#1090;&#1077;&#1085;&#1100;%20&#1087;&#1110;&#1089;&#1083;&#1103;%20&#1052;&#1042;&#10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4;&#1086;&#1076;&#1072;&#1090;&#1082;&#1080;%202018%20&#1078;&#1086;&#1074;&#1090;&#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1"/>
      <sheetName val="dod2"/>
      <sheetName val="dod3"/>
      <sheetName val="dod4"/>
      <sheetName val="dod5"/>
      <sheetName val="dod6"/>
      <sheetName val="dod7"/>
      <sheetName val="dod8"/>
      <sheetName val="dod3 базовий"/>
      <sheetName val="РІЗНИЦЯ"/>
    </sheetNames>
    <sheetDataSet>
      <sheetData sheetId="0"/>
      <sheetData sheetId="1"/>
      <sheetData sheetId="2"/>
      <sheetData sheetId="3"/>
      <sheetData sheetId="4">
        <row r="211">
          <cell r="J211">
            <v>421644884.31999999</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1"/>
      <sheetName val="dod2"/>
      <sheetName val="dod3"/>
      <sheetName val="dod4"/>
      <sheetName val="dod5"/>
      <sheetName val="dod6"/>
      <sheetName val="dod7"/>
      <sheetName val="dod8"/>
      <sheetName val="dod3 Квітень+Комісії+Сесія"/>
      <sheetName val="РІЗНИЦЯ по додатковому ресурсу"/>
      <sheetName val="dod3 квітень чистий"/>
      <sheetName val="Різниця до чистого"/>
      <sheetName val="РІЗНИЦЯ ВСЬОГО"/>
    </sheetNames>
    <sheetDataSet>
      <sheetData sheetId="0"/>
      <sheetData sheetId="1"/>
      <sheetData sheetId="2"/>
      <sheetData sheetId="3"/>
      <sheetData sheetId="4">
        <row r="7">
          <cell r="J7">
            <v>13135537.25</v>
          </cell>
        </row>
        <row r="21">
          <cell r="J21">
            <v>48055034</v>
          </cell>
        </row>
        <row r="36">
          <cell r="J36">
            <v>27523618</v>
          </cell>
        </row>
        <row r="54">
          <cell r="J54">
            <v>10806222.629999999</v>
          </cell>
        </row>
        <row r="74">
          <cell r="J74">
            <v>7961855</v>
          </cell>
        </row>
        <row r="89">
          <cell r="J89">
            <v>6834899.3200000003</v>
          </cell>
        </row>
        <row r="107">
          <cell r="J107">
            <v>222029779.88</v>
          </cell>
        </row>
        <row r="206">
          <cell r="J206">
            <v>134630394</v>
          </cell>
        </row>
        <row r="240">
          <cell r="J240">
            <v>182900</v>
          </cell>
        </row>
        <row r="247">
          <cell r="J247">
            <v>909350</v>
          </cell>
        </row>
        <row r="253">
          <cell r="J253">
            <v>300000</v>
          </cell>
        </row>
        <row r="260">
          <cell r="J260">
            <v>472369590.07999998</v>
          </cell>
        </row>
      </sheetData>
      <sheetData sheetId="5"/>
      <sheetData sheetId="6">
        <row r="18">
          <cell r="F18">
            <v>1271148.6600000001</v>
          </cell>
        </row>
      </sheetData>
      <sheetData sheetId="7"/>
      <sheetData sheetId="8">
        <row r="195">
          <cell r="P195">
            <v>3248792476.5799999</v>
          </cell>
        </row>
      </sheetData>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159"/>
  <sheetViews>
    <sheetView showZeros="0" view="pageBreakPreview" topLeftCell="A9" zoomScale="85" zoomScaleSheetLayoutView="85" workbookViewId="0">
      <selection activeCell="I130" sqref="I130"/>
    </sheetView>
  </sheetViews>
  <sheetFormatPr defaultColWidth="6.85546875" defaultRowHeight="12.75" x14ac:dyDescent="0.2"/>
  <cols>
    <col min="1" max="1" width="10.140625" style="58" customWidth="1"/>
    <col min="2" max="2" width="40.42578125" style="58" customWidth="1"/>
    <col min="3" max="4" width="17.28515625" style="58" customWidth="1"/>
    <col min="5" max="5" width="15.7109375" style="58" customWidth="1"/>
    <col min="6" max="6" width="14.5703125" style="58" customWidth="1"/>
    <col min="7" max="11" width="7.85546875" style="58" customWidth="1"/>
    <col min="12" max="243" width="7.85546875" style="59" customWidth="1"/>
    <col min="244" max="252" width="7.85546875" style="58" customWidth="1"/>
    <col min="253" max="16384" width="6.85546875" style="59"/>
  </cols>
  <sheetData>
    <row r="1" spans="1:252" ht="15.75" x14ac:dyDescent="0.2">
      <c r="D1" s="633" t="s">
        <v>142</v>
      </c>
      <c r="E1" s="634"/>
      <c r="F1" s="634"/>
      <c r="G1" s="634"/>
    </row>
    <row r="2" spans="1:252" ht="15.75" x14ac:dyDescent="0.2">
      <c r="C2" s="60"/>
      <c r="D2" s="633" t="s">
        <v>292</v>
      </c>
      <c r="E2" s="635"/>
      <c r="F2" s="635"/>
      <c r="G2" s="635"/>
      <c r="L2" s="58"/>
    </row>
    <row r="3" spans="1:252" ht="6" customHeight="1" x14ac:dyDescent="0.2">
      <c r="C3" s="60"/>
      <c r="D3" s="633"/>
      <c r="E3" s="635"/>
      <c r="F3" s="635"/>
      <c r="G3" s="635"/>
      <c r="L3" s="58"/>
    </row>
    <row r="4" spans="1:252" ht="20.25" hidden="1" x14ac:dyDescent="0.2">
      <c r="A4" s="636"/>
      <c r="B4" s="637"/>
      <c r="C4" s="637"/>
      <c r="D4" s="637"/>
      <c r="E4" s="637"/>
      <c r="F4" s="61"/>
      <c r="G4" s="61"/>
    </row>
    <row r="5" spans="1:252" ht="25.5" customHeight="1" x14ac:dyDescent="0.2">
      <c r="A5" s="638" t="s">
        <v>298</v>
      </c>
      <c r="B5" s="639"/>
      <c r="C5" s="639"/>
      <c r="D5" s="639"/>
      <c r="E5" s="639"/>
      <c r="G5" s="61"/>
    </row>
    <row r="6" spans="1:252" ht="10.5" customHeight="1" x14ac:dyDescent="0.2">
      <c r="B6" s="62"/>
      <c r="C6" s="62"/>
      <c r="D6" s="62"/>
      <c r="E6" s="62"/>
      <c r="F6" s="62" t="s">
        <v>143</v>
      </c>
      <c r="G6" s="61"/>
    </row>
    <row r="7" spans="1:252" s="66" customFormat="1" ht="31.5" customHeight="1" x14ac:dyDescent="0.2">
      <c r="A7" s="640" t="s">
        <v>144</v>
      </c>
      <c r="B7" s="640" t="s">
        <v>145</v>
      </c>
      <c r="C7" s="640" t="s">
        <v>7</v>
      </c>
      <c r="D7" s="640" t="s">
        <v>36</v>
      </c>
      <c r="E7" s="640" t="s">
        <v>124</v>
      </c>
      <c r="F7" s="640"/>
      <c r="G7" s="64"/>
      <c r="H7" s="65"/>
      <c r="I7" s="65"/>
      <c r="J7" s="65"/>
      <c r="K7" s="65"/>
      <c r="IJ7" s="65"/>
      <c r="IK7" s="65"/>
      <c r="IL7" s="65"/>
      <c r="IM7" s="65"/>
      <c r="IN7" s="65"/>
      <c r="IO7" s="65"/>
      <c r="IP7" s="65"/>
      <c r="IQ7" s="65"/>
      <c r="IR7" s="65"/>
    </row>
    <row r="8" spans="1:252" s="70" customFormat="1" ht="25.5" x14ac:dyDescent="0.25">
      <c r="A8" s="640"/>
      <c r="B8" s="640"/>
      <c r="C8" s="640"/>
      <c r="D8" s="640"/>
      <c r="E8" s="63" t="s">
        <v>7</v>
      </c>
      <c r="F8" s="67" t="s">
        <v>146</v>
      </c>
      <c r="G8" s="68"/>
      <c r="H8" s="69"/>
      <c r="I8" s="69"/>
      <c r="J8" s="69"/>
      <c r="K8" s="69"/>
      <c r="IJ8" s="69"/>
      <c r="IK8" s="69"/>
      <c r="IL8" s="69"/>
      <c r="IM8" s="69"/>
      <c r="IN8" s="69"/>
      <c r="IO8" s="69"/>
      <c r="IP8" s="69"/>
      <c r="IQ8" s="69"/>
      <c r="IR8" s="69"/>
    </row>
    <row r="9" spans="1:252" s="70" customFormat="1" ht="15.75" x14ac:dyDescent="0.25">
      <c r="A9" s="63">
        <v>1</v>
      </c>
      <c r="B9" s="63">
        <v>2</v>
      </c>
      <c r="C9" s="63">
        <v>3</v>
      </c>
      <c r="D9" s="63">
        <v>4</v>
      </c>
      <c r="E9" s="63">
        <v>5</v>
      </c>
      <c r="F9" s="67">
        <v>6</v>
      </c>
      <c r="G9" s="68"/>
      <c r="H9" s="69"/>
      <c r="I9" s="69"/>
      <c r="J9" s="69"/>
      <c r="K9" s="69"/>
      <c r="IJ9" s="69"/>
      <c r="IK9" s="69"/>
      <c r="IL9" s="69"/>
      <c r="IM9" s="69"/>
      <c r="IN9" s="69"/>
      <c r="IO9" s="69"/>
      <c r="IP9" s="69"/>
      <c r="IQ9" s="69"/>
      <c r="IR9" s="69"/>
    </row>
    <row r="10" spans="1:252" s="76" customFormat="1" ht="14.25" x14ac:dyDescent="0.2">
      <c r="A10" s="71">
        <v>10000000</v>
      </c>
      <c r="B10" s="72" t="s">
        <v>147</v>
      </c>
      <c r="C10" s="73">
        <f>SUM(D10,E10)</f>
        <v>1493442674.7</v>
      </c>
      <c r="D10" s="73">
        <f>SUM(D11,D20,D21,D22,D23,D41)</f>
        <v>1492592674.7</v>
      </c>
      <c r="E10" s="73">
        <v>850000</v>
      </c>
      <c r="F10" s="73"/>
      <c r="G10" s="74"/>
      <c r="H10" s="75"/>
      <c r="I10" s="75"/>
      <c r="J10" s="75"/>
      <c r="K10" s="75"/>
      <c r="IJ10" s="75"/>
      <c r="IK10" s="75"/>
      <c r="IL10" s="75"/>
      <c r="IM10" s="75"/>
      <c r="IN10" s="75"/>
      <c r="IO10" s="75"/>
      <c r="IP10" s="75"/>
      <c r="IQ10" s="75"/>
      <c r="IR10" s="75"/>
    </row>
    <row r="11" spans="1:252" s="83" customFormat="1" ht="25.5" x14ac:dyDescent="0.2">
      <c r="A11" s="77">
        <v>11000000</v>
      </c>
      <c r="B11" s="78" t="s">
        <v>148</v>
      </c>
      <c r="C11" s="79">
        <f t="shared" ref="C11:C80" si="0">SUM(D11,E11)</f>
        <v>925022966.77999997</v>
      </c>
      <c r="D11" s="79">
        <f>SUM(D12,D18)</f>
        <v>925022966.77999997</v>
      </c>
      <c r="E11" s="80"/>
      <c r="F11" s="80"/>
      <c r="G11" s="81"/>
      <c r="H11" s="82"/>
      <c r="I11" s="82"/>
      <c r="J11" s="82"/>
      <c r="K11" s="82"/>
      <c r="IJ11" s="82"/>
      <c r="IK11" s="82"/>
      <c r="IL11" s="82"/>
      <c r="IM11" s="82"/>
      <c r="IN11" s="82"/>
      <c r="IO11" s="82"/>
      <c r="IP11" s="82"/>
      <c r="IQ11" s="82"/>
      <c r="IR11" s="82"/>
    </row>
    <row r="12" spans="1:252" s="83" customFormat="1" ht="14.25" x14ac:dyDescent="0.2">
      <c r="A12" s="71">
        <v>11010000</v>
      </c>
      <c r="B12" s="84" t="s">
        <v>149</v>
      </c>
      <c r="C12" s="79">
        <f t="shared" si="0"/>
        <v>923722966.77999997</v>
      </c>
      <c r="D12" s="85">
        <f>SUM(D13:D17)</f>
        <v>923722966.77999997</v>
      </c>
      <c r="E12" s="73"/>
      <c r="F12" s="73"/>
      <c r="G12" s="81"/>
      <c r="H12" s="82"/>
      <c r="I12" s="82"/>
      <c r="J12" s="82"/>
      <c r="K12" s="82"/>
      <c r="IJ12" s="82"/>
      <c r="IK12" s="82"/>
      <c r="IL12" s="82"/>
      <c r="IM12" s="82"/>
      <c r="IN12" s="82"/>
      <c r="IO12" s="82"/>
      <c r="IP12" s="82"/>
      <c r="IQ12" s="82"/>
      <c r="IR12" s="82"/>
    </row>
    <row r="13" spans="1:252" s="83" customFormat="1" ht="36" x14ac:dyDescent="0.2">
      <c r="A13" s="86">
        <v>11010100</v>
      </c>
      <c r="B13" s="87" t="s">
        <v>150</v>
      </c>
      <c r="C13" s="73">
        <f t="shared" si="0"/>
        <v>792122966.77999997</v>
      </c>
      <c r="D13" s="88">
        <v>792122966.77999997</v>
      </c>
      <c r="E13" s="88"/>
      <c r="F13" s="88"/>
      <c r="G13" s="81"/>
      <c r="H13" s="82"/>
      <c r="I13" s="82"/>
      <c r="J13" s="82"/>
      <c r="K13" s="82"/>
      <c r="IJ13" s="82"/>
      <c r="IK13" s="82"/>
      <c r="IL13" s="82"/>
      <c r="IM13" s="82"/>
      <c r="IN13" s="82"/>
      <c r="IO13" s="82"/>
      <c r="IP13" s="82"/>
      <c r="IQ13" s="82"/>
      <c r="IR13" s="82"/>
    </row>
    <row r="14" spans="1:252" s="83" customFormat="1" ht="60" x14ac:dyDescent="0.2">
      <c r="A14" s="86">
        <v>11010200</v>
      </c>
      <c r="B14" s="87" t="s">
        <v>151</v>
      </c>
      <c r="C14" s="73">
        <f t="shared" si="0"/>
        <v>109200000</v>
      </c>
      <c r="D14" s="88">
        <v>109200000</v>
      </c>
      <c r="E14" s="88"/>
      <c r="F14" s="88"/>
      <c r="G14" s="81"/>
      <c r="H14" s="82"/>
      <c r="I14" s="82"/>
      <c r="J14" s="82"/>
      <c r="K14" s="82"/>
      <c r="IJ14" s="82"/>
      <c r="IK14" s="82"/>
      <c r="IL14" s="82"/>
      <c r="IM14" s="82"/>
      <c r="IN14" s="82"/>
      <c r="IO14" s="82"/>
      <c r="IP14" s="82"/>
      <c r="IQ14" s="82"/>
      <c r="IR14" s="82"/>
    </row>
    <row r="15" spans="1:252" s="83" customFormat="1" ht="36" x14ac:dyDescent="0.2">
      <c r="A15" s="86">
        <v>11010400</v>
      </c>
      <c r="B15" s="87" t="s">
        <v>152</v>
      </c>
      <c r="C15" s="73">
        <f t="shared" si="0"/>
        <v>7800000</v>
      </c>
      <c r="D15" s="88">
        <v>7800000</v>
      </c>
      <c r="E15" s="88"/>
      <c r="F15" s="88"/>
      <c r="G15" s="81"/>
      <c r="H15" s="82"/>
      <c r="I15" s="82"/>
      <c r="J15" s="82"/>
      <c r="K15" s="82"/>
      <c r="IJ15" s="82"/>
      <c r="IK15" s="82"/>
      <c r="IL15" s="82"/>
      <c r="IM15" s="82"/>
      <c r="IN15" s="82"/>
      <c r="IO15" s="82"/>
      <c r="IP15" s="82"/>
      <c r="IQ15" s="82"/>
      <c r="IR15" s="82"/>
    </row>
    <row r="16" spans="1:252" s="69" customFormat="1" ht="36" x14ac:dyDescent="0.25">
      <c r="A16" s="86">
        <v>11010500</v>
      </c>
      <c r="B16" s="87" t="s">
        <v>153</v>
      </c>
      <c r="C16" s="73">
        <f t="shared" si="0"/>
        <v>14100000</v>
      </c>
      <c r="D16" s="88">
        <v>14100000</v>
      </c>
      <c r="E16" s="88"/>
      <c r="F16" s="88"/>
      <c r="G16" s="68"/>
    </row>
    <row r="17" spans="1:252" s="69" customFormat="1" ht="60" x14ac:dyDescent="0.25">
      <c r="A17" s="86">
        <v>11010900</v>
      </c>
      <c r="B17" s="87" t="s">
        <v>720</v>
      </c>
      <c r="C17" s="73">
        <v>500000</v>
      </c>
      <c r="D17" s="88">
        <v>500000</v>
      </c>
      <c r="E17" s="88"/>
      <c r="F17" s="88"/>
      <c r="G17" s="68"/>
    </row>
    <row r="18" spans="1:252" s="76" customFormat="1" ht="15" x14ac:dyDescent="0.2">
      <c r="A18" s="77">
        <v>11020000</v>
      </c>
      <c r="B18" s="84" t="s">
        <v>154</v>
      </c>
      <c r="C18" s="73">
        <f t="shared" si="0"/>
        <v>1300000</v>
      </c>
      <c r="D18" s="89">
        <f>SUM(D19)</f>
        <v>1300000</v>
      </c>
      <c r="E18" s="90"/>
      <c r="F18" s="90"/>
      <c r="G18" s="74"/>
      <c r="H18" s="75"/>
      <c r="I18" s="75"/>
      <c r="J18" s="75"/>
      <c r="K18" s="75"/>
      <c r="IJ18" s="75"/>
      <c r="IK18" s="75"/>
      <c r="IL18" s="75"/>
      <c r="IM18" s="75"/>
      <c r="IN18" s="75"/>
      <c r="IO18" s="75"/>
      <c r="IP18" s="75"/>
      <c r="IQ18" s="75"/>
      <c r="IR18" s="75"/>
    </row>
    <row r="19" spans="1:252" s="70" customFormat="1" ht="24" x14ac:dyDescent="0.25">
      <c r="A19" s="86">
        <v>11020200</v>
      </c>
      <c r="B19" s="91" t="s">
        <v>155</v>
      </c>
      <c r="C19" s="73">
        <f t="shared" si="0"/>
        <v>1300000</v>
      </c>
      <c r="D19" s="80">
        <v>1300000</v>
      </c>
      <c r="E19" s="92"/>
      <c r="F19" s="80"/>
      <c r="G19" s="68"/>
      <c r="H19" s="69"/>
      <c r="I19" s="69"/>
      <c r="J19" s="69"/>
      <c r="K19" s="69"/>
      <c r="IJ19" s="69"/>
      <c r="IK19" s="69"/>
      <c r="IL19" s="69"/>
      <c r="IM19" s="69"/>
      <c r="IN19" s="69"/>
      <c r="IO19" s="69"/>
      <c r="IP19" s="69"/>
      <c r="IQ19" s="69"/>
      <c r="IR19" s="69"/>
    </row>
    <row r="20" spans="1:252" s="96" customFormat="1" ht="26.25" customHeight="1" x14ac:dyDescent="0.2">
      <c r="A20" s="67">
        <v>14021900</v>
      </c>
      <c r="B20" s="78" t="s">
        <v>288</v>
      </c>
      <c r="C20" s="79">
        <f>SUM(D20,E20)</f>
        <v>15165000</v>
      </c>
      <c r="D20" s="79">
        <v>15165000</v>
      </c>
      <c r="E20" s="93"/>
      <c r="F20" s="93"/>
      <c r="G20" s="94"/>
      <c r="H20" s="95"/>
      <c r="I20" s="95"/>
      <c r="J20" s="95"/>
      <c r="K20" s="95"/>
      <c r="IJ20" s="95"/>
      <c r="IK20" s="95"/>
      <c r="IL20" s="95"/>
      <c r="IM20" s="95"/>
      <c r="IN20" s="95"/>
      <c r="IO20" s="95"/>
      <c r="IP20" s="95"/>
      <c r="IQ20" s="95"/>
      <c r="IR20" s="95"/>
    </row>
    <row r="21" spans="1:252" s="96" customFormat="1" ht="22.5" customHeight="1" x14ac:dyDescent="0.2">
      <c r="A21" s="67">
        <v>14031900</v>
      </c>
      <c r="B21" s="78" t="s">
        <v>289</v>
      </c>
      <c r="C21" s="79">
        <v>58935000</v>
      </c>
      <c r="D21" s="79">
        <v>58935000</v>
      </c>
      <c r="E21" s="93"/>
      <c r="F21" s="93"/>
      <c r="G21" s="94"/>
      <c r="H21" s="95"/>
      <c r="I21" s="95"/>
      <c r="J21" s="95"/>
      <c r="K21" s="95"/>
      <c r="IJ21" s="95"/>
      <c r="IK21" s="95"/>
      <c r="IL21" s="95"/>
      <c r="IM21" s="95"/>
      <c r="IN21" s="95"/>
      <c r="IO21" s="95"/>
      <c r="IP21" s="95"/>
      <c r="IQ21" s="95"/>
      <c r="IR21" s="95"/>
    </row>
    <row r="22" spans="1:252" s="96" customFormat="1" ht="39.75" customHeight="1" x14ac:dyDescent="0.2">
      <c r="A22" s="67">
        <v>14040000</v>
      </c>
      <c r="B22" s="78" t="s">
        <v>156</v>
      </c>
      <c r="C22" s="79">
        <v>79250000</v>
      </c>
      <c r="D22" s="79">
        <v>79250000</v>
      </c>
      <c r="E22" s="93"/>
      <c r="F22" s="93"/>
      <c r="G22" s="94"/>
      <c r="H22" s="95"/>
      <c r="I22" s="95"/>
      <c r="J22" s="95"/>
      <c r="K22" s="95"/>
      <c r="IJ22" s="95"/>
      <c r="IK22" s="95"/>
      <c r="IL22" s="95"/>
      <c r="IM22" s="95"/>
      <c r="IN22" s="95"/>
      <c r="IO22" s="95"/>
      <c r="IP22" s="95"/>
      <c r="IQ22" s="95"/>
      <c r="IR22" s="95"/>
    </row>
    <row r="23" spans="1:252" s="70" customFormat="1" ht="15" x14ac:dyDescent="0.25">
      <c r="A23" s="71">
        <v>18000000</v>
      </c>
      <c r="B23" s="97" t="s">
        <v>157</v>
      </c>
      <c r="C23" s="73">
        <f t="shared" si="0"/>
        <v>414219707.92000002</v>
      </c>
      <c r="D23" s="73">
        <f>SUM(D24,D35,D38)</f>
        <v>414219707.92000002</v>
      </c>
      <c r="E23" s="73"/>
      <c r="F23" s="73"/>
      <c r="G23" s="68"/>
      <c r="H23" s="69"/>
      <c r="I23" s="69"/>
      <c r="J23" s="69"/>
      <c r="K23" s="69"/>
      <c r="IJ23" s="69"/>
      <c r="IK23" s="69"/>
      <c r="IL23" s="69"/>
      <c r="IM23" s="69"/>
      <c r="IN23" s="69"/>
      <c r="IO23" s="69"/>
      <c r="IP23" s="69"/>
      <c r="IQ23" s="69"/>
      <c r="IR23" s="69"/>
    </row>
    <row r="24" spans="1:252" s="70" customFormat="1" ht="15" x14ac:dyDescent="0.25">
      <c r="A24" s="77">
        <v>18010000</v>
      </c>
      <c r="B24" s="98" t="s">
        <v>158</v>
      </c>
      <c r="C24" s="73">
        <f t="shared" si="0"/>
        <v>169044707.92000002</v>
      </c>
      <c r="D24" s="99">
        <f>SUM(D25:D34)</f>
        <v>169044707.92000002</v>
      </c>
      <c r="E24" s="80"/>
      <c r="F24" s="80"/>
      <c r="G24" s="68"/>
      <c r="H24" s="69"/>
      <c r="I24" s="69"/>
      <c r="J24" s="69"/>
      <c r="K24" s="69"/>
      <c r="IJ24" s="69"/>
      <c r="IK24" s="69"/>
      <c r="IL24" s="69"/>
      <c r="IM24" s="69"/>
      <c r="IN24" s="69"/>
      <c r="IO24" s="69"/>
      <c r="IP24" s="69"/>
      <c r="IQ24" s="69"/>
      <c r="IR24" s="69"/>
    </row>
    <row r="25" spans="1:252" s="70" customFormat="1" ht="36" x14ac:dyDescent="0.25">
      <c r="A25" s="77">
        <v>18010100</v>
      </c>
      <c r="B25" s="100" t="s">
        <v>159</v>
      </c>
      <c r="C25" s="73">
        <f t="shared" si="0"/>
        <v>175200</v>
      </c>
      <c r="D25" s="80">
        <v>175200</v>
      </c>
      <c r="E25" s="80"/>
      <c r="F25" s="80"/>
      <c r="G25" s="68"/>
      <c r="H25" s="69"/>
      <c r="I25" s="69"/>
      <c r="J25" s="69"/>
      <c r="K25" s="69"/>
      <c r="IJ25" s="69"/>
      <c r="IK25" s="69"/>
      <c r="IL25" s="69"/>
      <c r="IM25" s="69"/>
      <c r="IN25" s="69"/>
      <c r="IO25" s="69"/>
      <c r="IP25" s="69"/>
      <c r="IQ25" s="69"/>
      <c r="IR25" s="69"/>
    </row>
    <row r="26" spans="1:252" s="70" customFormat="1" ht="36" x14ac:dyDescent="0.25">
      <c r="A26" s="77">
        <v>18010200</v>
      </c>
      <c r="B26" s="100" t="s">
        <v>160</v>
      </c>
      <c r="C26" s="73">
        <f>D26</f>
        <v>9416420</v>
      </c>
      <c r="D26" s="80">
        <v>9416420</v>
      </c>
      <c r="E26" s="80"/>
      <c r="F26" s="80"/>
      <c r="G26" s="68"/>
      <c r="H26" s="69"/>
      <c r="I26" s="69"/>
      <c r="J26" s="69"/>
      <c r="K26" s="69"/>
      <c r="IJ26" s="69"/>
      <c r="IK26" s="69"/>
      <c r="IL26" s="69"/>
      <c r="IM26" s="69"/>
      <c r="IN26" s="69"/>
      <c r="IO26" s="69"/>
      <c r="IP26" s="69"/>
      <c r="IQ26" s="69"/>
      <c r="IR26" s="69"/>
    </row>
    <row r="27" spans="1:252" s="70" customFormat="1" ht="36" x14ac:dyDescent="0.25">
      <c r="A27" s="77">
        <v>18010300</v>
      </c>
      <c r="B27" s="100" t="s">
        <v>161</v>
      </c>
      <c r="C27" s="73">
        <f t="shared" si="0"/>
        <v>650500</v>
      </c>
      <c r="D27" s="80">
        <v>650500</v>
      </c>
      <c r="E27" s="80"/>
      <c r="F27" s="80"/>
      <c r="G27" s="68"/>
      <c r="H27" s="69"/>
      <c r="I27" s="69"/>
      <c r="J27" s="69"/>
      <c r="K27" s="69"/>
      <c r="IJ27" s="69"/>
      <c r="IK27" s="69"/>
      <c r="IL27" s="69"/>
      <c r="IM27" s="69"/>
      <c r="IN27" s="69"/>
      <c r="IO27" s="69"/>
      <c r="IP27" s="69"/>
      <c r="IQ27" s="69"/>
      <c r="IR27" s="69"/>
    </row>
    <row r="28" spans="1:252" s="70" customFormat="1" ht="36" x14ac:dyDescent="0.25">
      <c r="A28" s="77">
        <v>18010400</v>
      </c>
      <c r="B28" s="100" t="s">
        <v>162</v>
      </c>
      <c r="C28" s="73">
        <f t="shared" si="0"/>
        <v>7944300</v>
      </c>
      <c r="D28" s="80">
        <v>7944300</v>
      </c>
      <c r="E28" s="80"/>
      <c r="F28" s="80"/>
      <c r="G28" s="68"/>
      <c r="H28" s="69"/>
      <c r="I28" s="69"/>
      <c r="J28" s="69"/>
      <c r="K28" s="69"/>
      <c r="IJ28" s="69"/>
      <c r="IK28" s="69"/>
      <c r="IL28" s="69"/>
      <c r="IM28" s="69"/>
      <c r="IN28" s="69"/>
      <c r="IO28" s="69"/>
      <c r="IP28" s="69"/>
      <c r="IQ28" s="69"/>
      <c r="IR28" s="69"/>
    </row>
    <row r="29" spans="1:252" s="70" customFormat="1" ht="15" x14ac:dyDescent="0.25">
      <c r="A29" s="77">
        <v>18010500</v>
      </c>
      <c r="B29" s="101" t="s">
        <v>163</v>
      </c>
      <c r="C29" s="73">
        <f t="shared" si="0"/>
        <v>34500000</v>
      </c>
      <c r="D29" s="80">
        <v>34500000</v>
      </c>
      <c r="E29" s="80"/>
      <c r="F29" s="80"/>
      <c r="G29" s="68"/>
      <c r="H29" s="69"/>
      <c r="I29" s="69"/>
      <c r="J29" s="69"/>
      <c r="K29" s="69"/>
      <c r="IJ29" s="69"/>
      <c r="IK29" s="69"/>
      <c r="IL29" s="69"/>
      <c r="IM29" s="69"/>
      <c r="IN29" s="69"/>
      <c r="IO29" s="69"/>
      <c r="IP29" s="69"/>
      <c r="IQ29" s="69"/>
      <c r="IR29" s="69"/>
    </row>
    <row r="30" spans="1:252" s="70" customFormat="1" ht="15" x14ac:dyDescent="0.25">
      <c r="A30" s="77">
        <v>18010600</v>
      </c>
      <c r="B30" s="100" t="s">
        <v>164</v>
      </c>
      <c r="C30" s="73">
        <f t="shared" si="0"/>
        <v>85000000</v>
      </c>
      <c r="D30" s="80">
        <v>85000000</v>
      </c>
      <c r="E30" s="80"/>
      <c r="F30" s="80"/>
      <c r="G30" s="68"/>
      <c r="H30" s="69"/>
      <c r="I30" s="69"/>
      <c r="J30" s="69"/>
      <c r="K30" s="69"/>
      <c r="IJ30" s="69"/>
      <c r="IK30" s="69"/>
      <c r="IL30" s="69"/>
      <c r="IM30" s="69"/>
      <c r="IN30" s="69"/>
      <c r="IO30" s="69"/>
      <c r="IP30" s="69"/>
      <c r="IQ30" s="69"/>
      <c r="IR30" s="69"/>
    </row>
    <row r="31" spans="1:252" s="70" customFormat="1" ht="15" x14ac:dyDescent="0.25">
      <c r="A31" s="77">
        <v>18010700</v>
      </c>
      <c r="B31" s="100" t="s">
        <v>165</v>
      </c>
      <c r="C31" s="73">
        <f t="shared" si="0"/>
        <v>2560000</v>
      </c>
      <c r="D31" s="80">
        <v>2560000</v>
      </c>
      <c r="E31" s="80"/>
      <c r="F31" s="80"/>
      <c r="G31" s="68"/>
      <c r="H31" s="69"/>
      <c r="I31" s="69"/>
      <c r="J31" s="69"/>
      <c r="K31" s="69"/>
      <c r="IJ31" s="69"/>
      <c r="IK31" s="69"/>
      <c r="IL31" s="69"/>
      <c r="IM31" s="69"/>
      <c r="IN31" s="69"/>
      <c r="IO31" s="69"/>
      <c r="IP31" s="69"/>
      <c r="IQ31" s="69"/>
      <c r="IR31" s="69"/>
    </row>
    <row r="32" spans="1:252" s="70" customFormat="1" ht="15" x14ac:dyDescent="0.25">
      <c r="A32" s="77">
        <v>18010900</v>
      </c>
      <c r="B32" s="100" t="s">
        <v>166</v>
      </c>
      <c r="C32" s="73">
        <f t="shared" si="0"/>
        <v>24298287.920000002</v>
      </c>
      <c r="D32" s="80">
        <v>24298287.920000002</v>
      </c>
      <c r="E32" s="80"/>
      <c r="F32" s="80"/>
      <c r="G32" s="68"/>
      <c r="H32" s="69"/>
      <c r="I32" s="69"/>
      <c r="J32" s="69"/>
      <c r="K32" s="69"/>
      <c r="IJ32" s="69"/>
      <c r="IK32" s="69"/>
      <c r="IL32" s="69"/>
      <c r="IM32" s="69"/>
      <c r="IN32" s="69"/>
      <c r="IO32" s="69"/>
      <c r="IP32" s="69"/>
      <c r="IQ32" s="69"/>
      <c r="IR32" s="69"/>
    </row>
    <row r="33" spans="1:252" s="76" customFormat="1" ht="15" x14ac:dyDescent="0.2">
      <c r="A33" s="77">
        <v>18011000</v>
      </c>
      <c r="B33" s="100" t="s">
        <v>167</v>
      </c>
      <c r="C33" s="73">
        <f t="shared" si="0"/>
        <v>2800000</v>
      </c>
      <c r="D33" s="80">
        <v>2800000</v>
      </c>
      <c r="E33" s="80"/>
      <c r="F33" s="80"/>
      <c r="G33" s="74"/>
      <c r="H33" s="75"/>
      <c r="I33" s="75"/>
      <c r="J33" s="75"/>
      <c r="K33" s="75"/>
      <c r="IJ33" s="75"/>
      <c r="IK33" s="75"/>
      <c r="IL33" s="75"/>
      <c r="IM33" s="75"/>
      <c r="IN33" s="75"/>
      <c r="IO33" s="75"/>
      <c r="IP33" s="75"/>
      <c r="IQ33" s="75"/>
      <c r="IR33" s="75"/>
    </row>
    <row r="34" spans="1:252" s="70" customFormat="1" ht="15" x14ac:dyDescent="0.25">
      <c r="A34" s="77">
        <v>18011100</v>
      </c>
      <c r="B34" s="100" t="s">
        <v>168</v>
      </c>
      <c r="C34" s="73">
        <f t="shared" si="0"/>
        <v>1700000</v>
      </c>
      <c r="D34" s="80">
        <v>1700000</v>
      </c>
      <c r="E34" s="80"/>
      <c r="F34" s="80"/>
      <c r="G34" s="68"/>
      <c r="H34" s="69"/>
      <c r="I34" s="69"/>
      <c r="J34" s="69"/>
      <c r="K34" s="69"/>
      <c r="IJ34" s="69"/>
      <c r="IK34" s="69"/>
      <c r="IL34" s="69"/>
      <c r="IM34" s="69"/>
      <c r="IN34" s="69"/>
      <c r="IO34" s="69"/>
      <c r="IP34" s="69"/>
      <c r="IQ34" s="69"/>
      <c r="IR34" s="69"/>
    </row>
    <row r="35" spans="1:252" s="70" customFormat="1" ht="15" x14ac:dyDescent="0.25">
      <c r="A35" s="71">
        <v>1803000</v>
      </c>
      <c r="B35" s="102" t="s">
        <v>169</v>
      </c>
      <c r="C35" s="73">
        <f t="shared" si="0"/>
        <v>175000</v>
      </c>
      <c r="D35" s="73">
        <f>SUM(D36:D37)</f>
        <v>175000</v>
      </c>
      <c r="E35" s="73"/>
      <c r="F35" s="73"/>
      <c r="G35" s="68"/>
      <c r="H35" s="69"/>
      <c r="I35" s="69"/>
      <c r="J35" s="69"/>
      <c r="K35" s="69"/>
      <c r="IJ35" s="69"/>
      <c r="IK35" s="69"/>
      <c r="IL35" s="69"/>
      <c r="IM35" s="69"/>
      <c r="IN35" s="69"/>
      <c r="IO35" s="69"/>
      <c r="IP35" s="69"/>
      <c r="IQ35" s="69"/>
      <c r="IR35" s="69"/>
    </row>
    <row r="36" spans="1:252" s="70" customFormat="1" ht="24" x14ac:dyDescent="0.25">
      <c r="A36" s="77">
        <v>18030100</v>
      </c>
      <c r="B36" s="100" t="s">
        <v>170</v>
      </c>
      <c r="C36" s="73">
        <f t="shared" si="0"/>
        <v>118000</v>
      </c>
      <c r="D36" s="80">
        <v>118000</v>
      </c>
      <c r="E36" s="80"/>
      <c r="F36" s="80"/>
      <c r="G36" s="68"/>
      <c r="H36" s="69"/>
      <c r="I36" s="69"/>
      <c r="J36" s="69"/>
      <c r="K36" s="69"/>
      <c r="IJ36" s="69"/>
      <c r="IK36" s="69"/>
      <c r="IL36" s="69"/>
      <c r="IM36" s="69"/>
      <c r="IN36" s="69"/>
      <c r="IO36" s="69"/>
      <c r="IP36" s="69"/>
      <c r="IQ36" s="69"/>
      <c r="IR36" s="69"/>
    </row>
    <row r="37" spans="1:252" s="70" customFormat="1" ht="24" x14ac:dyDescent="0.25">
      <c r="A37" s="77">
        <v>18030200</v>
      </c>
      <c r="B37" s="100" t="s">
        <v>171</v>
      </c>
      <c r="C37" s="73">
        <f t="shared" si="0"/>
        <v>57000</v>
      </c>
      <c r="D37" s="80">
        <v>57000</v>
      </c>
      <c r="E37" s="80"/>
      <c r="F37" s="80"/>
      <c r="G37" s="68"/>
      <c r="H37" s="69"/>
      <c r="I37" s="69"/>
      <c r="J37" s="69"/>
      <c r="K37" s="69"/>
      <c r="IJ37" s="69"/>
      <c r="IK37" s="69"/>
      <c r="IL37" s="69"/>
      <c r="IM37" s="69"/>
      <c r="IN37" s="69"/>
      <c r="IO37" s="69"/>
      <c r="IP37" s="69"/>
      <c r="IQ37" s="69"/>
      <c r="IR37" s="69"/>
    </row>
    <row r="38" spans="1:252" s="70" customFormat="1" ht="15" x14ac:dyDescent="0.25">
      <c r="A38" s="71">
        <v>18050000</v>
      </c>
      <c r="B38" s="98" t="s">
        <v>172</v>
      </c>
      <c r="C38" s="73">
        <f t="shared" si="0"/>
        <v>245000000</v>
      </c>
      <c r="D38" s="73">
        <f>SUM(D39:D40)</f>
        <v>245000000</v>
      </c>
      <c r="E38" s="80"/>
      <c r="F38" s="80"/>
      <c r="G38" s="68"/>
      <c r="H38" s="69"/>
      <c r="I38" s="69"/>
      <c r="J38" s="69"/>
      <c r="K38" s="69"/>
      <c r="IJ38" s="69"/>
      <c r="IK38" s="69"/>
      <c r="IL38" s="69"/>
      <c r="IM38" s="69"/>
      <c r="IN38" s="69"/>
      <c r="IO38" s="69"/>
      <c r="IP38" s="69"/>
      <c r="IQ38" s="69"/>
      <c r="IR38" s="69"/>
    </row>
    <row r="39" spans="1:252" s="70" customFormat="1" ht="17.25" customHeight="1" x14ac:dyDescent="0.25">
      <c r="A39" s="77">
        <v>18050300</v>
      </c>
      <c r="B39" s="87" t="s">
        <v>173</v>
      </c>
      <c r="C39" s="79">
        <f t="shared" si="0"/>
        <v>59980000</v>
      </c>
      <c r="D39" s="80">
        <v>59980000</v>
      </c>
      <c r="E39" s="80"/>
      <c r="F39" s="80"/>
      <c r="G39" s="68"/>
      <c r="H39" s="69"/>
      <c r="I39" s="69"/>
      <c r="J39" s="69"/>
      <c r="K39" s="69"/>
      <c r="IJ39" s="69"/>
      <c r="IK39" s="69"/>
      <c r="IL39" s="69"/>
      <c r="IM39" s="69"/>
      <c r="IN39" s="69"/>
      <c r="IO39" s="69"/>
      <c r="IP39" s="69"/>
      <c r="IQ39" s="69"/>
      <c r="IR39" s="69"/>
    </row>
    <row r="40" spans="1:252" s="76" customFormat="1" ht="15" x14ac:dyDescent="0.2">
      <c r="A40" s="77">
        <v>18050400</v>
      </c>
      <c r="B40" s="100" t="s">
        <v>174</v>
      </c>
      <c r="C40" s="79">
        <f t="shared" si="0"/>
        <v>185020000</v>
      </c>
      <c r="D40" s="80">
        <v>185020000</v>
      </c>
      <c r="E40" s="80"/>
      <c r="F40" s="80"/>
      <c r="G40" s="74"/>
      <c r="H40" s="75"/>
      <c r="I40" s="75"/>
      <c r="J40" s="75"/>
      <c r="K40" s="75"/>
      <c r="IJ40" s="75"/>
      <c r="IK40" s="75"/>
      <c r="IL40" s="75"/>
      <c r="IM40" s="75"/>
      <c r="IN40" s="75"/>
      <c r="IO40" s="75"/>
      <c r="IP40" s="75"/>
      <c r="IQ40" s="75"/>
      <c r="IR40" s="75"/>
    </row>
    <row r="41" spans="1:252" s="70" customFormat="1" ht="15" x14ac:dyDescent="0.25">
      <c r="A41" s="71">
        <v>1901000</v>
      </c>
      <c r="B41" s="97" t="s">
        <v>175</v>
      </c>
      <c r="C41" s="73">
        <f t="shared" si="0"/>
        <v>850000</v>
      </c>
      <c r="D41" s="73">
        <f>SUM(D42:D44)</f>
        <v>0</v>
      </c>
      <c r="E41" s="73">
        <f>SUM(E42:E44)</f>
        <v>850000</v>
      </c>
      <c r="F41" s="73"/>
      <c r="G41" s="68"/>
      <c r="H41" s="69"/>
      <c r="I41" s="69"/>
      <c r="J41" s="69"/>
      <c r="K41" s="69"/>
      <c r="IJ41" s="69"/>
      <c r="IK41" s="69"/>
      <c r="IL41" s="69"/>
      <c r="IM41" s="69"/>
      <c r="IN41" s="69"/>
      <c r="IO41" s="69"/>
      <c r="IP41" s="69"/>
      <c r="IQ41" s="69"/>
      <c r="IR41" s="69"/>
    </row>
    <row r="42" spans="1:252" s="70" customFormat="1" ht="36" x14ac:dyDescent="0.25">
      <c r="A42" s="77">
        <v>19010100</v>
      </c>
      <c r="B42" s="87" t="s">
        <v>176</v>
      </c>
      <c r="C42" s="73">
        <f t="shared" si="0"/>
        <v>287700</v>
      </c>
      <c r="D42" s="80"/>
      <c r="E42" s="80">
        <v>287700</v>
      </c>
      <c r="F42" s="80"/>
      <c r="G42" s="68"/>
      <c r="H42" s="69"/>
      <c r="I42" s="69"/>
      <c r="J42" s="69"/>
      <c r="K42" s="69"/>
      <c r="IJ42" s="69"/>
      <c r="IK42" s="69"/>
      <c r="IL42" s="69"/>
      <c r="IM42" s="69"/>
      <c r="IN42" s="69"/>
      <c r="IO42" s="69"/>
      <c r="IP42" s="69"/>
      <c r="IQ42" s="69"/>
      <c r="IR42" s="69"/>
    </row>
    <row r="43" spans="1:252" s="96" customFormat="1" ht="24" x14ac:dyDescent="0.2">
      <c r="A43" s="77">
        <v>19010200</v>
      </c>
      <c r="B43" s="87" t="s">
        <v>177</v>
      </c>
      <c r="C43" s="73">
        <f t="shared" si="0"/>
        <v>81300</v>
      </c>
      <c r="D43" s="80"/>
      <c r="E43" s="80">
        <v>81300</v>
      </c>
      <c r="F43" s="80"/>
      <c r="G43" s="94"/>
      <c r="H43" s="95"/>
      <c r="I43" s="95"/>
      <c r="J43" s="95"/>
      <c r="K43" s="95"/>
      <c r="IJ43" s="95"/>
      <c r="IK43" s="95"/>
      <c r="IL43" s="95"/>
      <c r="IM43" s="95"/>
      <c r="IN43" s="95"/>
      <c r="IO43" s="95"/>
      <c r="IP43" s="95"/>
      <c r="IQ43" s="95"/>
      <c r="IR43" s="95"/>
    </row>
    <row r="44" spans="1:252" s="70" customFormat="1" ht="48" x14ac:dyDescent="0.25">
      <c r="A44" s="77">
        <v>19010300</v>
      </c>
      <c r="B44" s="87" t="s">
        <v>178</v>
      </c>
      <c r="C44" s="73">
        <f t="shared" si="0"/>
        <v>481000</v>
      </c>
      <c r="D44" s="80"/>
      <c r="E44" s="80">
        <v>481000</v>
      </c>
      <c r="F44" s="80"/>
      <c r="G44" s="68"/>
      <c r="H44" s="69"/>
      <c r="I44" s="69"/>
      <c r="J44" s="69"/>
      <c r="K44" s="69"/>
      <c r="IJ44" s="69"/>
      <c r="IK44" s="69"/>
      <c r="IL44" s="69"/>
      <c r="IM44" s="69"/>
      <c r="IN44" s="69"/>
      <c r="IO44" s="69"/>
      <c r="IP44" s="69"/>
      <c r="IQ44" s="69"/>
      <c r="IR44" s="69"/>
    </row>
    <row r="45" spans="1:252" s="70" customFormat="1" ht="15" x14ac:dyDescent="0.25">
      <c r="A45" s="71">
        <v>20000000</v>
      </c>
      <c r="B45" s="72" t="s">
        <v>179</v>
      </c>
      <c r="C45" s="73">
        <f t="shared" si="0"/>
        <v>208773367</v>
      </c>
      <c r="D45" s="79">
        <f>SUM(D46,D47,D48,D51,D52,D61,D65)</f>
        <v>72060000</v>
      </c>
      <c r="E45" s="79">
        <f>SUM(E46,E52,E61,E57,E65)</f>
        <v>136713367</v>
      </c>
      <c r="F45" s="79">
        <f>SUM(F46,F52,F61,F57)</f>
        <v>22000000</v>
      </c>
      <c r="G45" s="68"/>
      <c r="H45" s="69"/>
      <c r="I45" s="69"/>
      <c r="J45" s="69"/>
      <c r="K45" s="69"/>
      <c r="IJ45" s="69"/>
      <c r="IK45" s="69"/>
      <c r="IL45" s="69"/>
      <c r="IM45" s="69"/>
      <c r="IN45" s="69"/>
      <c r="IO45" s="69"/>
      <c r="IP45" s="69"/>
      <c r="IQ45" s="69"/>
      <c r="IR45" s="69"/>
    </row>
    <row r="46" spans="1:252" s="70" customFormat="1" ht="41.25" customHeight="1" x14ac:dyDescent="0.25">
      <c r="A46" s="77">
        <v>21010300</v>
      </c>
      <c r="B46" s="103" t="s">
        <v>180</v>
      </c>
      <c r="C46" s="73">
        <f t="shared" si="0"/>
        <v>900000</v>
      </c>
      <c r="D46" s="80">
        <v>900000</v>
      </c>
      <c r="E46" s="80"/>
      <c r="F46" s="80"/>
      <c r="G46" s="68"/>
      <c r="H46" s="69"/>
      <c r="I46" s="69"/>
      <c r="J46" s="69"/>
      <c r="K46" s="69"/>
      <c r="IJ46" s="69"/>
      <c r="IK46" s="69"/>
      <c r="IL46" s="69"/>
      <c r="IM46" s="69"/>
      <c r="IN46" s="69"/>
      <c r="IO46" s="69"/>
      <c r="IP46" s="69"/>
      <c r="IQ46" s="69"/>
      <c r="IR46" s="69"/>
    </row>
    <row r="47" spans="1:252" s="70" customFormat="1" ht="27" customHeight="1" x14ac:dyDescent="0.25">
      <c r="A47" s="77">
        <v>21050000</v>
      </c>
      <c r="B47" s="103" t="s">
        <v>181</v>
      </c>
      <c r="C47" s="73">
        <v>12000000</v>
      </c>
      <c r="D47" s="80">
        <v>12000000</v>
      </c>
      <c r="E47" s="80"/>
      <c r="F47" s="80"/>
      <c r="G47" s="68"/>
      <c r="H47" s="69"/>
      <c r="I47" s="69"/>
      <c r="J47" s="69"/>
      <c r="K47" s="69"/>
      <c r="IJ47" s="69"/>
      <c r="IK47" s="69"/>
      <c r="IL47" s="69"/>
      <c r="IM47" s="69"/>
      <c r="IN47" s="69"/>
      <c r="IO47" s="69"/>
      <c r="IP47" s="69"/>
      <c r="IQ47" s="69"/>
      <c r="IR47" s="69"/>
    </row>
    <row r="48" spans="1:252" s="96" customFormat="1" ht="27" x14ac:dyDescent="0.2">
      <c r="A48" s="104">
        <v>21800000</v>
      </c>
      <c r="B48" s="105" t="s">
        <v>182</v>
      </c>
      <c r="C48" s="79">
        <f>SUM(D48,E48)</f>
        <v>1700000</v>
      </c>
      <c r="D48" s="85">
        <f>SUM(D49:D50)</f>
        <v>1700000</v>
      </c>
      <c r="E48" s="85"/>
      <c r="F48" s="85"/>
      <c r="G48" s="94"/>
      <c r="H48" s="95"/>
      <c r="I48" s="95"/>
      <c r="J48" s="95"/>
      <c r="K48" s="95"/>
      <c r="IJ48" s="95"/>
      <c r="IK48" s="95"/>
      <c r="IL48" s="95"/>
      <c r="IM48" s="95"/>
      <c r="IN48" s="95"/>
      <c r="IO48" s="95"/>
      <c r="IP48" s="95"/>
      <c r="IQ48" s="95"/>
      <c r="IR48" s="95"/>
    </row>
    <row r="49" spans="1:252" s="70" customFormat="1" ht="15" x14ac:dyDescent="0.25">
      <c r="A49" s="86">
        <v>21081100</v>
      </c>
      <c r="B49" s="106" t="s">
        <v>183</v>
      </c>
      <c r="C49" s="73">
        <f>SUM(D49,E49)</f>
        <v>890000</v>
      </c>
      <c r="D49" s="80">
        <v>890000</v>
      </c>
      <c r="E49" s="80"/>
      <c r="F49" s="80"/>
      <c r="G49" s="68"/>
      <c r="H49" s="69"/>
      <c r="I49" s="69"/>
      <c r="J49" s="69"/>
      <c r="K49" s="69"/>
      <c r="IJ49" s="69"/>
      <c r="IK49" s="69"/>
      <c r="IL49" s="69"/>
      <c r="IM49" s="69"/>
      <c r="IN49" s="69"/>
      <c r="IO49" s="69"/>
      <c r="IP49" s="69"/>
      <c r="IQ49" s="69"/>
      <c r="IR49" s="69"/>
    </row>
    <row r="50" spans="1:252" s="70" customFormat="1" ht="48" x14ac:dyDescent="0.25">
      <c r="A50" s="77">
        <v>21081500</v>
      </c>
      <c r="B50" s="87" t="s">
        <v>184</v>
      </c>
      <c r="C50" s="73">
        <f>SUM(D50,E50)</f>
        <v>810000</v>
      </c>
      <c r="D50" s="80">
        <v>810000</v>
      </c>
      <c r="E50" s="80"/>
      <c r="F50" s="80"/>
      <c r="G50" s="68"/>
      <c r="H50" s="69"/>
      <c r="I50" s="69"/>
      <c r="J50" s="69"/>
      <c r="K50" s="69"/>
      <c r="IJ50" s="69"/>
      <c r="IK50" s="69"/>
      <c r="IL50" s="69"/>
      <c r="IM50" s="69"/>
      <c r="IN50" s="69"/>
      <c r="IO50" s="69"/>
      <c r="IP50" s="69"/>
      <c r="IQ50" s="69"/>
      <c r="IR50" s="69"/>
    </row>
    <row r="51" spans="1:252" s="355" customFormat="1" ht="15" x14ac:dyDescent="0.25">
      <c r="A51" s="351">
        <v>21081700</v>
      </c>
      <c r="B51" s="352" t="s">
        <v>956</v>
      </c>
      <c r="C51" s="99">
        <f>SUM(D51,E51)</f>
        <v>1296000</v>
      </c>
      <c r="D51" s="99">
        <v>1296000</v>
      </c>
      <c r="E51" s="99"/>
      <c r="F51" s="99"/>
      <c r="G51" s="353"/>
      <c r="H51" s="354"/>
      <c r="I51" s="354"/>
      <c r="J51" s="354"/>
      <c r="K51" s="354"/>
      <c r="IJ51" s="354"/>
      <c r="IK51" s="354"/>
      <c r="IL51" s="354"/>
      <c r="IM51" s="354"/>
      <c r="IN51" s="354"/>
      <c r="IO51" s="354"/>
      <c r="IP51" s="354"/>
      <c r="IQ51" s="354"/>
      <c r="IR51" s="354"/>
    </row>
    <row r="52" spans="1:252" s="70" customFormat="1" ht="40.5" x14ac:dyDescent="0.25">
      <c r="A52" s="71">
        <v>22000000</v>
      </c>
      <c r="B52" s="84" t="s">
        <v>185</v>
      </c>
      <c r="C52" s="73">
        <f t="shared" si="0"/>
        <v>40760000</v>
      </c>
      <c r="D52" s="80">
        <f>SUM(D53:D57)</f>
        <v>40760000</v>
      </c>
      <c r="E52" s="80"/>
      <c r="F52" s="80"/>
      <c r="G52" s="68"/>
      <c r="H52" s="69"/>
      <c r="I52" s="69"/>
      <c r="J52" s="69"/>
      <c r="K52" s="69"/>
      <c r="IJ52" s="69"/>
      <c r="IK52" s="69"/>
      <c r="IL52" s="69"/>
      <c r="IM52" s="69"/>
      <c r="IN52" s="69"/>
      <c r="IO52" s="69"/>
      <c r="IP52" s="69"/>
      <c r="IQ52" s="69"/>
      <c r="IR52" s="69"/>
    </row>
    <row r="53" spans="1:252" s="70" customFormat="1" ht="51" x14ac:dyDescent="0.25">
      <c r="A53" s="77">
        <v>22010300</v>
      </c>
      <c r="B53" s="107" t="s">
        <v>299</v>
      </c>
      <c r="C53" s="73">
        <v>905000</v>
      </c>
      <c r="D53" s="80">
        <v>905000</v>
      </c>
      <c r="E53" s="80"/>
      <c r="F53" s="80"/>
      <c r="G53" s="68"/>
      <c r="H53" s="69"/>
      <c r="I53" s="69"/>
      <c r="J53" s="69"/>
      <c r="K53" s="69"/>
      <c r="IJ53" s="69"/>
      <c r="IK53" s="69"/>
      <c r="IL53" s="69"/>
      <c r="IM53" s="69"/>
      <c r="IN53" s="69"/>
      <c r="IO53" s="69"/>
      <c r="IP53" s="69"/>
      <c r="IQ53" s="69"/>
      <c r="IR53" s="69"/>
    </row>
    <row r="54" spans="1:252" s="70" customFormat="1" ht="38.25" x14ac:dyDescent="0.25">
      <c r="A54" s="77">
        <v>22012600</v>
      </c>
      <c r="B54" s="107" t="s">
        <v>186</v>
      </c>
      <c r="C54" s="73">
        <v>650000</v>
      </c>
      <c r="D54" s="80">
        <v>650000</v>
      </c>
      <c r="E54" s="80"/>
      <c r="F54" s="80"/>
      <c r="G54" s="68"/>
      <c r="H54" s="69"/>
      <c r="I54" s="69"/>
      <c r="J54" s="69"/>
      <c r="K54" s="69"/>
      <c r="IJ54" s="69"/>
      <c r="IK54" s="69"/>
      <c r="IL54" s="69"/>
      <c r="IM54" s="69"/>
      <c r="IN54" s="69"/>
      <c r="IO54" s="69"/>
      <c r="IP54" s="69"/>
      <c r="IQ54" s="69"/>
      <c r="IR54" s="69"/>
    </row>
    <row r="55" spans="1:252" s="110" customFormat="1" ht="15" x14ac:dyDescent="0.2">
      <c r="A55" s="77">
        <v>22012500</v>
      </c>
      <c r="B55" s="87" t="s">
        <v>187</v>
      </c>
      <c r="C55" s="73">
        <f t="shared" si="0"/>
        <v>28445000</v>
      </c>
      <c r="D55" s="80">
        <v>28445000</v>
      </c>
      <c r="E55" s="80"/>
      <c r="F55" s="80"/>
      <c r="G55" s="108"/>
      <c r="H55" s="109"/>
      <c r="I55" s="109"/>
      <c r="J55" s="109"/>
      <c r="K55" s="109"/>
      <c r="IJ55" s="109"/>
      <c r="IK55" s="109"/>
      <c r="IL55" s="109"/>
      <c r="IM55" s="109"/>
      <c r="IN55" s="109"/>
      <c r="IO55" s="109"/>
      <c r="IP55" s="109"/>
      <c r="IQ55" s="109"/>
      <c r="IR55" s="109"/>
    </row>
    <row r="56" spans="1:252" s="70" customFormat="1" ht="48" x14ac:dyDescent="0.25">
      <c r="A56" s="86">
        <v>22080400</v>
      </c>
      <c r="B56" s="106" t="s">
        <v>188</v>
      </c>
      <c r="C56" s="73">
        <f t="shared" si="0"/>
        <v>9760000</v>
      </c>
      <c r="D56" s="80">
        <v>9760000</v>
      </c>
      <c r="E56" s="80"/>
      <c r="F56" s="80"/>
      <c r="G56" s="68"/>
      <c r="H56" s="69"/>
      <c r="I56" s="69"/>
      <c r="J56" s="69"/>
      <c r="K56" s="69"/>
      <c r="IJ56" s="69"/>
      <c r="IK56" s="69"/>
      <c r="IL56" s="69"/>
      <c r="IM56" s="69"/>
      <c r="IN56" s="69"/>
      <c r="IO56" s="69"/>
      <c r="IP56" s="69"/>
      <c r="IQ56" s="69"/>
      <c r="IR56" s="69"/>
    </row>
    <row r="57" spans="1:252" s="70" customFormat="1" ht="15" x14ac:dyDescent="0.25">
      <c r="A57" s="111">
        <v>22090000</v>
      </c>
      <c r="B57" s="112" t="s">
        <v>189</v>
      </c>
      <c r="C57" s="73">
        <f t="shared" si="0"/>
        <v>1000000</v>
      </c>
      <c r="D57" s="113">
        <f>SUM(D58:D60)</f>
        <v>1000000</v>
      </c>
      <c r="E57" s="114"/>
      <c r="F57" s="114"/>
      <c r="G57" s="68"/>
      <c r="H57" s="69"/>
      <c r="I57" s="69"/>
      <c r="J57" s="69"/>
      <c r="K57" s="69"/>
      <c r="IJ57" s="69"/>
      <c r="IK57" s="69"/>
      <c r="IL57" s="69"/>
      <c r="IM57" s="69"/>
      <c r="IN57" s="69"/>
      <c r="IO57" s="69"/>
      <c r="IP57" s="69"/>
      <c r="IQ57" s="69"/>
      <c r="IR57" s="69"/>
    </row>
    <row r="58" spans="1:252" s="70" customFormat="1" ht="48" x14ac:dyDescent="0.25">
      <c r="A58" s="86">
        <v>22090100</v>
      </c>
      <c r="B58" s="100" t="s">
        <v>190</v>
      </c>
      <c r="C58" s="73">
        <f t="shared" si="0"/>
        <v>145000</v>
      </c>
      <c r="D58" s="80">
        <v>145000</v>
      </c>
      <c r="E58" s="80"/>
      <c r="F58" s="80"/>
      <c r="G58" s="68"/>
      <c r="H58" s="69"/>
      <c r="I58" s="69"/>
      <c r="J58" s="69"/>
      <c r="K58" s="69"/>
      <c r="IJ58" s="69"/>
      <c r="IK58" s="69"/>
      <c r="IL58" s="69"/>
      <c r="IM58" s="69"/>
      <c r="IN58" s="69"/>
      <c r="IO58" s="69"/>
      <c r="IP58" s="69"/>
      <c r="IQ58" s="69"/>
      <c r="IR58" s="69"/>
    </row>
    <row r="59" spans="1:252" s="70" customFormat="1" ht="15" x14ac:dyDescent="0.25">
      <c r="A59" s="86">
        <v>22090200</v>
      </c>
      <c r="B59" s="100" t="s">
        <v>191</v>
      </c>
      <c r="C59" s="73">
        <f t="shared" si="0"/>
        <v>220000</v>
      </c>
      <c r="D59" s="80">
        <v>220000</v>
      </c>
      <c r="E59" s="80"/>
      <c r="F59" s="80"/>
      <c r="G59" s="68"/>
      <c r="H59" s="69"/>
      <c r="I59" s="69"/>
      <c r="J59" s="69"/>
      <c r="K59" s="69"/>
      <c r="IJ59" s="69"/>
      <c r="IK59" s="69"/>
      <c r="IL59" s="69"/>
      <c r="IM59" s="69"/>
      <c r="IN59" s="69"/>
      <c r="IO59" s="69"/>
      <c r="IP59" s="69"/>
      <c r="IQ59" s="69"/>
      <c r="IR59" s="69"/>
    </row>
    <row r="60" spans="1:252" s="83" customFormat="1" ht="36" x14ac:dyDescent="0.2">
      <c r="A60" s="86">
        <v>22090400</v>
      </c>
      <c r="B60" s="100" t="s">
        <v>192</v>
      </c>
      <c r="C60" s="73">
        <f t="shared" si="0"/>
        <v>635000</v>
      </c>
      <c r="D60" s="80">
        <v>635000</v>
      </c>
      <c r="E60" s="80"/>
      <c r="F60" s="80"/>
      <c r="G60" s="81"/>
      <c r="H60" s="82"/>
      <c r="I60" s="82"/>
      <c r="J60" s="82"/>
      <c r="K60" s="82"/>
      <c r="IJ60" s="82"/>
      <c r="IK60" s="82"/>
      <c r="IL60" s="82"/>
      <c r="IM60" s="82"/>
      <c r="IN60" s="82"/>
      <c r="IO60" s="82"/>
      <c r="IP60" s="82"/>
      <c r="IQ60" s="82"/>
      <c r="IR60" s="82"/>
    </row>
    <row r="61" spans="1:252" s="70" customFormat="1" ht="15" x14ac:dyDescent="0.25">
      <c r="A61" s="71">
        <v>24000000</v>
      </c>
      <c r="B61" s="112" t="s">
        <v>193</v>
      </c>
      <c r="C61" s="73">
        <f t="shared" si="0"/>
        <v>37404000</v>
      </c>
      <c r="D61" s="89">
        <f>D62+D63+D64</f>
        <v>15404000</v>
      </c>
      <c r="E61" s="89">
        <f>E62+E64</f>
        <v>22000000</v>
      </c>
      <c r="F61" s="73">
        <v>22000000</v>
      </c>
      <c r="G61" s="68"/>
      <c r="H61" s="69"/>
      <c r="I61" s="69"/>
      <c r="J61" s="69"/>
      <c r="K61" s="69"/>
      <c r="IJ61" s="69"/>
      <c r="IK61" s="69"/>
      <c r="IL61" s="69"/>
      <c r="IM61" s="69"/>
      <c r="IN61" s="69"/>
      <c r="IO61" s="69"/>
      <c r="IP61" s="69"/>
      <c r="IQ61" s="69"/>
      <c r="IR61" s="69"/>
    </row>
    <row r="62" spans="1:252" s="70" customFormat="1" ht="15" x14ac:dyDescent="0.25">
      <c r="A62" s="86">
        <v>24060300</v>
      </c>
      <c r="B62" s="87" t="s">
        <v>194</v>
      </c>
      <c r="C62" s="73">
        <f t="shared" si="0"/>
        <v>14404000</v>
      </c>
      <c r="D62" s="90">
        <v>14404000</v>
      </c>
      <c r="E62" s="90"/>
      <c r="F62" s="90"/>
      <c r="G62" s="68"/>
      <c r="H62" s="69"/>
      <c r="I62" s="69"/>
      <c r="J62" s="69"/>
      <c r="K62" s="69"/>
      <c r="IJ62" s="69"/>
      <c r="IK62" s="69"/>
      <c r="IL62" s="69"/>
      <c r="IM62" s="69"/>
      <c r="IN62" s="69"/>
      <c r="IO62" s="69"/>
      <c r="IP62" s="69"/>
      <c r="IQ62" s="69"/>
      <c r="IR62" s="69"/>
    </row>
    <row r="63" spans="1:252" s="70" customFormat="1" ht="60" x14ac:dyDescent="0.25">
      <c r="A63" s="86">
        <v>24062200</v>
      </c>
      <c r="B63" s="87" t="s">
        <v>957</v>
      </c>
      <c r="C63" s="73">
        <f t="shared" si="0"/>
        <v>1000000</v>
      </c>
      <c r="D63" s="90">
        <v>1000000</v>
      </c>
      <c r="E63" s="90"/>
      <c r="F63" s="90"/>
      <c r="G63" s="68"/>
      <c r="H63" s="69"/>
      <c r="I63" s="69"/>
      <c r="J63" s="69"/>
      <c r="K63" s="69"/>
      <c r="IJ63" s="69"/>
      <c r="IK63" s="69"/>
      <c r="IL63" s="69"/>
      <c r="IM63" s="69"/>
      <c r="IN63" s="69"/>
      <c r="IO63" s="69"/>
      <c r="IP63" s="69"/>
      <c r="IQ63" s="69"/>
      <c r="IR63" s="69"/>
    </row>
    <row r="64" spans="1:252" s="76" customFormat="1" ht="24" x14ac:dyDescent="0.2">
      <c r="A64" s="86">
        <v>24170000</v>
      </c>
      <c r="B64" s="91" t="s">
        <v>195</v>
      </c>
      <c r="C64" s="73">
        <f t="shared" si="0"/>
        <v>22000000</v>
      </c>
      <c r="D64" s="90"/>
      <c r="E64" s="90">
        <v>22000000</v>
      </c>
      <c r="F64" s="90">
        <v>22000000</v>
      </c>
      <c r="G64" s="74"/>
      <c r="H64" s="75"/>
      <c r="I64" s="75"/>
      <c r="J64" s="75"/>
      <c r="K64" s="75"/>
      <c r="IJ64" s="75"/>
      <c r="IK64" s="75"/>
      <c r="IL64" s="75"/>
      <c r="IM64" s="75"/>
      <c r="IN64" s="75"/>
      <c r="IO64" s="75"/>
      <c r="IP64" s="75"/>
      <c r="IQ64" s="75"/>
      <c r="IR64" s="75"/>
    </row>
    <row r="65" spans="1:252" s="70" customFormat="1" ht="15" x14ac:dyDescent="0.25">
      <c r="A65" s="71">
        <v>25000000</v>
      </c>
      <c r="B65" s="78" t="s">
        <v>196</v>
      </c>
      <c r="C65" s="73">
        <f t="shared" si="0"/>
        <v>114713367</v>
      </c>
      <c r="D65" s="89">
        <f>SUM(D66,D71)</f>
        <v>0</v>
      </c>
      <c r="E65" s="89">
        <f>SUM(E66,E71)</f>
        <v>114713367</v>
      </c>
      <c r="F65" s="89"/>
      <c r="G65" s="68"/>
      <c r="H65" s="69"/>
      <c r="I65" s="69"/>
      <c r="J65" s="69"/>
      <c r="K65" s="69"/>
      <c r="IJ65" s="69"/>
      <c r="IK65" s="69"/>
      <c r="IL65" s="69"/>
      <c r="IM65" s="69"/>
      <c r="IN65" s="69"/>
      <c r="IO65" s="69"/>
      <c r="IP65" s="69"/>
      <c r="IQ65" s="69"/>
      <c r="IR65" s="69"/>
    </row>
    <row r="66" spans="1:252" s="70" customFormat="1" ht="38.25" x14ac:dyDescent="0.25">
      <c r="A66" s="77">
        <v>25010000</v>
      </c>
      <c r="B66" s="115" t="s">
        <v>197</v>
      </c>
      <c r="C66" s="73">
        <f t="shared" si="0"/>
        <v>114713367</v>
      </c>
      <c r="D66" s="90">
        <v>0</v>
      </c>
      <c r="E66" s="90">
        <f>SUM(E67:E70)</f>
        <v>114713367</v>
      </c>
      <c r="F66" s="90"/>
      <c r="G66" s="68"/>
      <c r="H66" s="69"/>
      <c r="I66" s="69"/>
      <c r="J66" s="69"/>
      <c r="K66" s="69"/>
      <c r="IJ66" s="69"/>
      <c r="IK66" s="69"/>
      <c r="IL66" s="69"/>
      <c r="IM66" s="69"/>
      <c r="IN66" s="69"/>
      <c r="IO66" s="69"/>
      <c r="IP66" s="69"/>
      <c r="IQ66" s="69"/>
      <c r="IR66" s="69"/>
    </row>
    <row r="67" spans="1:252" s="70" customFormat="1" ht="38.25" x14ac:dyDescent="0.25">
      <c r="A67" s="77">
        <v>25010100</v>
      </c>
      <c r="B67" s="116" t="s">
        <v>198</v>
      </c>
      <c r="C67" s="73">
        <v>101373091</v>
      </c>
      <c r="D67" s="90">
        <v>0</v>
      </c>
      <c r="E67" s="90">
        <v>101373091</v>
      </c>
      <c r="F67" s="90"/>
      <c r="G67" s="68"/>
      <c r="H67" s="69"/>
      <c r="I67" s="69"/>
      <c r="J67" s="69"/>
      <c r="K67" s="69"/>
      <c r="IJ67" s="69"/>
      <c r="IK67" s="69"/>
      <c r="IL67" s="69"/>
      <c r="IM67" s="69"/>
      <c r="IN67" s="69"/>
      <c r="IO67" s="69"/>
      <c r="IP67" s="69"/>
      <c r="IQ67" s="69"/>
      <c r="IR67" s="69"/>
    </row>
    <row r="68" spans="1:252" s="70" customFormat="1" ht="25.5" x14ac:dyDescent="0.25">
      <c r="A68" s="77">
        <v>25010200</v>
      </c>
      <c r="B68" s="116" t="s">
        <v>199</v>
      </c>
      <c r="C68" s="73">
        <f t="shared" si="0"/>
        <v>8752910</v>
      </c>
      <c r="D68" s="90">
        <v>0</v>
      </c>
      <c r="E68" s="90">
        <v>8752910</v>
      </c>
      <c r="F68" s="90"/>
      <c r="G68" s="68"/>
      <c r="H68" s="69"/>
      <c r="I68" s="69"/>
      <c r="J68" s="69"/>
      <c r="K68" s="69"/>
      <c r="IJ68" s="69"/>
      <c r="IK68" s="69"/>
      <c r="IL68" s="69"/>
      <c r="IM68" s="69"/>
      <c r="IN68" s="69"/>
      <c r="IO68" s="69"/>
      <c r="IP68" s="69"/>
      <c r="IQ68" s="69"/>
      <c r="IR68" s="69"/>
    </row>
    <row r="69" spans="1:252" s="70" customFormat="1" ht="25.5" x14ac:dyDescent="0.25">
      <c r="A69" s="77">
        <v>25010300</v>
      </c>
      <c r="B69" s="116" t="s">
        <v>200</v>
      </c>
      <c r="C69" s="73">
        <f t="shared" si="0"/>
        <v>4558166</v>
      </c>
      <c r="D69" s="90">
        <v>0</v>
      </c>
      <c r="E69" s="90">
        <v>4558166</v>
      </c>
      <c r="F69" s="90"/>
      <c r="G69" s="68"/>
      <c r="H69" s="69"/>
      <c r="I69" s="69"/>
      <c r="J69" s="69"/>
      <c r="K69" s="69"/>
      <c r="IJ69" s="69"/>
      <c r="IK69" s="69"/>
      <c r="IL69" s="69"/>
      <c r="IM69" s="69"/>
      <c r="IN69" s="69"/>
      <c r="IO69" s="69"/>
      <c r="IP69" s="69"/>
      <c r="IQ69" s="69"/>
      <c r="IR69" s="69"/>
    </row>
    <row r="70" spans="1:252" s="70" customFormat="1" ht="38.25" x14ac:dyDescent="0.25">
      <c r="A70" s="77">
        <v>25010400</v>
      </c>
      <c r="B70" s="116" t="s">
        <v>201</v>
      </c>
      <c r="C70" s="73">
        <f t="shared" si="0"/>
        <v>29200</v>
      </c>
      <c r="D70" s="90">
        <v>0</v>
      </c>
      <c r="E70" s="90">
        <v>29200</v>
      </c>
      <c r="F70" s="90"/>
      <c r="G70" s="68"/>
      <c r="H70" s="69"/>
      <c r="I70" s="69"/>
      <c r="J70" s="69"/>
      <c r="K70" s="69"/>
      <c r="IJ70" s="69"/>
      <c r="IK70" s="69"/>
      <c r="IL70" s="69"/>
      <c r="IM70" s="69"/>
      <c r="IN70" s="69"/>
      <c r="IO70" s="69"/>
      <c r="IP70" s="69"/>
      <c r="IQ70" s="69"/>
      <c r="IR70" s="69"/>
    </row>
    <row r="71" spans="1:252" s="70" customFormat="1" ht="28.5" x14ac:dyDescent="0.25">
      <c r="A71" s="77">
        <v>25020000</v>
      </c>
      <c r="B71" s="115" t="s">
        <v>202</v>
      </c>
      <c r="C71" s="73">
        <f t="shared" si="0"/>
        <v>0</v>
      </c>
      <c r="D71" s="90">
        <v>0</v>
      </c>
      <c r="E71" s="90">
        <v>0</v>
      </c>
      <c r="F71" s="90"/>
      <c r="G71" s="68"/>
      <c r="H71" s="69"/>
      <c r="I71" s="69"/>
      <c r="J71" s="69"/>
      <c r="K71" s="69"/>
      <c r="IJ71" s="69"/>
      <c r="IK71" s="69"/>
      <c r="IL71" s="69"/>
      <c r="IM71" s="69"/>
      <c r="IN71" s="69"/>
      <c r="IO71" s="69"/>
      <c r="IP71" s="69"/>
      <c r="IQ71" s="69"/>
      <c r="IR71" s="69"/>
    </row>
    <row r="72" spans="1:252" s="96" customFormat="1" ht="15" x14ac:dyDescent="0.2">
      <c r="A72" s="77">
        <v>25020100</v>
      </c>
      <c r="B72" s="116" t="s">
        <v>203</v>
      </c>
      <c r="C72" s="73">
        <f t="shared" si="0"/>
        <v>0</v>
      </c>
      <c r="D72" s="90">
        <v>0</v>
      </c>
      <c r="E72" s="90">
        <v>0</v>
      </c>
      <c r="F72" s="90"/>
      <c r="G72" s="94"/>
      <c r="H72" s="95"/>
      <c r="I72" s="95"/>
      <c r="J72" s="95"/>
      <c r="K72" s="95"/>
      <c r="IJ72" s="95"/>
      <c r="IK72" s="95"/>
      <c r="IL72" s="95"/>
      <c r="IM72" s="95"/>
      <c r="IN72" s="95"/>
      <c r="IO72" s="95"/>
      <c r="IP72" s="95"/>
      <c r="IQ72" s="95"/>
      <c r="IR72" s="95"/>
    </row>
    <row r="73" spans="1:252" s="70" customFormat="1" ht="89.25" hidden="1" x14ac:dyDescent="0.25">
      <c r="A73" s="77">
        <v>25020200</v>
      </c>
      <c r="B73" s="116" t="s">
        <v>204</v>
      </c>
      <c r="C73" s="73">
        <f t="shared" si="0"/>
        <v>0</v>
      </c>
      <c r="D73" s="90"/>
      <c r="E73" s="90">
        <v>0</v>
      </c>
      <c r="F73" s="90"/>
      <c r="G73" s="68"/>
      <c r="H73" s="69"/>
      <c r="I73" s="69"/>
      <c r="J73" s="69"/>
      <c r="K73" s="69"/>
      <c r="IJ73" s="69"/>
      <c r="IK73" s="69"/>
      <c r="IL73" s="69"/>
      <c r="IM73" s="69"/>
      <c r="IN73" s="69"/>
      <c r="IO73" s="69"/>
      <c r="IP73" s="69"/>
      <c r="IQ73" s="69"/>
      <c r="IR73" s="69"/>
    </row>
    <row r="74" spans="1:252" s="83" customFormat="1" ht="14.25" x14ac:dyDescent="0.2">
      <c r="A74" s="71">
        <v>30000000</v>
      </c>
      <c r="B74" s="72" t="s">
        <v>205</v>
      </c>
      <c r="C74" s="73">
        <f t="shared" si="0"/>
        <v>10164700</v>
      </c>
      <c r="D74" s="89">
        <f>SUM(D75)</f>
        <v>100500</v>
      </c>
      <c r="E74" s="89">
        <f>SUM(E75,E78)</f>
        <v>10064200</v>
      </c>
      <c r="F74" s="89">
        <f>SUM(F75,F78)</f>
        <v>10064200</v>
      </c>
      <c r="G74" s="81"/>
      <c r="H74" s="82"/>
      <c r="I74" s="82"/>
      <c r="J74" s="82"/>
      <c r="K74" s="82"/>
      <c r="IJ74" s="82"/>
      <c r="IK74" s="82"/>
      <c r="IL74" s="82"/>
      <c r="IM74" s="82"/>
      <c r="IN74" s="82"/>
      <c r="IO74" s="82"/>
      <c r="IP74" s="82"/>
      <c r="IQ74" s="82"/>
      <c r="IR74" s="82"/>
    </row>
    <row r="75" spans="1:252" s="70" customFormat="1" ht="30" x14ac:dyDescent="0.25">
      <c r="A75" s="77">
        <v>31000000</v>
      </c>
      <c r="B75" s="117" t="s">
        <v>206</v>
      </c>
      <c r="C75" s="73">
        <f t="shared" si="0"/>
        <v>1152841</v>
      </c>
      <c r="D75" s="99">
        <v>100500</v>
      </c>
      <c r="E75" s="99">
        <f>SUM(E77)</f>
        <v>1052341</v>
      </c>
      <c r="F75" s="99">
        <f>SUM(F77)</f>
        <v>1052341</v>
      </c>
      <c r="G75" s="68"/>
      <c r="H75" s="69"/>
      <c r="I75" s="69"/>
      <c r="J75" s="69"/>
      <c r="K75" s="69"/>
      <c r="IJ75" s="69"/>
      <c r="IK75" s="69"/>
      <c r="IL75" s="69"/>
      <c r="IM75" s="69"/>
      <c r="IN75" s="69"/>
      <c r="IO75" s="69"/>
      <c r="IP75" s="69"/>
      <c r="IQ75" s="69"/>
      <c r="IR75" s="69"/>
    </row>
    <row r="76" spans="1:252" s="70" customFormat="1" ht="72" x14ac:dyDescent="0.25">
      <c r="A76" s="86">
        <v>31010200</v>
      </c>
      <c r="B76" s="91" t="s">
        <v>207</v>
      </c>
      <c r="C76" s="73">
        <f>SUM(D76,E76)</f>
        <v>100500</v>
      </c>
      <c r="D76" s="90">
        <v>100500</v>
      </c>
      <c r="E76" s="90"/>
      <c r="F76" s="90"/>
      <c r="G76" s="68"/>
      <c r="H76" s="69"/>
      <c r="I76" s="69"/>
      <c r="J76" s="69"/>
      <c r="K76" s="69"/>
      <c r="IJ76" s="69"/>
      <c r="IK76" s="69"/>
      <c r="IL76" s="69"/>
      <c r="IM76" s="69"/>
      <c r="IN76" s="69"/>
      <c r="IO76" s="69"/>
      <c r="IP76" s="69"/>
      <c r="IQ76" s="69"/>
      <c r="IR76" s="69"/>
    </row>
    <row r="77" spans="1:252" s="70" customFormat="1" ht="48" x14ac:dyDescent="0.25">
      <c r="A77" s="86">
        <v>31030000</v>
      </c>
      <c r="B77" s="118" t="s">
        <v>208</v>
      </c>
      <c r="C77" s="73">
        <f t="shared" si="0"/>
        <v>1052341</v>
      </c>
      <c r="D77" s="88"/>
      <c r="E77" s="88">
        <v>1052341</v>
      </c>
      <c r="F77" s="88">
        <v>1052341</v>
      </c>
      <c r="G77" s="68"/>
      <c r="H77" s="69"/>
      <c r="I77" s="69"/>
      <c r="J77" s="69"/>
      <c r="K77" s="69"/>
      <c r="IJ77" s="69"/>
      <c r="IK77" s="69"/>
      <c r="IL77" s="69"/>
      <c r="IM77" s="69"/>
      <c r="IN77" s="69"/>
      <c r="IO77" s="69"/>
      <c r="IP77" s="69"/>
      <c r="IQ77" s="69"/>
      <c r="IR77" s="69"/>
    </row>
    <row r="78" spans="1:252" s="70" customFormat="1" ht="30" x14ac:dyDescent="0.25">
      <c r="A78" s="77">
        <v>33000000</v>
      </c>
      <c r="B78" s="117" t="s">
        <v>209</v>
      </c>
      <c r="C78" s="73">
        <f t="shared" si="0"/>
        <v>9011859</v>
      </c>
      <c r="D78" s="99"/>
      <c r="E78" s="99">
        <f>SUM(E79)</f>
        <v>9011859</v>
      </c>
      <c r="F78" s="99">
        <f>SUM(F79)</f>
        <v>9011859</v>
      </c>
      <c r="G78" s="68"/>
      <c r="H78" s="69"/>
      <c r="I78" s="69"/>
      <c r="J78" s="69"/>
      <c r="K78" s="69"/>
      <c r="IJ78" s="69"/>
      <c r="IK78" s="69"/>
      <c r="IL78" s="69"/>
      <c r="IM78" s="69"/>
      <c r="IN78" s="69"/>
      <c r="IO78" s="69"/>
      <c r="IP78" s="69"/>
      <c r="IQ78" s="69"/>
      <c r="IR78" s="69"/>
    </row>
    <row r="79" spans="1:252" s="70" customFormat="1" ht="15" x14ac:dyDescent="0.25">
      <c r="A79" s="77">
        <v>33010000</v>
      </c>
      <c r="B79" s="117" t="s">
        <v>210</v>
      </c>
      <c r="C79" s="73">
        <f t="shared" si="0"/>
        <v>9011859</v>
      </c>
      <c r="D79" s="80"/>
      <c r="E79" s="80">
        <f>SUM(E80,E81)</f>
        <v>9011859</v>
      </c>
      <c r="F79" s="80">
        <f>SUM(F80,F81)</f>
        <v>9011859</v>
      </c>
      <c r="G79" s="68"/>
      <c r="H79" s="69"/>
      <c r="I79" s="69"/>
      <c r="J79" s="69"/>
      <c r="K79" s="69"/>
      <c r="IJ79" s="69"/>
      <c r="IK79" s="69"/>
      <c r="IL79" s="69"/>
      <c r="IM79" s="69"/>
      <c r="IN79" s="69"/>
      <c r="IO79" s="69"/>
      <c r="IP79" s="69"/>
      <c r="IQ79" s="69"/>
      <c r="IR79" s="69"/>
    </row>
    <row r="80" spans="1:252" s="70" customFormat="1" ht="48" x14ac:dyDescent="0.25">
      <c r="A80" s="77">
        <v>33010100</v>
      </c>
      <c r="B80" s="118" t="s">
        <v>715</v>
      </c>
      <c r="C80" s="73">
        <f t="shared" si="0"/>
        <v>6806967</v>
      </c>
      <c r="D80" s="80"/>
      <c r="E80" s="80">
        <v>6806967</v>
      </c>
      <c r="F80" s="80">
        <v>6806967</v>
      </c>
      <c r="G80" s="68"/>
      <c r="H80" s="69"/>
      <c r="I80" s="69"/>
      <c r="J80" s="69"/>
      <c r="K80" s="69"/>
      <c r="IJ80" s="69"/>
      <c r="IK80" s="69"/>
      <c r="IL80" s="69"/>
      <c r="IM80" s="69"/>
      <c r="IN80" s="69"/>
      <c r="IO80" s="69"/>
      <c r="IP80" s="69"/>
      <c r="IQ80" s="69"/>
      <c r="IR80" s="69"/>
    </row>
    <row r="81" spans="1:252" s="70" customFormat="1" ht="48" x14ac:dyDescent="0.25">
      <c r="A81" s="77">
        <v>33010200</v>
      </c>
      <c r="B81" s="118" t="s">
        <v>211</v>
      </c>
      <c r="C81" s="73">
        <f t="shared" ref="C81:C109" si="1">SUM(D81,E81)</f>
        <v>2204892</v>
      </c>
      <c r="D81" s="80"/>
      <c r="E81" s="80">
        <v>2204892</v>
      </c>
      <c r="F81" s="80">
        <v>2204892</v>
      </c>
      <c r="G81" s="68"/>
      <c r="H81" s="69"/>
      <c r="I81" s="69"/>
      <c r="J81" s="69"/>
      <c r="K81" s="69"/>
      <c r="IJ81" s="69"/>
      <c r="IK81" s="69"/>
      <c r="IL81" s="69"/>
      <c r="IM81" s="69"/>
      <c r="IN81" s="69"/>
      <c r="IO81" s="69"/>
      <c r="IP81" s="69"/>
      <c r="IQ81" s="69"/>
      <c r="IR81" s="69"/>
    </row>
    <row r="82" spans="1:252" s="70" customFormat="1" ht="53.25" customHeight="1" x14ac:dyDescent="0.25">
      <c r="A82" s="71">
        <v>50110000</v>
      </c>
      <c r="B82" s="119" t="s">
        <v>212</v>
      </c>
      <c r="C82" s="73">
        <v>3507000</v>
      </c>
      <c r="D82" s="80"/>
      <c r="E82" s="73">
        <v>3507000</v>
      </c>
      <c r="F82" s="80"/>
      <c r="G82" s="68"/>
      <c r="H82" s="69"/>
      <c r="I82" s="69"/>
      <c r="J82" s="69"/>
      <c r="K82" s="69"/>
      <c r="IJ82" s="69"/>
      <c r="IK82" s="69"/>
      <c r="IL82" s="69"/>
      <c r="IM82" s="69"/>
      <c r="IN82" s="69"/>
      <c r="IO82" s="69"/>
      <c r="IP82" s="69"/>
      <c r="IQ82" s="69"/>
      <c r="IR82" s="69"/>
    </row>
    <row r="83" spans="1:252" s="76" customFormat="1" ht="18.75" x14ac:dyDescent="0.2">
      <c r="A83" s="71"/>
      <c r="B83" s="120" t="s">
        <v>213</v>
      </c>
      <c r="C83" s="73">
        <f t="shared" si="1"/>
        <v>1715887741.7</v>
      </c>
      <c r="D83" s="89">
        <f>D10+D45+D74</f>
        <v>1564753174.7</v>
      </c>
      <c r="E83" s="89">
        <f>E10+E45+E74+E82</f>
        <v>151134567</v>
      </c>
      <c r="F83" s="89">
        <f>F10+F45+F65+F74</f>
        <v>32064200</v>
      </c>
      <c r="G83" s="74"/>
      <c r="H83" s="75"/>
      <c r="I83" s="75"/>
      <c r="J83" s="75"/>
      <c r="K83" s="75"/>
      <c r="IJ83" s="75"/>
      <c r="IK83" s="75"/>
      <c r="IL83" s="75"/>
      <c r="IM83" s="75"/>
      <c r="IN83" s="75"/>
      <c r="IO83" s="75"/>
      <c r="IP83" s="75"/>
      <c r="IQ83" s="75"/>
      <c r="IR83" s="75"/>
    </row>
    <row r="84" spans="1:252" s="76" customFormat="1" ht="31.5" x14ac:dyDescent="0.2">
      <c r="A84" s="71">
        <v>41040000</v>
      </c>
      <c r="B84" s="219" t="s">
        <v>727</v>
      </c>
      <c r="C84" s="73">
        <v>12250931</v>
      </c>
      <c r="D84" s="89">
        <v>12250931</v>
      </c>
      <c r="E84" s="89"/>
      <c r="F84" s="89"/>
      <c r="G84" s="74"/>
      <c r="H84" s="75"/>
      <c r="I84" s="75"/>
      <c r="J84" s="75"/>
      <c r="K84" s="75"/>
      <c r="IJ84" s="75"/>
      <c r="IK84" s="75"/>
      <c r="IL84" s="75"/>
      <c r="IM84" s="75"/>
      <c r="IN84" s="75"/>
      <c r="IO84" s="75"/>
      <c r="IP84" s="75"/>
      <c r="IQ84" s="75"/>
      <c r="IR84" s="75"/>
    </row>
    <row r="85" spans="1:252" s="76" customFormat="1" ht="78.75" customHeight="1" x14ac:dyDescent="0.2">
      <c r="A85" s="77">
        <v>41040200</v>
      </c>
      <c r="B85" s="220" t="s">
        <v>721</v>
      </c>
      <c r="C85" s="73">
        <v>12250931</v>
      </c>
      <c r="D85" s="89">
        <v>12250931</v>
      </c>
      <c r="E85" s="89"/>
      <c r="F85" s="89"/>
      <c r="G85" s="74"/>
      <c r="H85" s="75"/>
      <c r="I85" s="75"/>
      <c r="J85" s="75"/>
      <c r="K85" s="75"/>
      <c r="IJ85" s="75"/>
      <c r="IK85" s="75"/>
      <c r="IL85" s="75"/>
      <c r="IM85" s="75"/>
      <c r="IN85" s="75"/>
      <c r="IO85" s="75"/>
      <c r="IP85" s="75"/>
      <c r="IQ85" s="75"/>
      <c r="IR85" s="75"/>
    </row>
    <row r="86" spans="1:252" s="76" customFormat="1" ht="14.25" x14ac:dyDescent="0.2">
      <c r="A86" s="71">
        <v>40000000</v>
      </c>
      <c r="B86" s="97" t="s">
        <v>214</v>
      </c>
      <c r="C86" s="73">
        <f t="shared" si="1"/>
        <v>1448058580.6300001</v>
      </c>
      <c r="D86" s="89">
        <f>SUM(D87:D102)</f>
        <v>1447392001.6300001</v>
      </c>
      <c r="E86" s="89">
        <f>SUM(E87:E102)</f>
        <v>666579</v>
      </c>
      <c r="F86" s="73">
        <v>0</v>
      </c>
      <c r="G86" s="74"/>
      <c r="H86" s="75"/>
      <c r="I86" s="75"/>
      <c r="J86" s="75"/>
      <c r="K86" s="75"/>
      <c r="IJ86" s="75"/>
      <c r="IK86" s="75"/>
      <c r="IL86" s="75"/>
      <c r="IM86" s="75"/>
      <c r="IN86" s="75"/>
      <c r="IO86" s="75"/>
      <c r="IP86" s="75"/>
      <c r="IQ86" s="75"/>
      <c r="IR86" s="75"/>
    </row>
    <row r="87" spans="1:252" s="76" customFormat="1" ht="25.5" x14ac:dyDescent="0.2">
      <c r="A87" s="77">
        <v>41033900</v>
      </c>
      <c r="B87" s="107" t="s">
        <v>215</v>
      </c>
      <c r="C87" s="73">
        <f t="shared" si="1"/>
        <v>304652500</v>
      </c>
      <c r="D87" s="80">
        <v>304652500</v>
      </c>
      <c r="E87" s="73"/>
      <c r="F87" s="73"/>
      <c r="G87" s="74"/>
      <c r="H87" s="75"/>
      <c r="I87" s="75"/>
      <c r="J87" s="75"/>
      <c r="K87" s="75"/>
      <c r="IJ87" s="75"/>
      <c r="IK87" s="75"/>
      <c r="IL87" s="75"/>
      <c r="IM87" s="75"/>
      <c r="IN87" s="75"/>
      <c r="IO87" s="75"/>
      <c r="IP87" s="75"/>
      <c r="IQ87" s="75"/>
      <c r="IR87" s="75"/>
    </row>
    <row r="88" spans="1:252" s="76" customFormat="1" ht="25.5" x14ac:dyDescent="0.2">
      <c r="A88" s="77">
        <v>41034200</v>
      </c>
      <c r="B88" s="107" t="s">
        <v>216</v>
      </c>
      <c r="C88" s="73">
        <f t="shared" si="1"/>
        <v>210178300</v>
      </c>
      <c r="D88" s="80">
        <v>210178300</v>
      </c>
      <c r="E88" s="73"/>
      <c r="F88" s="73"/>
      <c r="G88" s="74"/>
      <c r="H88" s="75"/>
      <c r="I88" s="75"/>
      <c r="J88" s="75"/>
      <c r="K88" s="75"/>
      <c r="IJ88" s="75"/>
      <c r="IK88" s="75"/>
      <c r="IL88" s="75"/>
      <c r="IM88" s="75"/>
      <c r="IN88" s="75"/>
      <c r="IO88" s="75"/>
      <c r="IP88" s="75"/>
      <c r="IQ88" s="75"/>
      <c r="IR88" s="75"/>
    </row>
    <row r="89" spans="1:252" s="76" customFormat="1" ht="51" x14ac:dyDescent="0.2">
      <c r="A89" s="77">
        <v>41034500</v>
      </c>
      <c r="B89" s="107" t="s">
        <v>958</v>
      </c>
      <c r="C89" s="73">
        <v>8422000</v>
      </c>
      <c r="D89" s="80">
        <v>8422000</v>
      </c>
      <c r="E89" s="73"/>
      <c r="F89" s="73"/>
      <c r="G89" s="74"/>
      <c r="H89" s="75"/>
      <c r="I89" s="75"/>
      <c r="J89" s="75"/>
      <c r="K89" s="75"/>
      <c r="IJ89" s="75"/>
      <c r="IK89" s="75"/>
      <c r="IL89" s="75"/>
      <c r="IM89" s="75"/>
      <c r="IN89" s="75"/>
      <c r="IO89" s="75"/>
      <c r="IP89" s="75"/>
      <c r="IQ89" s="75"/>
      <c r="IR89" s="75"/>
    </row>
    <row r="90" spans="1:252" s="76" customFormat="1" ht="38.25" x14ac:dyDescent="0.2">
      <c r="A90" s="77">
        <v>41034700</v>
      </c>
      <c r="B90" s="107" t="s">
        <v>959</v>
      </c>
      <c r="C90" s="73">
        <v>27000000</v>
      </c>
      <c r="D90" s="80">
        <v>27000000</v>
      </c>
      <c r="E90" s="73"/>
      <c r="F90" s="73"/>
      <c r="G90" s="74"/>
      <c r="H90" s="75"/>
      <c r="I90" s="75"/>
      <c r="J90" s="75"/>
      <c r="K90" s="75"/>
      <c r="IJ90" s="75"/>
      <c r="IK90" s="75"/>
      <c r="IL90" s="75"/>
      <c r="IM90" s="75"/>
      <c r="IN90" s="75"/>
      <c r="IO90" s="75"/>
      <c r="IP90" s="75"/>
      <c r="IQ90" s="75"/>
      <c r="IR90" s="75"/>
    </row>
    <row r="91" spans="1:252" s="76" customFormat="1" ht="183" customHeight="1" x14ac:dyDescent="0.2">
      <c r="A91" s="77">
        <v>41050400</v>
      </c>
      <c r="B91" s="107" t="s">
        <v>960</v>
      </c>
      <c r="C91" s="73">
        <v>6864875.6299999999</v>
      </c>
      <c r="D91" s="80">
        <v>6864875.6299999999</v>
      </c>
      <c r="E91" s="73"/>
      <c r="F91" s="73"/>
      <c r="G91" s="74"/>
      <c r="H91" s="75"/>
      <c r="I91" s="75"/>
      <c r="J91" s="75"/>
      <c r="K91" s="75"/>
      <c r="IJ91" s="75"/>
      <c r="IK91" s="75"/>
      <c r="IL91" s="75"/>
      <c r="IM91" s="75"/>
      <c r="IN91" s="75"/>
      <c r="IO91" s="75"/>
      <c r="IP91" s="75"/>
      <c r="IQ91" s="75"/>
      <c r="IR91" s="75"/>
    </row>
    <row r="92" spans="1:252" s="76" customFormat="1" ht="38.25" x14ac:dyDescent="0.2">
      <c r="A92" s="77">
        <v>41051100</v>
      </c>
      <c r="B92" s="107" t="s">
        <v>779</v>
      </c>
      <c r="C92" s="73">
        <v>1041579</v>
      </c>
      <c r="D92" s="80">
        <v>375000</v>
      </c>
      <c r="E92" s="80">
        <v>666579</v>
      </c>
      <c r="F92" s="73"/>
      <c r="G92" s="74"/>
      <c r="H92" s="75"/>
      <c r="I92" s="75"/>
      <c r="J92" s="75"/>
      <c r="K92" s="75"/>
      <c r="IJ92" s="75"/>
      <c r="IK92" s="75"/>
      <c r="IL92" s="75"/>
      <c r="IM92" s="75"/>
      <c r="IN92" s="75"/>
      <c r="IO92" s="75"/>
      <c r="IP92" s="75"/>
      <c r="IQ92" s="75"/>
      <c r="IR92" s="75"/>
    </row>
    <row r="93" spans="1:252" s="76" customFormat="1" ht="51" x14ac:dyDescent="0.2">
      <c r="A93" s="77">
        <v>41051200</v>
      </c>
      <c r="B93" s="107" t="s">
        <v>780</v>
      </c>
      <c r="C93" s="73">
        <v>2452200</v>
      </c>
      <c r="D93" s="80">
        <v>2452200</v>
      </c>
      <c r="E93" s="80"/>
      <c r="F93" s="73"/>
      <c r="G93" s="74"/>
      <c r="H93" s="75"/>
      <c r="I93" s="75"/>
      <c r="J93" s="75"/>
      <c r="K93" s="75"/>
      <c r="IJ93" s="75"/>
      <c r="IK93" s="75"/>
      <c r="IL93" s="75"/>
      <c r="IM93" s="75"/>
      <c r="IN93" s="75"/>
      <c r="IO93" s="75"/>
      <c r="IP93" s="75"/>
      <c r="IQ93" s="75"/>
      <c r="IR93" s="75"/>
    </row>
    <row r="94" spans="1:252" s="76" customFormat="1" ht="44.25" customHeight="1" x14ac:dyDescent="0.2">
      <c r="A94" s="77">
        <v>41051400</v>
      </c>
      <c r="B94" s="107" t="s">
        <v>961</v>
      </c>
      <c r="C94" s="73">
        <v>5499838</v>
      </c>
      <c r="D94" s="80">
        <v>5499838</v>
      </c>
      <c r="E94" s="80"/>
      <c r="F94" s="73"/>
      <c r="G94" s="74"/>
      <c r="H94" s="75"/>
      <c r="I94" s="75"/>
      <c r="J94" s="75"/>
      <c r="K94" s="75"/>
      <c r="IJ94" s="75"/>
      <c r="IK94" s="75"/>
      <c r="IL94" s="75"/>
      <c r="IM94" s="75"/>
      <c r="IN94" s="75"/>
      <c r="IO94" s="75"/>
      <c r="IP94" s="75"/>
      <c r="IQ94" s="75"/>
      <c r="IR94" s="75"/>
    </row>
    <row r="95" spans="1:252" s="76" customFormat="1" ht="49.5" customHeight="1" x14ac:dyDescent="0.2">
      <c r="A95" s="77">
        <v>41051500</v>
      </c>
      <c r="B95" s="107" t="s">
        <v>701</v>
      </c>
      <c r="C95" s="73">
        <v>6595200</v>
      </c>
      <c r="D95" s="80">
        <v>6595200</v>
      </c>
      <c r="E95" s="73"/>
      <c r="F95" s="73"/>
      <c r="G95" s="74"/>
      <c r="H95" s="75"/>
      <c r="I95" s="75"/>
      <c r="J95" s="75"/>
      <c r="K95" s="75"/>
      <c r="IJ95" s="75"/>
      <c r="IK95" s="75"/>
      <c r="IL95" s="75"/>
      <c r="IM95" s="75"/>
      <c r="IN95" s="75"/>
      <c r="IO95" s="75"/>
      <c r="IP95" s="75"/>
      <c r="IQ95" s="75"/>
      <c r="IR95" s="75"/>
    </row>
    <row r="96" spans="1:252" s="76" customFormat="1" ht="63.75" x14ac:dyDescent="0.2">
      <c r="A96" s="77">
        <v>41052000</v>
      </c>
      <c r="B96" s="107" t="s">
        <v>702</v>
      </c>
      <c r="C96" s="73">
        <v>6325700</v>
      </c>
      <c r="D96" s="80">
        <v>6325700</v>
      </c>
      <c r="E96" s="73"/>
      <c r="F96" s="73"/>
      <c r="G96" s="74"/>
      <c r="H96" s="75"/>
      <c r="I96" s="75"/>
      <c r="J96" s="75"/>
      <c r="K96" s="75"/>
      <c r="IJ96" s="75"/>
      <c r="IK96" s="75"/>
      <c r="IL96" s="75"/>
      <c r="IM96" s="75"/>
      <c r="IN96" s="75"/>
      <c r="IO96" s="75"/>
      <c r="IP96" s="75"/>
      <c r="IQ96" s="75"/>
      <c r="IR96" s="75"/>
    </row>
    <row r="97" spans="1:252" s="76" customFormat="1" ht="213.75" customHeight="1" x14ac:dyDescent="0.2">
      <c r="A97" s="71">
        <v>41050300</v>
      </c>
      <c r="B97" s="107" t="s">
        <v>651</v>
      </c>
      <c r="C97" s="73">
        <f t="shared" si="1"/>
        <v>337074520</v>
      </c>
      <c r="D97" s="80">
        <v>337074520</v>
      </c>
      <c r="E97" s="73"/>
      <c r="F97" s="73"/>
      <c r="G97" s="74"/>
      <c r="H97" s="75"/>
      <c r="I97" s="75"/>
      <c r="J97" s="75"/>
      <c r="K97" s="75"/>
      <c r="IJ97" s="75"/>
      <c r="IK97" s="75"/>
      <c r="IL97" s="75"/>
      <c r="IM97" s="75"/>
      <c r="IN97" s="75"/>
      <c r="IO97" s="75"/>
      <c r="IP97" s="75"/>
      <c r="IQ97" s="75"/>
      <c r="IR97" s="75"/>
    </row>
    <row r="98" spans="1:252" s="76" customFormat="1" ht="129.75" customHeight="1" x14ac:dyDescent="0.2">
      <c r="A98" s="71">
        <v>41050100</v>
      </c>
      <c r="B98" s="107" t="s">
        <v>652</v>
      </c>
      <c r="C98" s="73">
        <v>523967300</v>
      </c>
      <c r="D98" s="80">
        <v>523967300</v>
      </c>
      <c r="E98" s="73"/>
      <c r="F98" s="73"/>
      <c r="G98" s="74"/>
      <c r="H98" s="75"/>
      <c r="I98" s="75"/>
      <c r="J98" s="75"/>
      <c r="K98" s="75"/>
      <c r="IJ98" s="75"/>
      <c r="IK98" s="75"/>
      <c r="IL98" s="75"/>
      <c r="IM98" s="75"/>
      <c r="IN98" s="75"/>
      <c r="IO98" s="75"/>
      <c r="IP98" s="75"/>
      <c r="IQ98" s="75"/>
      <c r="IR98" s="75"/>
    </row>
    <row r="99" spans="1:252" s="76" customFormat="1" ht="72" customHeight="1" x14ac:dyDescent="0.2">
      <c r="A99" s="71">
        <v>41050200</v>
      </c>
      <c r="B99" s="107" t="s">
        <v>653</v>
      </c>
      <c r="C99" s="73">
        <f t="shared" si="1"/>
        <v>60000</v>
      </c>
      <c r="D99" s="80">
        <v>60000</v>
      </c>
      <c r="E99" s="73"/>
      <c r="F99" s="73"/>
      <c r="G99" s="74"/>
      <c r="H99" s="75"/>
      <c r="I99" s="75"/>
      <c r="J99" s="75"/>
      <c r="K99" s="75"/>
      <c r="IJ99" s="75"/>
      <c r="IK99" s="75"/>
      <c r="IL99" s="75"/>
      <c r="IM99" s="75"/>
      <c r="IN99" s="75"/>
      <c r="IO99" s="75"/>
      <c r="IP99" s="75"/>
      <c r="IQ99" s="75"/>
      <c r="IR99" s="75"/>
    </row>
    <row r="100" spans="1:252" s="76" customFormat="1" ht="168.75" customHeight="1" x14ac:dyDescent="0.2">
      <c r="A100" s="71">
        <v>41050700</v>
      </c>
      <c r="B100" s="107" t="s">
        <v>654</v>
      </c>
      <c r="C100" s="73">
        <f t="shared" si="1"/>
        <v>851000</v>
      </c>
      <c r="D100" s="80">
        <v>851000</v>
      </c>
      <c r="E100" s="73"/>
      <c r="F100" s="73"/>
      <c r="G100" s="74"/>
      <c r="H100" s="75"/>
      <c r="I100" s="75"/>
      <c r="J100" s="75"/>
      <c r="K100" s="75"/>
      <c r="IJ100" s="75"/>
      <c r="IK100" s="75"/>
      <c r="IL100" s="75"/>
      <c r="IM100" s="75"/>
      <c r="IN100" s="75"/>
      <c r="IO100" s="75"/>
      <c r="IP100" s="75"/>
      <c r="IQ100" s="75"/>
      <c r="IR100" s="75"/>
    </row>
    <row r="101" spans="1:252" s="76" customFormat="1" ht="102.75" customHeight="1" x14ac:dyDescent="0.2">
      <c r="A101" s="71">
        <v>41050900</v>
      </c>
      <c r="B101" s="107" t="s">
        <v>962</v>
      </c>
      <c r="C101" s="73">
        <v>660842</v>
      </c>
      <c r="D101" s="80">
        <v>660842</v>
      </c>
      <c r="E101" s="73"/>
      <c r="F101" s="73"/>
      <c r="G101" s="74"/>
      <c r="H101" s="75"/>
      <c r="I101" s="75"/>
      <c r="J101" s="75"/>
      <c r="K101" s="75"/>
      <c r="IJ101" s="75"/>
      <c r="IK101" s="75"/>
      <c r="IL101" s="75"/>
      <c r="IM101" s="75"/>
      <c r="IN101" s="75"/>
      <c r="IO101" s="75"/>
      <c r="IP101" s="75"/>
      <c r="IQ101" s="75"/>
      <c r="IR101" s="75"/>
    </row>
    <row r="102" spans="1:252" s="76" customFormat="1" ht="17.25" customHeight="1" x14ac:dyDescent="0.2">
      <c r="A102" s="71">
        <v>41053900</v>
      </c>
      <c r="B102" s="121" t="s">
        <v>716</v>
      </c>
      <c r="C102" s="73">
        <f t="shared" si="1"/>
        <v>6412726</v>
      </c>
      <c r="D102" s="89">
        <f>SUM(D103:D108)</f>
        <v>6412726</v>
      </c>
      <c r="E102" s="73"/>
      <c r="F102" s="73"/>
      <c r="G102" s="74"/>
      <c r="H102" s="75"/>
      <c r="I102" s="75"/>
      <c r="J102" s="75"/>
      <c r="K102" s="75"/>
      <c r="IJ102" s="75"/>
      <c r="IK102" s="75"/>
      <c r="IL102" s="75"/>
      <c r="IM102" s="75"/>
      <c r="IN102" s="75"/>
      <c r="IO102" s="75"/>
      <c r="IP102" s="75"/>
      <c r="IQ102" s="75"/>
      <c r="IR102" s="75"/>
    </row>
    <row r="103" spans="1:252" s="76" customFormat="1" ht="36" x14ac:dyDescent="0.2">
      <c r="A103" s="71"/>
      <c r="B103" s="122" t="s">
        <v>217</v>
      </c>
      <c r="C103" s="73">
        <f t="shared" si="1"/>
        <v>174859</v>
      </c>
      <c r="D103" s="80">
        <v>174859</v>
      </c>
      <c r="E103" s="73"/>
      <c r="F103" s="73"/>
      <c r="G103" s="74"/>
      <c r="H103" s="75"/>
      <c r="I103" s="75"/>
      <c r="J103" s="75"/>
      <c r="K103" s="75"/>
      <c r="IJ103" s="75"/>
      <c r="IK103" s="75"/>
      <c r="IL103" s="75"/>
      <c r="IM103" s="75"/>
      <c r="IN103" s="75"/>
      <c r="IO103" s="75"/>
      <c r="IP103" s="75"/>
      <c r="IQ103" s="75"/>
      <c r="IR103" s="75"/>
    </row>
    <row r="104" spans="1:252" s="76" customFormat="1" ht="36" x14ac:dyDescent="0.2">
      <c r="A104" s="71"/>
      <c r="B104" s="122" t="s">
        <v>218</v>
      </c>
      <c r="C104" s="73">
        <f t="shared" si="1"/>
        <v>123359</v>
      </c>
      <c r="D104" s="80">
        <v>123359</v>
      </c>
      <c r="E104" s="73"/>
      <c r="F104" s="73"/>
      <c r="G104" s="74"/>
      <c r="H104" s="75"/>
      <c r="I104" s="75"/>
      <c r="J104" s="75"/>
      <c r="K104" s="75"/>
      <c r="IJ104" s="75"/>
      <c r="IK104" s="75"/>
      <c r="IL104" s="75"/>
      <c r="IM104" s="75"/>
      <c r="IN104" s="75"/>
      <c r="IO104" s="75"/>
      <c r="IP104" s="75"/>
      <c r="IQ104" s="75"/>
      <c r="IR104" s="75"/>
    </row>
    <row r="105" spans="1:252" s="96" customFormat="1" ht="24" x14ac:dyDescent="0.2">
      <c r="A105" s="71"/>
      <c r="B105" s="122" t="s">
        <v>219</v>
      </c>
      <c r="C105" s="73">
        <f t="shared" si="1"/>
        <v>168</v>
      </c>
      <c r="D105" s="80">
        <v>168</v>
      </c>
      <c r="E105" s="73"/>
      <c r="F105" s="73"/>
      <c r="G105" s="94"/>
      <c r="H105" s="95"/>
      <c r="I105" s="95"/>
      <c r="J105" s="95"/>
      <c r="K105" s="95"/>
      <c r="IJ105" s="95"/>
      <c r="IK105" s="95"/>
      <c r="IL105" s="95"/>
      <c r="IM105" s="95"/>
      <c r="IN105" s="95"/>
      <c r="IO105" s="95"/>
      <c r="IP105" s="95"/>
      <c r="IQ105" s="95"/>
      <c r="IR105" s="95"/>
    </row>
    <row r="106" spans="1:252" ht="24" x14ac:dyDescent="0.2">
      <c r="A106" s="71"/>
      <c r="B106" s="122" t="s">
        <v>220</v>
      </c>
      <c r="C106" s="73">
        <f t="shared" si="1"/>
        <v>188940</v>
      </c>
      <c r="D106" s="80">
        <v>188940</v>
      </c>
      <c r="E106" s="73"/>
      <c r="F106" s="73"/>
      <c r="G106" s="61"/>
    </row>
    <row r="107" spans="1:252" ht="24" x14ac:dyDescent="0.2">
      <c r="A107" s="71"/>
      <c r="B107" s="122" t="s">
        <v>1004</v>
      </c>
      <c r="C107" s="73">
        <f t="shared" si="1"/>
        <v>4500000</v>
      </c>
      <c r="D107" s="80">
        <v>4500000</v>
      </c>
      <c r="E107" s="73"/>
      <c r="F107" s="73"/>
      <c r="G107" s="61"/>
    </row>
    <row r="108" spans="1:252" ht="24" x14ac:dyDescent="0.2">
      <c r="A108" s="71"/>
      <c r="B108" s="122" t="s">
        <v>1005</v>
      </c>
      <c r="C108" s="73">
        <f t="shared" si="1"/>
        <v>1425400</v>
      </c>
      <c r="D108" s="80">
        <v>1425400</v>
      </c>
      <c r="E108" s="73"/>
      <c r="F108" s="73"/>
      <c r="G108" s="61"/>
    </row>
    <row r="109" spans="1:252" s="127" customFormat="1" ht="20.25" x14ac:dyDescent="0.25">
      <c r="A109" s="123"/>
      <c r="B109" s="124" t="s">
        <v>221</v>
      </c>
      <c r="C109" s="73">
        <f t="shared" si="1"/>
        <v>3176197253.3299999</v>
      </c>
      <c r="D109" s="89">
        <f>SUM(D83,D84,D86)</f>
        <v>3024396107.3299999</v>
      </c>
      <c r="E109" s="89">
        <f>SUM(E83,E86)</f>
        <v>151801146</v>
      </c>
      <c r="F109" s="89">
        <f>SUM(F83:F86)</f>
        <v>32064200</v>
      </c>
      <c r="G109" s="125"/>
      <c r="H109" s="126"/>
      <c r="I109" s="126"/>
      <c r="J109" s="126"/>
      <c r="K109" s="126"/>
      <c r="IJ109" s="126"/>
      <c r="IK109" s="126"/>
      <c r="IL109" s="126"/>
      <c r="IM109" s="126"/>
      <c r="IN109" s="126"/>
      <c r="IO109" s="126"/>
      <c r="IP109" s="126"/>
      <c r="IQ109" s="126"/>
      <c r="IR109" s="126"/>
    </row>
    <row r="110" spans="1:252" x14ac:dyDescent="0.2">
      <c r="G110" s="61"/>
    </row>
    <row r="111" spans="1:252" ht="15.75" x14ac:dyDescent="0.25">
      <c r="B111" s="615" t="s">
        <v>1030</v>
      </c>
      <c r="E111" s="615" t="s">
        <v>1031</v>
      </c>
      <c r="G111" s="61"/>
    </row>
    <row r="112" spans="1:252" ht="15.75" x14ac:dyDescent="0.25">
      <c r="B112" s="615"/>
      <c r="E112" s="615"/>
      <c r="G112" s="61"/>
    </row>
    <row r="113" spans="1:7" ht="15.75" x14ac:dyDescent="0.25">
      <c r="A113" s="126"/>
      <c r="B113" s="615" t="s">
        <v>222</v>
      </c>
      <c r="C113" s="615"/>
      <c r="D113" s="615"/>
      <c r="E113" s="615" t="s">
        <v>223</v>
      </c>
      <c r="F113" s="126"/>
      <c r="G113" s="61"/>
    </row>
    <row r="114" spans="1:7" x14ac:dyDescent="0.2">
      <c r="A114" s="61"/>
      <c r="B114" s="61"/>
      <c r="C114" s="61"/>
      <c r="D114" s="61"/>
      <c r="E114" s="61"/>
      <c r="F114" s="61"/>
      <c r="G114" s="61"/>
    </row>
    <row r="115" spans="1:7" x14ac:dyDescent="0.2">
      <c r="A115" s="61"/>
      <c r="B115" s="61"/>
      <c r="C115" s="61"/>
      <c r="D115" s="128"/>
      <c r="E115" s="61"/>
      <c r="F115" s="61"/>
      <c r="G115" s="61"/>
    </row>
    <row r="116" spans="1:7" x14ac:dyDescent="0.2">
      <c r="A116" s="61"/>
      <c r="B116" s="61"/>
      <c r="C116" s="61"/>
      <c r="D116" s="129"/>
      <c r="E116" s="61"/>
      <c r="F116" s="61"/>
      <c r="G116" s="61"/>
    </row>
    <row r="117" spans="1:7" x14ac:dyDescent="0.2">
      <c r="A117" s="61"/>
      <c r="B117" s="61"/>
      <c r="C117" s="61"/>
      <c r="D117" s="61"/>
      <c r="E117" s="61"/>
      <c r="F117" s="61"/>
      <c r="G117" s="61"/>
    </row>
    <row r="159" spans="5:5" ht="18.75" x14ac:dyDescent="0.3">
      <c r="E159" s="183"/>
    </row>
  </sheetData>
  <mergeCells count="10">
    <mergeCell ref="A7:A8"/>
    <mergeCell ref="B7:B8"/>
    <mergeCell ref="C7:C8"/>
    <mergeCell ref="D7:D8"/>
    <mergeCell ref="E7:F7"/>
    <mergeCell ref="D1:G1"/>
    <mergeCell ref="D2:G2"/>
    <mergeCell ref="D3:G3"/>
    <mergeCell ref="A4:E4"/>
    <mergeCell ref="A5:E5"/>
  </mergeCells>
  <hyperlinks>
    <hyperlink ref="B75" location="_ftn1" display="_ftn1" xr:uid="{00000000-0004-0000-0000-000000000000}"/>
    <hyperlink ref="B74" location="_ftn1" display="_ftn1" xr:uid="{00000000-0004-0000-0000-000001000000}"/>
    <hyperlink ref="B60" location="_ftn1" display="_ftn1" xr:uid="{00000000-0004-0000-0000-000002000000}"/>
    <hyperlink ref="B15" location="_ftn1" display="_ftn1" xr:uid="{00000000-0004-0000-0000-000003000000}"/>
    <hyperlink ref="B14" location="_ftn1" display="_ftn1" xr:uid="{00000000-0004-0000-0000-000004000000}"/>
    <hyperlink ref="B43" location="_ftn1" display="_ftn1" xr:uid="{00000000-0004-0000-0000-000005000000}"/>
    <hyperlink ref="B78" location="_ftn1" display="_ftn1" xr:uid="{00000000-0004-0000-0000-000006000000}"/>
    <hyperlink ref="B79" location="_ftn1" display="_ftn1" xr:uid="{00000000-0004-0000-0000-000007000000}"/>
    <hyperlink ref="B48" location="_ftn1" display="_ftn1" xr:uid="{00000000-0004-0000-0000-000008000000}"/>
    <hyperlink ref="B49" location="_ftn1" display="_ftn1" xr:uid="{00000000-0004-0000-0000-000009000000}"/>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13"/>
  <sheetViews>
    <sheetView view="pageBreakPreview" zoomScale="25" zoomScaleNormal="25" zoomScaleSheetLayoutView="25" zoomScalePageLayoutView="10" workbookViewId="0">
      <pane ySplit="11" topLeftCell="A181" activePane="bottomLeft" state="frozen"/>
      <selection pane="bottomLeft" activeCell="E81" sqref="E81"/>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63" customWidth="1"/>
    <col min="18" max="18" width="40.140625" bestFit="1" customWidth="1"/>
    <col min="20" max="20" width="24.7109375" bestFit="1" customWidth="1"/>
  </cols>
  <sheetData>
    <row r="1" spans="1:17" ht="45.75" x14ac:dyDescent="0.2">
      <c r="D1" s="564"/>
      <c r="E1" s="565"/>
      <c r="F1" s="17"/>
      <c r="G1" s="18"/>
      <c r="H1" s="18"/>
      <c r="I1" s="18"/>
      <c r="J1" s="565"/>
      <c r="K1" s="18"/>
      <c r="L1" s="18"/>
      <c r="M1" s="18"/>
      <c r="N1" s="711" t="s">
        <v>129</v>
      </c>
      <c r="O1" s="711"/>
      <c r="P1" s="711"/>
    </row>
    <row r="2" spans="1:17" ht="45.75" x14ac:dyDescent="0.2">
      <c r="A2" s="564"/>
      <c r="B2" s="564"/>
      <c r="C2" s="564"/>
      <c r="D2" s="564"/>
      <c r="E2" s="565"/>
      <c r="F2" s="17"/>
      <c r="G2" s="18"/>
      <c r="H2" s="18"/>
      <c r="I2" s="18"/>
      <c r="J2" s="565"/>
      <c r="K2" s="18"/>
      <c r="L2" s="18"/>
      <c r="M2" s="18"/>
      <c r="N2" s="711" t="s">
        <v>895</v>
      </c>
      <c r="O2" s="712"/>
      <c r="P2" s="712"/>
    </row>
    <row r="3" spans="1:17" ht="40.5" customHeight="1" x14ac:dyDescent="0.2">
      <c r="A3" s="564"/>
      <c r="B3" s="564"/>
      <c r="C3" s="564"/>
      <c r="D3" s="564"/>
      <c r="E3" s="565"/>
      <c r="F3" s="17"/>
      <c r="G3" s="18"/>
      <c r="H3" s="18"/>
      <c r="I3" s="18"/>
      <c r="J3" s="565"/>
      <c r="K3" s="18"/>
      <c r="L3" s="18"/>
      <c r="M3" s="18"/>
      <c r="N3" s="711"/>
      <c r="O3" s="712"/>
      <c r="P3" s="712"/>
    </row>
    <row r="4" spans="1:17" ht="45.75" hidden="1" x14ac:dyDescent="0.2">
      <c r="A4" s="564"/>
      <c r="B4" s="564"/>
      <c r="C4" s="564"/>
      <c r="D4" s="564"/>
      <c r="E4" s="565"/>
      <c r="F4" s="17"/>
      <c r="G4" s="18"/>
      <c r="H4" s="18"/>
      <c r="I4" s="18"/>
      <c r="J4" s="565"/>
      <c r="K4" s="18"/>
      <c r="L4" s="18"/>
      <c r="M4" s="18"/>
      <c r="N4" s="204"/>
      <c r="O4" s="564"/>
      <c r="P4" s="563"/>
    </row>
    <row r="5" spans="1:17" ht="45" x14ac:dyDescent="0.2">
      <c r="A5" s="713" t="s">
        <v>128</v>
      </c>
      <c r="B5" s="713"/>
      <c r="C5" s="713"/>
      <c r="D5" s="713"/>
      <c r="E5" s="713"/>
      <c r="F5" s="713"/>
      <c r="G5" s="713"/>
      <c r="H5" s="713"/>
      <c r="I5" s="713"/>
      <c r="J5" s="713"/>
      <c r="K5" s="713"/>
      <c r="L5" s="713"/>
      <c r="M5" s="713"/>
      <c r="N5" s="713"/>
      <c r="O5" s="713"/>
      <c r="P5" s="713"/>
    </row>
    <row r="6" spans="1:17" ht="45" x14ac:dyDescent="0.2">
      <c r="A6" s="713" t="s">
        <v>641</v>
      </c>
      <c r="B6" s="713"/>
      <c r="C6" s="713"/>
      <c r="D6" s="713"/>
      <c r="E6" s="713"/>
      <c r="F6" s="713"/>
      <c r="G6" s="713"/>
      <c r="H6" s="713"/>
      <c r="I6" s="713"/>
      <c r="J6" s="713"/>
      <c r="K6" s="713"/>
      <c r="L6" s="713"/>
      <c r="M6" s="713"/>
      <c r="N6" s="713"/>
      <c r="O6" s="713"/>
      <c r="P6" s="713"/>
    </row>
    <row r="7" spans="1:17" ht="53.25" customHeight="1" x14ac:dyDescent="0.2">
      <c r="A7" s="565"/>
      <c r="B7" s="565"/>
      <c r="C7" s="565"/>
      <c r="D7" s="565"/>
      <c r="E7" s="565"/>
      <c r="F7" s="17"/>
      <c r="G7" s="565"/>
      <c r="H7" s="565"/>
      <c r="I7" s="18"/>
      <c r="J7" s="565"/>
      <c r="K7" s="18"/>
      <c r="L7" s="565"/>
      <c r="M7" s="565"/>
      <c r="N7" s="18"/>
      <c r="O7" s="565"/>
      <c r="P7" s="20" t="s">
        <v>134</v>
      </c>
    </row>
    <row r="8" spans="1:17" ht="62.25" customHeight="1" x14ac:dyDescent="0.2">
      <c r="A8" s="705" t="s">
        <v>41</v>
      </c>
      <c r="B8" s="705" t="s">
        <v>42</v>
      </c>
      <c r="C8" s="560"/>
      <c r="D8" s="705" t="s">
        <v>45</v>
      </c>
      <c r="E8" s="710" t="s">
        <v>36</v>
      </c>
      <c r="F8" s="710"/>
      <c r="G8" s="710"/>
      <c r="H8" s="710"/>
      <c r="I8" s="710"/>
      <c r="J8" s="710" t="s">
        <v>124</v>
      </c>
      <c r="K8" s="710"/>
      <c r="L8" s="710"/>
      <c r="M8" s="710"/>
      <c r="N8" s="710"/>
      <c r="O8" s="21"/>
      <c r="P8" s="710" t="s">
        <v>35</v>
      </c>
    </row>
    <row r="9" spans="1:17" ht="255" customHeight="1" x14ac:dyDescent="0.2">
      <c r="A9" s="706"/>
      <c r="B9" s="708"/>
      <c r="C9" s="561" t="s">
        <v>43</v>
      </c>
      <c r="D9" s="706"/>
      <c r="E9" s="716" t="s">
        <v>7</v>
      </c>
      <c r="F9" s="717" t="s">
        <v>125</v>
      </c>
      <c r="G9" s="716" t="s">
        <v>37</v>
      </c>
      <c r="H9" s="716"/>
      <c r="I9" s="717" t="s">
        <v>127</v>
      </c>
      <c r="J9" s="716" t="s">
        <v>7</v>
      </c>
      <c r="K9" s="717" t="s">
        <v>125</v>
      </c>
      <c r="L9" s="716" t="s">
        <v>37</v>
      </c>
      <c r="M9" s="716"/>
      <c r="N9" s="717" t="s">
        <v>127</v>
      </c>
      <c r="O9" s="558" t="s">
        <v>37</v>
      </c>
      <c r="P9" s="710"/>
    </row>
    <row r="10" spans="1:17" ht="137.25" x14ac:dyDescent="0.2">
      <c r="A10" s="707"/>
      <c r="B10" s="707"/>
      <c r="C10" s="562"/>
      <c r="D10" s="707"/>
      <c r="E10" s="716"/>
      <c r="F10" s="717"/>
      <c r="G10" s="558" t="s">
        <v>126</v>
      </c>
      <c r="H10" s="558" t="s">
        <v>40</v>
      </c>
      <c r="I10" s="717"/>
      <c r="J10" s="716"/>
      <c r="K10" s="717"/>
      <c r="L10" s="558" t="s">
        <v>126</v>
      </c>
      <c r="M10" s="558" t="s">
        <v>40</v>
      </c>
      <c r="N10" s="717"/>
      <c r="O10" s="558" t="s">
        <v>32</v>
      </c>
      <c r="P10" s="710"/>
    </row>
    <row r="11" spans="1:17" s="3" customFormat="1" ht="45.75" x14ac:dyDescent="0.2">
      <c r="A11" s="22" t="s">
        <v>9</v>
      </c>
      <c r="B11" s="22" t="s">
        <v>10</v>
      </c>
      <c r="C11" s="22" t="s">
        <v>39</v>
      </c>
      <c r="D11" s="22" t="s">
        <v>12</v>
      </c>
      <c r="E11" s="23">
        <v>5</v>
      </c>
      <c r="F11" s="559">
        <v>6</v>
      </c>
      <c r="G11" s="23">
        <v>7</v>
      </c>
      <c r="H11" s="23">
        <v>8</v>
      </c>
      <c r="I11" s="201">
        <v>9</v>
      </c>
      <c r="J11" s="23">
        <v>10</v>
      </c>
      <c r="K11" s="201">
        <v>11</v>
      </c>
      <c r="L11" s="23">
        <v>12</v>
      </c>
      <c r="M11" s="23">
        <v>13</v>
      </c>
      <c r="N11" s="201">
        <v>14</v>
      </c>
      <c r="O11" s="23">
        <v>15</v>
      </c>
      <c r="P11" s="23">
        <v>16</v>
      </c>
    </row>
    <row r="12" spans="1:17" s="3" customFormat="1" ht="135" x14ac:dyDescent="0.2">
      <c r="A12" s="568" t="s">
        <v>302</v>
      </c>
      <c r="B12" s="568"/>
      <c r="C12" s="568"/>
      <c r="D12" s="569" t="s">
        <v>304</v>
      </c>
      <c r="E12" s="570">
        <f>E13</f>
        <v>123072548</v>
      </c>
      <c r="F12" s="570">
        <f t="shared" ref="F12:P12" si="0">F13</f>
        <v>123072548</v>
      </c>
      <c r="G12" s="570">
        <f t="shared" si="0"/>
        <v>80106000</v>
      </c>
      <c r="H12" s="570">
        <f t="shared" si="0"/>
        <v>3981700</v>
      </c>
      <c r="I12" s="570">
        <f t="shared" si="0"/>
        <v>0</v>
      </c>
      <c r="J12" s="570">
        <f t="shared" si="0"/>
        <v>15903756.620000001</v>
      </c>
      <c r="K12" s="570">
        <f t="shared" si="0"/>
        <v>3175620.62</v>
      </c>
      <c r="L12" s="570">
        <f t="shared" si="0"/>
        <v>0</v>
      </c>
      <c r="M12" s="570">
        <f t="shared" si="0"/>
        <v>0</v>
      </c>
      <c r="N12" s="570">
        <f t="shared" si="0"/>
        <v>12728136</v>
      </c>
      <c r="O12" s="571">
        <f t="shared" si="0"/>
        <v>11788136</v>
      </c>
      <c r="P12" s="570">
        <f t="shared" si="0"/>
        <v>138976304.62</v>
      </c>
    </row>
    <row r="13" spans="1:17" s="3" customFormat="1" ht="135" x14ac:dyDescent="0.6">
      <c r="A13" s="572" t="s">
        <v>303</v>
      </c>
      <c r="B13" s="572"/>
      <c r="C13" s="572"/>
      <c r="D13" s="573" t="s">
        <v>305</v>
      </c>
      <c r="E13" s="574">
        <f>F13</f>
        <v>123072548</v>
      </c>
      <c r="F13" s="575">
        <f>F14+F15+F23+F17+F24+F16+F19+F18+F25</f>
        <v>123072548</v>
      </c>
      <c r="G13" s="575">
        <f>G14+G15+G23+G17+G24+G16</f>
        <v>80106000</v>
      </c>
      <c r="H13" s="575">
        <f>H14+H15+H23+H17+H24+H16</f>
        <v>3981700</v>
      </c>
      <c r="I13" s="575">
        <v>0</v>
      </c>
      <c r="J13" s="576">
        <f t="shared" ref="J13:J25" si="1">K13+N13</f>
        <v>15903756.620000001</v>
      </c>
      <c r="K13" s="575">
        <f>K14+K15+K23+K17+K24+K16+K20+K18+K25</f>
        <v>3175620.62</v>
      </c>
      <c r="L13" s="575">
        <f>L14+L15+L23+L17+L24+L16</f>
        <v>0</v>
      </c>
      <c r="M13" s="575">
        <f>M14+M15+M23+M17+M24+M16</f>
        <v>0</v>
      </c>
      <c r="N13" s="575">
        <f>N14+N15+N23+N17+N24+N16+N20+N18+N25</f>
        <v>12728136</v>
      </c>
      <c r="O13" s="575">
        <f>O14+O15+O23+O17+O24+O16+O20+O18+O25</f>
        <v>11788136</v>
      </c>
      <c r="P13" s="574">
        <f>J13+E13</f>
        <v>138976304.62</v>
      </c>
      <c r="Q13" s="577"/>
    </row>
    <row r="14" spans="1:17" ht="320.25" x14ac:dyDescent="0.2">
      <c r="A14" s="556" t="s">
        <v>428</v>
      </c>
      <c r="B14" s="556" t="s">
        <v>429</v>
      </c>
      <c r="C14" s="556" t="s">
        <v>430</v>
      </c>
      <c r="D14" s="556" t="s">
        <v>427</v>
      </c>
      <c r="E14" s="557">
        <f t="shared" ref="E14:E25" si="2">F14</f>
        <v>62160100</v>
      </c>
      <c r="F14" s="47">
        <f>(61847000)+227100+86000</f>
        <v>62160100</v>
      </c>
      <c r="G14" s="179">
        <v>42799000</v>
      </c>
      <c r="H14" s="179">
        <v>2438200</v>
      </c>
      <c r="I14" s="47"/>
      <c r="J14" s="248">
        <f t="shared" si="1"/>
        <v>2246800</v>
      </c>
      <c r="K14" s="268"/>
      <c r="L14" s="269"/>
      <c r="M14" s="269"/>
      <c r="N14" s="551">
        <f t="shared" ref="N14:N25" si="3">O14</f>
        <v>2246800</v>
      </c>
      <c r="O14" s="567">
        <f>(525200)+1807600-86000</f>
        <v>2246800</v>
      </c>
      <c r="P14" s="557">
        <f>+J14+E14</f>
        <v>64406900</v>
      </c>
    </row>
    <row r="15" spans="1:17" ht="228.75" x14ac:dyDescent="0.2">
      <c r="A15" s="556" t="s">
        <v>432</v>
      </c>
      <c r="B15" s="556" t="s">
        <v>433</v>
      </c>
      <c r="C15" s="556" t="s">
        <v>430</v>
      </c>
      <c r="D15" s="556" t="s">
        <v>431</v>
      </c>
      <c r="E15" s="557">
        <f t="shared" si="2"/>
        <v>50740284</v>
      </c>
      <c r="F15" s="551">
        <f>(49657100+750000+50000)+235184+40000+8000</f>
        <v>50740284</v>
      </c>
      <c r="G15" s="567">
        <v>37157000</v>
      </c>
      <c r="H15" s="567">
        <v>1543500</v>
      </c>
      <c r="I15" s="551"/>
      <c r="J15" s="557">
        <f t="shared" si="1"/>
        <v>444000</v>
      </c>
      <c r="K15" s="551"/>
      <c r="L15" s="567"/>
      <c r="M15" s="567"/>
      <c r="N15" s="551">
        <f t="shared" si="3"/>
        <v>444000</v>
      </c>
      <c r="O15" s="567">
        <f>(826000-750000+50000)+318000</f>
        <v>444000</v>
      </c>
      <c r="P15" s="557">
        <f>E15+J15</f>
        <v>51184284</v>
      </c>
    </row>
    <row r="16" spans="1:17" ht="91.5" x14ac:dyDescent="0.2">
      <c r="A16" s="556" t="s">
        <v>445</v>
      </c>
      <c r="B16" s="556" t="s">
        <v>103</v>
      </c>
      <c r="C16" s="556" t="s">
        <v>102</v>
      </c>
      <c r="D16" s="556" t="s">
        <v>446</v>
      </c>
      <c r="E16" s="557">
        <f t="shared" si="2"/>
        <v>1023000</v>
      </c>
      <c r="F16" s="551">
        <f>1188000-165000</f>
        <v>1023000</v>
      </c>
      <c r="G16" s="567">
        <v>150000</v>
      </c>
      <c r="H16" s="567"/>
      <c r="I16" s="551"/>
      <c r="J16" s="557">
        <f t="shared" si="1"/>
        <v>0</v>
      </c>
      <c r="K16" s="551"/>
      <c r="L16" s="567"/>
      <c r="M16" s="567"/>
      <c r="N16" s="551">
        <f>O16</f>
        <v>0</v>
      </c>
      <c r="O16" s="567"/>
      <c r="P16" s="557">
        <f>E16+J16</f>
        <v>1023000</v>
      </c>
    </row>
    <row r="17" spans="1:20" ht="91.5" x14ac:dyDescent="0.2">
      <c r="A17" s="556" t="s">
        <v>435</v>
      </c>
      <c r="B17" s="556" t="s">
        <v>436</v>
      </c>
      <c r="C17" s="556" t="s">
        <v>437</v>
      </c>
      <c r="D17" s="556" t="s">
        <v>434</v>
      </c>
      <c r="E17" s="557">
        <f t="shared" si="2"/>
        <v>4100700</v>
      </c>
      <c r="F17" s="551">
        <f>(1750700)+2350000</f>
        <v>4100700</v>
      </c>
      <c r="G17" s="567"/>
      <c r="H17" s="567"/>
      <c r="I17" s="551"/>
      <c r="J17" s="557">
        <f t="shared" si="1"/>
        <v>0</v>
      </c>
      <c r="K17" s="551"/>
      <c r="L17" s="567"/>
      <c r="M17" s="567"/>
      <c r="N17" s="551">
        <f>O17</f>
        <v>0</v>
      </c>
      <c r="O17" s="567"/>
      <c r="P17" s="557">
        <f>+J17+E17</f>
        <v>4100700</v>
      </c>
    </row>
    <row r="18" spans="1:20" ht="91.5" x14ac:dyDescent="0.2">
      <c r="A18" s="556" t="s">
        <v>646</v>
      </c>
      <c r="B18" s="272" t="s">
        <v>373</v>
      </c>
      <c r="C18" s="272" t="s">
        <v>324</v>
      </c>
      <c r="D18" s="556" t="s">
        <v>89</v>
      </c>
      <c r="E18" s="557">
        <f t="shared" si="2"/>
        <v>0</v>
      </c>
      <c r="F18" s="551"/>
      <c r="G18" s="567"/>
      <c r="H18" s="567"/>
      <c r="I18" s="551"/>
      <c r="J18" s="557">
        <f t="shared" si="1"/>
        <v>2500000</v>
      </c>
      <c r="K18" s="551"/>
      <c r="L18" s="567"/>
      <c r="M18" s="567"/>
      <c r="N18" s="551">
        <f>O18</f>
        <v>2500000</v>
      </c>
      <c r="O18" s="567">
        <v>2500000</v>
      </c>
      <c r="P18" s="557">
        <f>+J18+E18</f>
        <v>2500000</v>
      </c>
    </row>
    <row r="19" spans="1:20" ht="137.25" x14ac:dyDescent="0.2">
      <c r="A19" s="556" t="s">
        <v>565</v>
      </c>
      <c r="B19" s="556" t="s">
        <v>566</v>
      </c>
      <c r="C19" s="556" t="s">
        <v>324</v>
      </c>
      <c r="D19" s="555" t="s">
        <v>564</v>
      </c>
      <c r="E19" s="557">
        <f t="shared" si="2"/>
        <v>165000</v>
      </c>
      <c r="F19" s="551">
        <v>165000</v>
      </c>
      <c r="G19" s="567"/>
      <c r="H19" s="567"/>
      <c r="I19" s="551"/>
      <c r="J19" s="557">
        <f t="shared" si="1"/>
        <v>0</v>
      </c>
      <c r="K19" s="551"/>
      <c r="L19" s="567"/>
      <c r="M19" s="567"/>
      <c r="N19" s="551">
        <f>O19</f>
        <v>0</v>
      </c>
      <c r="O19" s="567"/>
      <c r="P19" s="557">
        <f>+J19+E19</f>
        <v>165000</v>
      </c>
    </row>
    <row r="20" spans="1:20" ht="46.5" x14ac:dyDescent="0.2">
      <c r="A20" s="556" t="s">
        <v>448</v>
      </c>
      <c r="B20" s="556" t="s">
        <v>449</v>
      </c>
      <c r="C20" s="556"/>
      <c r="D20" s="274" t="s">
        <v>447</v>
      </c>
      <c r="E20" s="557">
        <f t="shared" si="2"/>
        <v>0</v>
      </c>
      <c r="F20" s="551"/>
      <c r="G20" s="567"/>
      <c r="H20" s="567"/>
      <c r="I20" s="551"/>
      <c r="J20" s="557">
        <f t="shared" si="1"/>
        <v>4115620.62</v>
      </c>
      <c r="K20" s="551">
        <f>K21</f>
        <v>3175620.62</v>
      </c>
      <c r="L20" s="567"/>
      <c r="M20" s="567"/>
      <c r="N20" s="551">
        <f>N21</f>
        <v>940000</v>
      </c>
      <c r="O20" s="567">
        <f>O21</f>
        <v>0</v>
      </c>
      <c r="P20" s="557">
        <f>+J20+E20</f>
        <v>4115620.62</v>
      </c>
    </row>
    <row r="21" spans="1:20" s="203" customFormat="1" ht="409.5" x14ac:dyDescent="0.2">
      <c r="A21" s="718" t="s">
        <v>700</v>
      </c>
      <c r="B21" s="718" t="s">
        <v>699</v>
      </c>
      <c r="C21" s="718" t="s">
        <v>324</v>
      </c>
      <c r="D21" s="275" t="s">
        <v>728</v>
      </c>
      <c r="E21" s="714">
        <f t="shared" si="2"/>
        <v>0</v>
      </c>
      <c r="F21" s="714"/>
      <c r="G21" s="714"/>
      <c r="H21" s="714"/>
      <c r="I21" s="714"/>
      <c r="J21" s="714">
        <f t="shared" si="1"/>
        <v>4115620.62</v>
      </c>
      <c r="K21" s="714">
        <f>(2667000)+508620.62</f>
        <v>3175620.62</v>
      </c>
      <c r="L21" s="714"/>
      <c r="M21" s="714"/>
      <c r="N21" s="714">
        <f>(O21+740000)+200000</f>
        <v>940000</v>
      </c>
      <c r="O21" s="714"/>
      <c r="P21" s="714">
        <f>E21+J21</f>
        <v>4115620.62</v>
      </c>
    </row>
    <row r="22" spans="1:20" s="203" customFormat="1" ht="137.25" x14ac:dyDescent="0.2">
      <c r="A22" s="719"/>
      <c r="B22" s="719"/>
      <c r="C22" s="719"/>
      <c r="D22" s="276" t="s">
        <v>729</v>
      </c>
      <c r="E22" s="715"/>
      <c r="F22" s="715"/>
      <c r="G22" s="741"/>
      <c r="H22" s="741"/>
      <c r="I22" s="741"/>
      <c r="J22" s="741"/>
      <c r="K22" s="741"/>
      <c r="L22" s="741"/>
      <c r="M22" s="741"/>
      <c r="N22" s="741"/>
      <c r="O22" s="741"/>
      <c r="P22" s="741"/>
    </row>
    <row r="23" spans="1:20" ht="91.5" x14ac:dyDescent="0.2">
      <c r="A23" s="556" t="s">
        <v>438</v>
      </c>
      <c r="B23" s="556" t="s">
        <v>439</v>
      </c>
      <c r="C23" s="556" t="s">
        <v>440</v>
      </c>
      <c r="D23" s="555" t="s">
        <v>441</v>
      </c>
      <c r="E23" s="557">
        <f>F23</f>
        <v>3255800</v>
      </c>
      <c r="F23" s="551">
        <f>(2555000)+700800</f>
        <v>3255800</v>
      </c>
      <c r="G23" s="567"/>
      <c r="H23" s="567"/>
      <c r="I23" s="551"/>
      <c r="J23" s="557">
        <f t="shared" si="1"/>
        <v>1200000</v>
      </c>
      <c r="K23" s="551"/>
      <c r="L23" s="567"/>
      <c r="M23" s="567"/>
      <c r="N23" s="551">
        <f t="shared" si="3"/>
        <v>1200000</v>
      </c>
      <c r="O23" s="567">
        <v>1200000</v>
      </c>
      <c r="P23" s="557">
        <f t="shared" ref="P23:P25" si="4">E23+J23</f>
        <v>4455800</v>
      </c>
    </row>
    <row r="24" spans="1:20" ht="274.5" x14ac:dyDescent="0.2">
      <c r="A24" s="556" t="s">
        <v>442</v>
      </c>
      <c r="B24" s="556" t="s">
        <v>443</v>
      </c>
      <c r="C24" s="556" t="s">
        <v>103</v>
      </c>
      <c r="D24" s="556" t="s">
        <v>444</v>
      </c>
      <c r="E24" s="557">
        <f t="shared" si="2"/>
        <v>160000</v>
      </c>
      <c r="F24" s="551">
        <v>160000</v>
      </c>
      <c r="G24" s="567"/>
      <c r="H24" s="567"/>
      <c r="I24" s="551"/>
      <c r="J24" s="557"/>
      <c r="K24" s="551"/>
      <c r="L24" s="567"/>
      <c r="M24" s="567"/>
      <c r="N24" s="551">
        <f t="shared" si="3"/>
        <v>0</v>
      </c>
      <c r="O24" s="567"/>
      <c r="P24" s="557">
        <f t="shared" si="4"/>
        <v>160000</v>
      </c>
    </row>
    <row r="25" spans="1:20" ht="183" x14ac:dyDescent="0.2">
      <c r="A25" s="556" t="s">
        <v>822</v>
      </c>
      <c r="B25" s="556" t="s">
        <v>823</v>
      </c>
      <c r="C25" s="556" t="s">
        <v>103</v>
      </c>
      <c r="D25" s="556" t="s">
        <v>824</v>
      </c>
      <c r="E25" s="557">
        <f t="shared" si="2"/>
        <v>1467664</v>
      </c>
      <c r="F25" s="551">
        <f>1317664+100000+50000</f>
        <v>1467664</v>
      </c>
      <c r="G25" s="567"/>
      <c r="H25" s="567"/>
      <c r="I25" s="551"/>
      <c r="J25" s="557">
        <f t="shared" si="1"/>
        <v>5397336</v>
      </c>
      <c r="K25" s="551"/>
      <c r="L25" s="567"/>
      <c r="M25" s="567"/>
      <c r="N25" s="551">
        <f t="shared" si="3"/>
        <v>5397336</v>
      </c>
      <c r="O25" s="567">
        <f>5497336-100000</f>
        <v>5397336</v>
      </c>
      <c r="P25" s="557">
        <f t="shared" si="4"/>
        <v>6865000</v>
      </c>
    </row>
    <row r="26" spans="1:20" ht="135" x14ac:dyDescent="0.2">
      <c r="A26" s="568" t="s">
        <v>306</v>
      </c>
      <c r="B26" s="568"/>
      <c r="C26" s="568"/>
      <c r="D26" s="569" t="s">
        <v>1</v>
      </c>
      <c r="E26" s="575">
        <f>E27</f>
        <v>898767633</v>
      </c>
      <c r="F26" s="575">
        <f t="shared" ref="F26:P26" si="5">F27</f>
        <v>898767633</v>
      </c>
      <c r="G26" s="575">
        <f t="shared" si="5"/>
        <v>574703621</v>
      </c>
      <c r="H26" s="575">
        <f t="shared" si="5"/>
        <v>87998731</v>
      </c>
      <c r="I26" s="575">
        <f t="shared" si="5"/>
        <v>0</v>
      </c>
      <c r="J26" s="575">
        <f t="shared" si="5"/>
        <v>128681715</v>
      </c>
      <c r="K26" s="575">
        <f t="shared" si="5"/>
        <v>85224829</v>
      </c>
      <c r="L26" s="575">
        <f t="shared" si="5"/>
        <v>21540172</v>
      </c>
      <c r="M26" s="575">
        <f t="shared" si="5"/>
        <v>6128000</v>
      </c>
      <c r="N26" s="575">
        <f t="shared" si="5"/>
        <v>43456886</v>
      </c>
      <c r="O26" s="574">
        <f t="shared" si="5"/>
        <v>41599326</v>
      </c>
      <c r="P26" s="575">
        <f t="shared" si="5"/>
        <v>1027449348</v>
      </c>
    </row>
    <row r="27" spans="1:20" ht="135" x14ac:dyDescent="0.2">
      <c r="A27" s="572" t="s">
        <v>307</v>
      </c>
      <c r="B27" s="572"/>
      <c r="C27" s="572"/>
      <c r="D27" s="573" t="s">
        <v>2</v>
      </c>
      <c r="E27" s="574">
        <f>E28+E29+E30+E31+E32+E34+E35+E33+E39+E38</f>
        <v>898767633</v>
      </c>
      <c r="F27" s="575">
        <f>F28+F29+F30+F31+F32+F34+F35+F33+F39+F387+F38</f>
        <v>898767633</v>
      </c>
      <c r="G27" s="574">
        <f>G28+G29+G30+G31+G32+G34+G35+G33+G39</f>
        <v>574703621</v>
      </c>
      <c r="H27" s="574">
        <f>H28+H29+H30+H31+H32+H34+H35+H33+H39</f>
        <v>87998731</v>
      </c>
      <c r="I27" s="575">
        <f>I28+I29+I30+I31+I32+I34+I35+I33</f>
        <v>0</v>
      </c>
      <c r="J27" s="574">
        <f t="shared" ref="J27:O27" si="6">J28+J29+J30+J31+J32+J34+J35+J33+J39</f>
        <v>128681715</v>
      </c>
      <c r="K27" s="575">
        <f t="shared" si="6"/>
        <v>85224829</v>
      </c>
      <c r="L27" s="574">
        <f t="shared" si="6"/>
        <v>21540172</v>
      </c>
      <c r="M27" s="574">
        <f t="shared" si="6"/>
        <v>6128000</v>
      </c>
      <c r="N27" s="575">
        <f t="shared" si="6"/>
        <v>43456886</v>
      </c>
      <c r="O27" s="574">
        <f t="shared" si="6"/>
        <v>41599326</v>
      </c>
      <c r="P27" s="574">
        <f t="shared" ref="P27:P38" si="7">E27+J27</f>
        <v>1027449348</v>
      </c>
    </row>
    <row r="28" spans="1:20" ht="67.5" customHeight="1" x14ac:dyDescent="0.55000000000000004">
      <c r="A28" s="556" t="s">
        <v>376</v>
      </c>
      <c r="B28" s="556" t="s">
        <v>377</v>
      </c>
      <c r="C28" s="556" t="s">
        <v>379</v>
      </c>
      <c r="D28" s="556" t="s">
        <v>380</v>
      </c>
      <c r="E28" s="557">
        <f>F28</f>
        <v>246953481</v>
      </c>
      <c r="F28" s="551">
        <f>(241481300+165502+120830)+707200+3213800+389000+834500+41349+100000-100000</f>
        <v>246953481</v>
      </c>
      <c r="G28" s="567">
        <f>(151576300)+3213800</f>
        <v>154790100</v>
      </c>
      <c r="H28" s="567">
        <v>27650500</v>
      </c>
      <c r="I28" s="551"/>
      <c r="J28" s="557">
        <f t="shared" ref="J28:J38" si="8">K28+N28</f>
        <v>42030993</v>
      </c>
      <c r="K28" s="551">
        <v>34398400</v>
      </c>
      <c r="L28" s="567">
        <v>6344700</v>
      </c>
      <c r="M28" s="567">
        <v>677200</v>
      </c>
      <c r="N28" s="551">
        <f>O28+525900</f>
        <v>7632593</v>
      </c>
      <c r="O28" s="567">
        <f>(2466200+2000000+60000+353242+55000+50000*2)+777000+1256600-41349+80000-100000+100000</f>
        <v>7106693</v>
      </c>
      <c r="P28" s="557">
        <f t="shared" si="7"/>
        <v>288984474</v>
      </c>
      <c r="Q28" s="26"/>
      <c r="R28" s="26"/>
    </row>
    <row r="29" spans="1:20" ht="389.25" customHeight="1" x14ac:dyDescent="0.55000000000000004">
      <c r="A29" s="556" t="s">
        <v>382</v>
      </c>
      <c r="B29" s="556" t="s">
        <v>378</v>
      </c>
      <c r="C29" s="556" t="s">
        <v>383</v>
      </c>
      <c r="D29" s="556" t="s">
        <v>914</v>
      </c>
      <c r="E29" s="557">
        <f t="shared" ref="E29:E38" si="9">F29</f>
        <v>485725921</v>
      </c>
      <c r="F29" s="551">
        <f>(448765400+1750000+318969+495888+5582500)+15670400+1239421+3447600+272674+4898800+375000+230505+2658152-25000+7000+86612-40000-8000</f>
        <v>485725921</v>
      </c>
      <c r="G29" s="567">
        <f>(302091800)+15670400+1239421</f>
        <v>319001621</v>
      </c>
      <c r="H29" s="567">
        <f>36896200+5582500</f>
        <v>42478700</v>
      </c>
      <c r="I29" s="551"/>
      <c r="J29" s="557">
        <f t="shared" si="8"/>
        <v>48593676</v>
      </c>
      <c r="K29" s="551">
        <f>(36530400)-1380110</f>
        <v>35150290</v>
      </c>
      <c r="L29" s="567">
        <f>(12782600)-1131270</f>
        <v>11651330</v>
      </c>
      <c r="M29" s="567">
        <v>912900</v>
      </c>
      <c r="N29" s="551">
        <f>O29+802800</f>
        <v>13443386</v>
      </c>
      <c r="O29" s="567">
        <f>(1348532+200000+500000+297437+100000+749800*2)+4419450+583700+666579+67900+2794000-86612+250000</f>
        <v>12640586</v>
      </c>
      <c r="P29" s="557">
        <f t="shared" si="7"/>
        <v>534319597</v>
      </c>
      <c r="Q29" s="26"/>
      <c r="R29" s="26"/>
      <c r="T29" s="181"/>
    </row>
    <row r="30" spans="1:20" ht="137.25" x14ac:dyDescent="0.2">
      <c r="A30" s="556" t="s">
        <v>384</v>
      </c>
      <c r="B30" s="556" t="s">
        <v>385</v>
      </c>
      <c r="C30" s="556" t="s">
        <v>383</v>
      </c>
      <c r="D30" s="556" t="s">
        <v>46</v>
      </c>
      <c r="E30" s="557">
        <f t="shared" si="9"/>
        <v>2531500</v>
      </c>
      <c r="F30" s="551">
        <f>(2337100+15700)+146500+32200</f>
        <v>2531500</v>
      </c>
      <c r="G30" s="567">
        <f>(1765400)+146500</f>
        <v>1911900</v>
      </c>
      <c r="H30" s="567">
        <f>93700+15700</f>
        <v>109400</v>
      </c>
      <c r="I30" s="551"/>
      <c r="J30" s="557">
        <f t="shared" si="8"/>
        <v>0</v>
      </c>
      <c r="K30" s="551"/>
      <c r="L30" s="567"/>
      <c r="M30" s="567"/>
      <c r="N30" s="551">
        <f t="shared" ref="N30:N34" si="10">O30</f>
        <v>0</v>
      </c>
      <c r="O30" s="567"/>
      <c r="P30" s="557">
        <f t="shared" si="7"/>
        <v>2531500</v>
      </c>
    </row>
    <row r="31" spans="1:20" ht="409.6" customHeight="1" x14ac:dyDescent="0.2">
      <c r="A31" s="556" t="s">
        <v>387</v>
      </c>
      <c r="B31" s="556" t="s">
        <v>386</v>
      </c>
      <c r="C31" s="556" t="s">
        <v>388</v>
      </c>
      <c r="D31" s="556" t="s">
        <v>47</v>
      </c>
      <c r="E31" s="557">
        <f t="shared" si="9"/>
        <v>15424000</v>
      </c>
      <c r="F31" s="551">
        <f>(13802000+388300)+691500+152100+82500+307600</f>
        <v>15424000</v>
      </c>
      <c r="G31" s="567">
        <f>(9727200)+691500</f>
        <v>10418700</v>
      </c>
      <c r="H31" s="567">
        <f>941200+388300</f>
        <v>1329500</v>
      </c>
      <c r="I31" s="551"/>
      <c r="J31" s="557">
        <f t="shared" si="8"/>
        <v>480449</v>
      </c>
      <c r="K31" s="551">
        <v>35600</v>
      </c>
      <c r="L31" s="567"/>
      <c r="M31" s="567">
        <v>24400</v>
      </c>
      <c r="N31" s="551">
        <f t="shared" si="10"/>
        <v>444849</v>
      </c>
      <c r="O31" s="567">
        <f>(300000)+138200+6849-200</f>
        <v>444849</v>
      </c>
      <c r="P31" s="557">
        <f t="shared" si="7"/>
        <v>15904449</v>
      </c>
    </row>
    <row r="32" spans="1:20" ht="183" x14ac:dyDescent="0.2">
      <c r="A32" s="556" t="s">
        <v>389</v>
      </c>
      <c r="B32" s="556" t="s">
        <v>363</v>
      </c>
      <c r="C32" s="556" t="s">
        <v>344</v>
      </c>
      <c r="D32" s="556" t="s">
        <v>48</v>
      </c>
      <c r="E32" s="557">
        <f t="shared" si="9"/>
        <v>27938600</v>
      </c>
      <c r="F32" s="551">
        <f>(27524100)+334800+73700+6000</f>
        <v>27938600</v>
      </c>
      <c r="G32" s="567">
        <f>(19443400)+334800</f>
        <v>19778200</v>
      </c>
      <c r="H32" s="567">
        <v>2247200</v>
      </c>
      <c r="I32" s="551"/>
      <c r="J32" s="557">
        <f t="shared" si="8"/>
        <v>9478200</v>
      </c>
      <c r="K32" s="551">
        <v>4499900</v>
      </c>
      <c r="L32" s="567">
        <v>928200</v>
      </c>
      <c r="M32" s="567">
        <v>324500</v>
      </c>
      <c r="N32" s="551">
        <f>O32+153300</f>
        <v>4978300</v>
      </c>
      <c r="O32" s="567">
        <f>(4000000)+605000+470000-250000</f>
        <v>4825000</v>
      </c>
      <c r="P32" s="557">
        <f t="shared" si="7"/>
        <v>37416800</v>
      </c>
    </row>
    <row r="33" spans="1:16" ht="155.25" customHeight="1" x14ac:dyDescent="0.2">
      <c r="A33" s="556" t="s">
        <v>390</v>
      </c>
      <c r="B33" s="556" t="s">
        <v>391</v>
      </c>
      <c r="C33" s="556" t="s">
        <v>392</v>
      </c>
      <c r="D33" s="556" t="s">
        <v>393</v>
      </c>
      <c r="E33" s="557">
        <f t="shared" si="9"/>
        <v>101395431</v>
      </c>
      <c r="F33" s="551">
        <f>(96795900-6000000+6264431)+3553400+781700</f>
        <v>101395431</v>
      </c>
      <c r="G33" s="567">
        <f>(52131100)+3553400</f>
        <v>55684500</v>
      </c>
      <c r="H33" s="567">
        <f>10956900-4000000+6264431</f>
        <v>13221331</v>
      </c>
      <c r="I33" s="551"/>
      <c r="J33" s="557">
        <f t="shared" si="8"/>
        <v>10939399</v>
      </c>
      <c r="K33" s="551">
        <f>(8084200)+2479639</f>
        <v>10563839</v>
      </c>
      <c r="L33" s="567">
        <f>(1501800)+823942</f>
        <v>2325742</v>
      </c>
      <c r="M33" s="567">
        <v>4165000</v>
      </c>
      <c r="N33" s="551">
        <f>(O33+245800)+129760</f>
        <v>375560</v>
      </c>
      <c r="O33" s="567"/>
      <c r="P33" s="557">
        <f t="shared" si="7"/>
        <v>112334830</v>
      </c>
    </row>
    <row r="34" spans="1:16" ht="130.5" customHeight="1" x14ac:dyDescent="0.2">
      <c r="A34" s="556" t="s">
        <v>395</v>
      </c>
      <c r="B34" s="556" t="s">
        <v>396</v>
      </c>
      <c r="C34" s="556" t="s">
        <v>397</v>
      </c>
      <c r="D34" s="556" t="s">
        <v>394</v>
      </c>
      <c r="E34" s="557">
        <f t="shared" si="9"/>
        <v>4242400</v>
      </c>
      <c r="F34" s="551">
        <f>(3952900)+63500+14000+65000+147000</f>
        <v>4242400</v>
      </c>
      <c r="G34" s="567">
        <f>(2696100)+63500</f>
        <v>2759600</v>
      </c>
      <c r="H34" s="567">
        <v>197300</v>
      </c>
      <c r="I34" s="551"/>
      <c r="J34" s="557">
        <f t="shared" si="8"/>
        <v>176450</v>
      </c>
      <c r="K34" s="551">
        <v>76000</v>
      </c>
      <c r="L34" s="567"/>
      <c r="M34" s="567"/>
      <c r="N34" s="551">
        <f t="shared" si="10"/>
        <v>100450</v>
      </c>
      <c r="O34" s="567">
        <f>(0)+100450</f>
        <v>100450</v>
      </c>
      <c r="P34" s="557">
        <f t="shared" si="7"/>
        <v>4418850</v>
      </c>
    </row>
    <row r="35" spans="1:16" ht="112.5" customHeight="1" x14ac:dyDescent="0.2">
      <c r="A35" s="556" t="s">
        <v>399</v>
      </c>
      <c r="B35" s="556" t="s">
        <v>400</v>
      </c>
      <c r="C35" s="556"/>
      <c r="D35" s="555" t="s">
        <v>398</v>
      </c>
      <c r="E35" s="557">
        <f t="shared" si="9"/>
        <v>14423100</v>
      </c>
      <c r="F35" s="551">
        <f>F36+F37</f>
        <v>14423100</v>
      </c>
      <c r="G35" s="567">
        <f>G36+G37</f>
        <v>10359000</v>
      </c>
      <c r="H35" s="567">
        <f t="shared" ref="H35" si="11">H36</f>
        <v>764800</v>
      </c>
      <c r="I35" s="551"/>
      <c r="J35" s="557">
        <f t="shared" si="8"/>
        <v>548800</v>
      </c>
      <c r="K35" s="551">
        <f>K36</f>
        <v>500800</v>
      </c>
      <c r="L35" s="567">
        <f t="shared" ref="L35:M35" si="12">L36</f>
        <v>290200</v>
      </c>
      <c r="M35" s="567">
        <f t="shared" si="12"/>
        <v>24000</v>
      </c>
      <c r="N35" s="551">
        <f>N36</f>
        <v>48000</v>
      </c>
      <c r="O35" s="567">
        <f>O36</f>
        <v>48000</v>
      </c>
      <c r="P35" s="557">
        <f t="shared" si="7"/>
        <v>14971900</v>
      </c>
    </row>
    <row r="36" spans="1:16" s="203" customFormat="1" ht="139.5" customHeight="1" x14ac:dyDescent="0.2">
      <c r="A36" s="552" t="s">
        <v>656</v>
      </c>
      <c r="B36" s="552" t="s">
        <v>657</v>
      </c>
      <c r="C36" s="552" t="s">
        <v>397</v>
      </c>
      <c r="D36" s="552" t="s">
        <v>655</v>
      </c>
      <c r="E36" s="551">
        <f t="shared" si="9"/>
        <v>14283100</v>
      </c>
      <c r="F36" s="551">
        <f>(13719600)+342300+75300+20000+125900</f>
        <v>14283100</v>
      </c>
      <c r="G36" s="551">
        <f>(10016700)+342300</f>
        <v>10359000</v>
      </c>
      <c r="H36" s="551">
        <v>764800</v>
      </c>
      <c r="I36" s="550"/>
      <c r="J36" s="551">
        <f t="shared" si="8"/>
        <v>548800</v>
      </c>
      <c r="K36" s="551">
        <v>500800</v>
      </c>
      <c r="L36" s="551">
        <v>290200</v>
      </c>
      <c r="M36" s="551">
        <v>24000</v>
      </c>
      <c r="N36" s="551">
        <f t="shared" ref="N36" si="13">O36</f>
        <v>48000</v>
      </c>
      <c r="O36" s="550">
        <v>48000</v>
      </c>
      <c r="P36" s="551">
        <f t="shared" si="7"/>
        <v>14831900</v>
      </c>
    </row>
    <row r="37" spans="1:16" s="203" customFormat="1" ht="124.5" customHeight="1" x14ac:dyDescent="0.2">
      <c r="A37" s="552" t="s">
        <v>697</v>
      </c>
      <c r="B37" s="552" t="s">
        <v>698</v>
      </c>
      <c r="C37" s="552" t="s">
        <v>397</v>
      </c>
      <c r="D37" s="553" t="s">
        <v>696</v>
      </c>
      <c r="E37" s="550">
        <f t="shared" si="9"/>
        <v>140000</v>
      </c>
      <c r="F37" s="550">
        <f>140000+27200-27200</f>
        <v>140000</v>
      </c>
      <c r="G37" s="550"/>
      <c r="H37" s="550"/>
      <c r="I37" s="550"/>
      <c r="J37" s="551">
        <f t="shared" si="8"/>
        <v>0</v>
      </c>
      <c r="K37" s="550"/>
      <c r="L37" s="550"/>
      <c r="M37" s="550"/>
      <c r="N37" s="550"/>
      <c r="O37" s="550"/>
      <c r="P37" s="241">
        <f t="shared" si="7"/>
        <v>140000</v>
      </c>
    </row>
    <row r="38" spans="1:16" ht="183" x14ac:dyDescent="0.2">
      <c r="A38" s="555" t="s">
        <v>1018</v>
      </c>
      <c r="B38" s="555" t="s">
        <v>1019</v>
      </c>
      <c r="C38" s="555" t="s">
        <v>397</v>
      </c>
      <c r="D38" s="556" t="s">
        <v>1020</v>
      </c>
      <c r="E38" s="557">
        <f t="shared" si="9"/>
        <v>27200</v>
      </c>
      <c r="F38" s="551">
        <v>27200</v>
      </c>
      <c r="G38" s="567"/>
      <c r="H38" s="567"/>
      <c r="I38" s="551"/>
      <c r="J38" s="557">
        <f t="shared" si="8"/>
        <v>0</v>
      </c>
      <c r="K38" s="551"/>
      <c r="L38" s="567"/>
      <c r="M38" s="567"/>
      <c r="N38" s="551">
        <f t="shared" ref="N38" si="14">O38</f>
        <v>0</v>
      </c>
      <c r="O38" s="567"/>
      <c r="P38" s="557">
        <f t="shared" si="7"/>
        <v>27200</v>
      </c>
    </row>
    <row r="39" spans="1:16" ht="46.5" x14ac:dyDescent="0.2">
      <c r="A39" s="556" t="s">
        <v>402</v>
      </c>
      <c r="B39" s="556" t="s">
        <v>403</v>
      </c>
      <c r="C39" s="556" t="s">
        <v>404</v>
      </c>
      <c r="D39" s="556" t="s">
        <v>99</v>
      </c>
      <c r="E39" s="557">
        <f>F39</f>
        <v>106000</v>
      </c>
      <c r="F39" s="551">
        <v>106000</v>
      </c>
      <c r="G39" s="567"/>
      <c r="H39" s="567"/>
      <c r="I39" s="551"/>
      <c r="J39" s="557">
        <f>K39+N39</f>
        <v>16433748</v>
      </c>
      <c r="K39" s="551"/>
      <c r="L39" s="567"/>
      <c r="M39" s="567"/>
      <c r="N39" s="551">
        <f>O39</f>
        <v>16433748</v>
      </c>
      <c r="O39" s="567">
        <f>(1191000+8287748-106000)+7061000</f>
        <v>16433748</v>
      </c>
      <c r="P39" s="557">
        <f>E39+J39</f>
        <v>16539748</v>
      </c>
    </row>
    <row r="40" spans="1:16" ht="135" x14ac:dyDescent="0.2">
      <c r="A40" s="578" t="s">
        <v>308</v>
      </c>
      <c r="B40" s="579"/>
      <c r="C40" s="579"/>
      <c r="D40" s="569" t="s">
        <v>53</v>
      </c>
      <c r="E40" s="576">
        <f>E41</f>
        <v>343562641</v>
      </c>
      <c r="F40" s="580">
        <f t="shared" ref="F40:P40" si="15">F41</f>
        <v>343562641</v>
      </c>
      <c r="G40" s="576">
        <f t="shared" si="15"/>
        <v>1567600</v>
      </c>
      <c r="H40" s="576">
        <f t="shared" si="15"/>
        <v>99700</v>
      </c>
      <c r="I40" s="580">
        <f t="shared" si="15"/>
        <v>0</v>
      </c>
      <c r="J40" s="576">
        <f t="shared" si="15"/>
        <v>39093371</v>
      </c>
      <c r="K40" s="580">
        <f t="shared" si="15"/>
        <v>16728718</v>
      </c>
      <c r="L40" s="576">
        <f t="shared" si="15"/>
        <v>0</v>
      </c>
      <c r="M40" s="576">
        <f t="shared" si="15"/>
        <v>0</v>
      </c>
      <c r="N40" s="580">
        <f t="shared" si="15"/>
        <v>22364653</v>
      </c>
      <c r="O40" s="576">
        <f t="shared" si="15"/>
        <v>22015653</v>
      </c>
      <c r="P40" s="576">
        <f t="shared" si="15"/>
        <v>382656012</v>
      </c>
    </row>
    <row r="41" spans="1:16" ht="135" x14ac:dyDescent="0.2">
      <c r="A41" s="568" t="s">
        <v>309</v>
      </c>
      <c r="B41" s="568"/>
      <c r="C41" s="568"/>
      <c r="D41" s="573" t="s">
        <v>91</v>
      </c>
      <c r="E41" s="574">
        <f>E42+E43+E44+E45+E51+E46+E48+E54</f>
        <v>343562641</v>
      </c>
      <c r="F41" s="575">
        <f>F42+F43+F44+F45+F51+F46+F48</f>
        <v>343562641</v>
      </c>
      <c r="G41" s="574">
        <f>G42+G43+G44+G45+G51+G46+G48</f>
        <v>1567600</v>
      </c>
      <c r="H41" s="574">
        <f>H42+H43+H44+H45+H51+H46+H48</f>
        <v>99700</v>
      </c>
      <c r="I41" s="575">
        <v>0</v>
      </c>
      <c r="J41" s="574">
        <f t="shared" ref="J41:J54" si="16">K41+N41</f>
        <v>39093371</v>
      </c>
      <c r="K41" s="575">
        <f>K42+K43+K44+K45+K51+K46+K48+K54</f>
        <v>16728718</v>
      </c>
      <c r="L41" s="574">
        <f>L42+L43+L44+L45+L51+L46+L48</f>
        <v>0</v>
      </c>
      <c r="M41" s="574">
        <f>M42+M43+M44+M45+M51+M46+M48</f>
        <v>0</v>
      </c>
      <c r="N41" s="575">
        <f>N42+N43+N44+N45+N51+N46+N48+N54</f>
        <v>22364653</v>
      </c>
      <c r="O41" s="574">
        <f>O42+O43+O44+O45+O51+O46+O54</f>
        <v>22015653</v>
      </c>
      <c r="P41" s="574">
        <f t="shared" ref="P41:P54" si="17">E41+J41</f>
        <v>382656012</v>
      </c>
    </row>
    <row r="42" spans="1:16" ht="91.5" x14ac:dyDescent="0.2">
      <c r="A42" s="556" t="s">
        <v>405</v>
      </c>
      <c r="B42" s="556" t="s">
        <v>401</v>
      </c>
      <c r="C42" s="556" t="s">
        <v>406</v>
      </c>
      <c r="D42" s="556" t="s">
        <v>55</v>
      </c>
      <c r="E42" s="557">
        <f>F42</f>
        <v>177494541</v>
      </c>
      <c r="F42" s="551">
        <f>(169809941+1000000+714000+50000)-714000+2474600-360000+3000000+160000+360000+1000000</f>
        <v>177494541</v>
      </c>
      <c r="G42" s="567"/>
      <c r="H42" s="567"/>
      <c r="I42" s="551"/>
      <c r="J42" s="557">
        <f t="shared" si="16"/>
        <v>22756345</v>
      </c>
      <c r="K42" s="551">
        <v>5806250</v>
      </c>
      <c r="L42" s="567"/>
      <c r="M42" s="567"/>
      <c r="N42" s="551">
        <f>O42</f>
        <v>16950095</v>
      </c>
      <c r="O42" s="567">
        <f>(4250000+1000000)+11650768-113-25620-12940+88000</f>
        <v>16950095</v>
      </c>
      <c r="P42" s="557">
        <f t="shared" si="17"/>
        <v>200250886</v>
      </c>
    </row>
    <row r="43" spans="1:16" ht="137.25" x14ac:dyDescent="0.2">
      <c r="A43" s="556" t="s">
        <v>407</v>
      </c>
      <c r="B43" s="556" t="s">
        <v>408</v>
      </c>
      <c r="C43" s="556" t="s">
        <v>409</v>
      </c>
      <c r="D43" s="556" t="s">
        <v>410</v>
      </c>
      <c r="E43" s="557">
        <f t="shared" ref="E43:E54" si="18">F43</f>
        <v>53801300</v>
      </c>
      <c r="F43" s="551">
        <f>(53366300+320000)+115000</f>
        <v>53801300</v>
      </c>
      <c r="G43" s="567"/>
      <c r="H43" s="567"/>
      <c r="I43" s="551"/>
      <c r="J43" s="557">
        <f t="shared" si="16"/>
        <v>1449150</v>
      </c>
      <c r="K43" s="551">
        <f>(852000)-30000</f>
        <v>822000</v>
      </c>
      <c r="L43" s="567"/>
      <c r="M43" s="567"/>
      <c r="N43" s="551">
        <f>(O43)+30000</f>
        <v>627150</v>
      </c>
      <c r="O43" s="567">
        <v>597150</v>
      </c>
      <c r="P43" s="557">
        <f t="shared" si="17"/>
        <v>55250450</v>
      </c>
    </row>
    <row r="44" spans="1:16" ht="137.25" x14ac:dyDescent="0.2">
      <c r="A44" s="556" t="s">
        <v>411</v>
      </c>
      <c r="B44" s="556" t="s">
        <v>412</v>
      </c>
      <c r="C44" s="556" t="s">
        <v>413</v>
      </c>
      <c r="D44" s="556" t="s">
        <v>730</v>
      </c>
      <c r="E44" s="557">
        <f t="shared" si="18"/>
        <v>53724500</v>
      </c>
      <c r="F44" s="551">
        <f>(53234500+5881200)-5881200+502148-12148</f>
        <v>53724500</v>
      </c>
      <c r="G44" s="567"/>
      <c r="H44" s="567"/>
      <c r="I44" s="551"/>
      <c r="J44" s="557">
        <f t="shared" si="16"/>
        <v>6963776</v>
      </c>
      <c r="K44" s="551">
        <f>(5312168)-249000</f>
        <v>5063168</v>
      </c>
      <c r="L44" s="567"/>
      <c r="M44" s="567"/>
      <c r="N44" s="551">
        <f>(O44)+249000</f>
        <v>1900608</v>
      </c>
      <c r="O44" s="567">
        <f>1617460+12148+22000</f>
        <v>1651608</v>
      </c>
      <c r="P44" s="557">
        <f t="shared" si="17"/>
        <v>60688276</v>
      </c>
    </row>
    <row r="45" spans="1:16" ht="91.5" x14ac:dyDescent="0.2">
      <c r="A45" s="556" t="s">
        <v>414</v>
      </c>
      <c r="B45" s="556" t="s">
        <v>415</v>
      </c>
      <c r="C45" s="556" t="s">
        <v>416</v>
      </c>
      <c r="D45" s="556" t="s">
        <v>417</v>
      </c>
      <c r="E45" s="557">
        <f t="shared" si="18"/>
        <v>8870400</v>
      </c>
      <c r="F45" s="551">
        <f>(9008400+22000)-160000</f>
        <v>8870400</v>
      </c>
      <c r="G45" s="567"/>
      <c r="H45" s="567"/>
      <c r="I45" s="551"/>
      <c r="J45" s="557">
        <f t="shared" si="16"/>
        <v>5089400</v>
      </c>
      <c r="K45" s="551">
        <f>(5000400)-70000</f>
        <v>4930400</v>
      </c>
      <c r="L45" s="567"/>
      <c r="M45" s="567"/>
      <c r="N45" s="551">
        <f>O45+70000</f>
        <v>159000</v>
      </c>
      <c r="O45" s="567">
        <v>89000</v>
      </c>
      <c r="P45" s="557">
        <f t="shared" si="17"/>
        <v>13959800</v>
      </c>
    </row>
    <row r="46" spans="1:16" ht="91.5" x14ac:dyDescent="0.2">
      <c r="A46" s="556" t="s">
        <v>418</v>
      </c>
      <c r="B46" s="556" t="s">
        <v>419</v>
      </c>
      <c r="C46" s="556"/>
      <c r="D46" s="556" t="s">
        <v>731</v>
      </c>
      <c r="E46" s="557">
        <f t="shared" si="18"/>
        <v>37760900</v>
      </c>
      <c r="F46" s="551">
        <f>F47</f>
        <v>37760900</v>
      </c>
      <c r="G46" s="567"/>
      <c r="H46" s="567"/>
      <c r="I46" s="551"/>
      <c r="J46" s="557">
        <f t="shared" si="16"/>
        <v>2341500</v>
      </c>
      <c r="K46" s="551">
        <f>K47</f>
        <v>86500</v>
      </c>
      <c r="L46" s="567"/>
      <c r="M46" s="567"/>
      <c r="N46" s="551">
        <f t="shared" ref="N46:N47" si="19">O46</f>
        <v>2255000</v>
      </c>
      <c r="O46" s="567">
        <f>O47</f>
        <v>2255000</v>
      </c>
      <c r="P46" s="557">
        <f t="shared" si="17"/>
        <v>40102400</v>
      </c>
    </row>
    <row r="47" spans="1:16" ht="183" x14ac:dyDescent="0.2">
      <c r="A47" s="553" t="s">
        <v>420</v>
      </c>
      <c r="B47" s="552" t="s">
        <v>421</v>
      </c>
      <c r="C47" s="552" t="s">
        <v>732</v>
      </c>
      <c r="D47" s="553" t="s">
        <v>422</v>
      </c>
      <c r="E47" s="551">
        <f t="shared" si="18"/>
        <v>37760900</v>
      </c>
      <c r="F47" s="551">
        <f>(6889600+25900000+340000+4561100+2835500)-2835500+70200</f>
        <v>37760900</v>
      </c>
      <c r="G47" s="551"/>
      <c r="H47" s="551"/>
      <c r="I47" s="551"/>
      <c r="J47" s="551">
        <f t="shared" si="16"/>
        <v>2341500</v>
      </c>
      <c r="K47" s="551">
        <v>86500</v>
      </c>
      <c r="L47" s="551"/>
      <c r="M47" s="551"/>
      <c r="N47" s="551">
        <f t="shared" si="19"/>
        <v>2255000</v>
      </c>
      <c r="O47" s="567">
        <f>(540000+1000000)+715000</f>
        <v>2255000</v>
      </c>
      <c r="P47" s="551">
        <f t="shared" si="17"/>
        <v>40102400</v>
      </c>
    </row>
    <row r="48" spans="1:16" ht="137.25" x14ac:dyDescent="0.2">
      <c r="A48" s="556" t="s">
        <v>783</v>
      </c>
      <c r="B48" s="555" t="s">
        <v>784</v>
      </c>
      <c r="C48" s="555"/>
      <c r="D48" s="555" t="s">
        <v>785</v>
      </c>
      <c r="E48" s="557">
        <f t="shared" si="18"/>
        <v>9430700</v>
      </c>
      <c r="F48" s="551">
        <f>SUM(F49:F50)</f>
        <v>9430700</v>
      </c>
      <c r="G48" s="567">
        <f t="shared" ref="G48:H48" si="20">SUM(G49:G50)</f>
        <v>0</v>
      </c>
      <c r="H48" s="567">
        <f t="shared" si="20"/>
        <v>0</v>
      </c>
      <c r="I48" s="551"/>
      <c r="J48" s="557">
        <f t="shared" si="16"/>
        <v>0</v>
      </c>
      <c r="K48" s="551">
        <f>SUM(K49:K50)</f>
        <v>0</v>
      </c>
      <c r="L48" s="567">
        <f t="shared" ref="L48:M48" si="21">SUM(L49:L50)</f>
        <v>0</v>
      </c>
      <c r="M48" s="567">
        <f t="shared" si="21"/>
        <v>0</v>
      </c>
      <c r="N48" s="551">
        <f>SUM(N49:N50)</f>
        <v>0</v>
      </c>
      <c r="O48" s="567"/>
      <c r="P48" s="557">
        <f t="shared" si="17"/>
        <v>9430700</v>
      </c>
    </row>
    <row r="49" spans="1:16" ht="183" x14ac:dyDescent="0.2">
      <c r="A49" s="553" t="s">
        <v>786</v>
      </c>
      <c r="B49" s="553" t="s">
        <v>787</v>
      </c>
      <c r="C49" s="555" t="s">
        <v>425</v>
      </c>
      <c r="D49" s="298" t="s">
        <v>788</v>
      </c>
      <c r="E49" s="551">
        <f t="shared" si="18"/>
        <v>6595200</v>
      </c>
      <c r="F49" s="551">
        <v>6595200</v>
      </c>
      <c r="G49" s="551"/>
      <c r="H49" s="551"/>
      <c r="I49" s="551"/>
      <c r="J49" s="551">
        <f t="shared" si="16"/>
        <v>0</v>
      </c>
      <c r="K49" s="551"/>
      <c r="L49" s="551"/>
      <c r="M49" s="551"/>
      <c r="N49" s="551">
        <f t="shared" ref="N49:N50" si="22">O49</f>
        <v>0</v>
      </c>
      <c r="O49" s="551"/>
      <c r="P49" s="551">
        <f t="shared" si="17"/>
        <v>6595200</v>
      </c>
    </row>
    <row r="50" spans="1:16" ht="183" x14ac:dyDescent="0.2">
      <c r="A50" s="553" t="s">
        <v>791</v>
      </c>
      <c r="B50" s="553" t="s">
        <v>790</v>
      </c>
      <c r="C50" s="555" t="s">
        <v>425</v>
      </c>
      <c r="D50" s="298" t="s">
        <v>789</v>
      </c>
      <c r="E50" s="551">
        <f t="shared" si="18"/>
        <v>2835500</v>
      </c>
      <c r="F50" s="551">
        <v>2835500</v>
      </c>
      <c r="G50" s="551"/>
      <c r="H50" s="551"/>
      <c r="I50" s="551"/>
      <c r="J50" s="551">
        <f t="shared" si="16"/>
        <v>0</v>
      </c>
      <c r="K50" s="551"/>
      <c r="L50" s="551"/>
      <c r="M50" s="551"/>
      <c r="N50" s="551">
        <f t="shared" si="22"/>
        <v>0</v>
      </c>
      <c r="O50" s="551"/>
      <c r="P50" s="551">
        <f t="shared" si="17"/>
        <v>2835500</v>
      </c>
    </row>
    <row r="51" spans="1:16" ht="91.5" customHeight="1" x14ac:dyDescent="0.2">
      <c r="A51" s="556" t="s">
        <v>423</v>
      </c>
      <c r="B51" s="555" t="s">
        <v>424</v>
      </c>
      <c r="C51" s="555"/>
      <c r="D51" s="555" t="s">
        <v>426</v>
      </c>
      <c r="E51" s="557">
        <f t="shared" si="18"/>
        <v>2480300</v>
      </c>
      <c r="F51" s="551">
        <f>SUM(F52:F53)</f>
        <v>2480300</v>
      </c>
      <c r="G51" s="567">
        <f t="shared" ref="G51:H51" si="23">SUM(G52:G53)</f>
        <v>1567600</v>
      </c>
      <c r="H51" s="567">
        <f t="shared" si="23"/>
        <v>99700</v>
      </c>
      <c r="I51" s="551"/>
      <c r="J51" s="557">
        <f t="shared" si="16"/>
        <v>40400</v>
      </c>
      <c r="K51" s="551">
        <f>SUM(K52:K53)</f>
        <v>20400</v>
      </c>
      <c r="L51" s="567">
        <f t="shared" ref="L51:M51" si="24">SUM(L52:L53)</f>
        <v>0</v>
      </c>
      <c r="M51" s="567">
        <f t="shared" si="24"/>
        <v>0</v>
      </c>
      <c r="N51" s="551">
        <f>SUM(N52:N53)</f>
        <v>20000</v>
      </c>
      <c r="O51" s="551">
        <f>SUM(O52:O53)</f>
        <v>20000</v>
      </c>
      <c r="P51" s="557">
        <f t="shared" si="17"/>
        <v>2520700</v>
      </c>
    </row>
    <row r="52" spans="1:16" s="203" customFormat="1" ht="137.25" x14ac:dyDescent="0.2">
      <c r="A52" s="553" t="s">
        <v>660</v>
      </c>
      <c r="B52" s="553" t="s">
        <v>662</v>
      </c>
      <c r="C52" s="552" t="s">
        <v>425</v>
      </c>
      <c r="D52" s="298" t="s">
        <v>658</v>
      </c>
      <c r="E52" s="551">
        <f t="shared" si="18"/>
        <v>2180300</v>
      </c>
      <c r="F52" s="551">
        <f>(2459300-300000)+11000+10000</f>
        <v>2180300</v>
      </c>
      <c r="G52" s="551">
        <v>1567600</v>
      </c>
      <c r="H52" s="551">
        <v>99700</v>
      </c>
      <c r="I52" s="551"/>
      <c r="J52" s="551">
        <f t="shared" si="16"/>
        <v>40400</v>
      </c>
      <c r="K52" s="551">
        <v>20400</v>
      </c>
      <c r="L52" s="551"/>
      <c r="M52" s="551"/>
      <c r="N52" s="551">
        <f t="shared" ref="N52:N53" si="25">O52</f>
        <v>20000</v>
      </c>
      <c r="O52" s="551">
        <f>30000-10000</f>
        <v>20000</v>
      </c>
      <c r="P52" s="551">
        <f t="shared" si="17"/>
        <v>2220700</v>
      </c>
    </row>
    <row r="53" spans="1:16" s="203" customFormat="1" ht="91.5" x14ac:dyDescent="0.2">
      <c r="A53" s="553" t="s">
        <v>661</v>
      </c>
      <c r="B53" s="553" t="s">
        <v>663</v>
      </c>
      <c r="C53" s="552" t="s">
        <v>425</v>
      </c>
      <c r="D53" s="298" t="s">
        <v>659</v>
      </c>
      <c r="E53" s="551">
        <f t="shared" si="18"/>
        <v>300000</v>
      </c>
      <c r="F53" s="551">
        <v>300000</v>
      </c>
      <c r="G53" s="551"/>
      <c r="H53" s="551"/>
      <c r="I53" s="551"/>
      <c r="J53" s="551">
        <f t="shared" si="16"/>
        <v>0</v>
      </c>
      <c r="K53" s="551"/>
      <c r="L53" s="551"/>
      <c r="M53" s="551"/>
      <c r="N53" s="551">
        <f t="shared" si="25"/>
        <v>0</v>
      </c>
      <c r="O53" s="551"/>
      <c r="P53" s="551">
        <f t="shared" si="17"/>
        <v>300000</v>
      </c>
    </row>
    <row r="54" spans="1:16" ht="91.5" x14ac:dyDescent="0.2">
      <c r="A54" s="556" t="s">
        <v>799</v>
      </c>
      <c r="B54" s="555" t="s">
        <v>800</v>
      </c>
      <c r="C54" s="555" t="s">
        <v>103</v>
      </c>
      <c r="D54" s="555" t="s">
        <v>801</v>
      </c>
      <c r="E54" s="557">
        <f t="shared" si="18"/>
        <v>0</v>
      </c>
      <c r="F54" s="551"/>
      <c r="G54" s="567"/>
      <c r="H54" s="567"/>
      <c r="I54" s="551"/>
      <c r="J54" s="557">
        <f t="shared" si="16"/>
        <v>452800</v>
      </c>
      <c r="K54" s="551"/>
      <c r="L54" s="567"/>
      <c r="M54" s="567"/>
      <c r="N54" s="551">
        <f>O54</f>
        <v>452800</v>
      </c>
      <c r="O54" s="567">
        <v>452800</v>
      </c>
      <c r="P54" s="557">
        <f t="shared" si="17"/>
        <v>452800</v>
      </c>
    </row>
    <row r="55" spans="1:16" ht="225" x14ac:dyDescent="0.2">
      <c r="A55" s="568" t="s">
        <v>310</v>
      </c>
      <c r="B55" s="568"/>
      <c r="C55" s="568"/>
      <c r="D55" s="569" t="s">
        <v>92</v>
      </c>
      <c r="E55" s="575">
        <f>E56</f>
        <v>982232989</v>
      </c>
      <c r="F55" s="575">
        <f>F56</f>
        <v>982232989</v>
      </c>
      <c r="G55" s="575">
        <f>G56</f>
        <v>14083300</v>
      </c>
      <c r="H55" s="575">
        <f t="shared" ref="H55:O55" si="26">H56</f>
        <v>861100</v>
      </c>
      <c r="I55" s="575">
        <f t="shared" si="26"/>
        <v>0</v>
      </c>
      <c r="J55" s="575">
        <f t="shared" si="26"/>
        <v>3774000</v>
      </c>
      <c r="K55" s="575">
        <f t="shared" si="26"/>
        <v>94000</v>
      </c>
      <c r="L55" s="575">
        <f t="shared" si="26"/>
        <v>50000</v>
      </c>
      <c r="M55" s="575">
        <f t="shared" si="26"/>
        <v>4000</v>
      </c>
      <c r="N55" s="575">
        <f t="shared" si="26"/>
        <v>3680000</v>
      </c>
      <c r="O55" s="574">
        <f t="shared" si="26"/>
        <v>3680000</v>
      </c>
      <c r="P55" s="574">
        <f>P56</f>
        <v>986006989</v>
      </c>
    </row>
    <row r="56" spans="1:16" ht="225" x14ac:dyDescent="0.2">
      <c r="A56" s="572" t="s">
        <v>311</v>
      </c>
      <c r="B56" s="572"/>
      <c r="C56" s="572"/>
      <c r="D56" s="573" t="s">
        <v>93</v>
      </c>
      <c r="E56" s="574">
        <f>E94+E86+E98+E89+E69+E78+E63+E57+E60+E96+E77+E85+E90+E93</f>
        <v>982232989</v>
      </c>
      <c r="F56" s="575">
        <f>F94+F86+F98+F89+F69+F78+F63+F57+F60+F96+F77+F85+F90+F93</f>
        <v>982232989</v>
      </c>
      <c r="G56" s="574">
        <f>G94+G86+G98+G89+G69+G78+G63+G57+G60+G96+G77+G85</f>
        <v>14083300</v>
      </c>
      <c r="H56" s="574">
        <f>H94+H86+H98+H89+H69+H78+H63+H57+H60+H96+H77+H85</f>
        <v>861100</v>
      </c>
      <c r="I56" s="575">
        <v>0</v>
      </c>
      <c r="J56" s="574">
        <f t="shared" ref="J56:J63" si="27">K56+N56</f>
        <v>3774000</v>
      </c>
      <c r="K56" s="575">
        <f>K94+K86+K98+K89+K69+K78+K63+K57+K60+K96+K77+K85+K101</f>
        <v>94000</v>
      </c>
      <c r="L56" s="574">
        <f>L94+L86+L98+L89+L69+L78+L63+L57+L60+L96+L77+L85</f>
        <v>50000</v>
      </c>
      <c r="M56" s="574">
        <f>M94+M86+M98+M89+M69+M78+M63+M57+M60+M96+M77+M85</f>
        <v>4000</v>
      </c>
      <c r="N56" s="575">
        <f>N94+N86+N98+N89+N69+N78+N63+N57+N60+N96+N77+N85+N101</f>
        <v>3680000</v>
      </c>
      <c r="O56" s="574">
        <f>O94+O86+O98+O89+O69+O78+O63+O57+O60+O96+O77+O85+O101</f>
        <v>3680000</v>
      </c>
      <c r="P56" s="574">
        <f t="shared" ref="P56:P63" si="28">E56+J56</f>
        <v>986006989</v>
      </c>
    </row>
    <row r="57" spans="1:16" ht="366" x14ac:dyDescent="0.2">
      <c r="A57" s="555" t="s">
        <v>451</v>
      </c>
      <c r="B57" s="555" t="s">
        <v>452</v>
      </c>
      <c r="C57" s="555"/>
      <c r="D57" s="555" t="s">
        <v>14</v>
      </c>
      <c r="E57" s="557">
        <f t="shared" ref="E57:E63" si="29">F57</f>
        <v>523967300</v>
      </c>
      <c r="F57" s="551">
        <f>F58+F59</f>
        <v>523967300</v>
      </c>
      <c r="G57" s="567">
        <f>G58+G59</f>
        <v>0</v>
      </c>
      <c r="H57" s="567">
        <f>H58+H59</f>
        <v>0</v>
      </c>
      <c r="I57" s="551">
        <f>I58+I59</f>
        <v>0</v>
      </c>
      <c r="J57" s="557">
        <f t="shared" si="27"/>
        <v>0</v>
      </c>
      <c r="K57" s="551">
        <f>K58+K59</f>
        <v>0</v>
      </c>
      <c r="L57" s="567">
        <f>L58+L59</f>
        <v>0</v>
      </c>
      <c r="M57" s="567">
        <f>M58+M59</f>
        <v>0</v>
      </c>
      <c r="N57" s="551">
        <f>N58+N59</f>
        <v>0</v>
      </c>
      <c r="O57" s="567">
        <f>O58+O59</f>
        <v>0</v>
      </c>
      <c r="P57" s="557">
        <f t="shared" si="28"/>
        <v>523967300</v>
      </c>
    </row>
    <row r="58" spans="1:16" ht="183" x14ac:dyDescent="0.2">
      <c r="A58" s="552" t="s">
        <v>453</v>
      </c>
      <c r="B58" s="552" t="s">
        <v>454</v>
      </c>
      <c r="C58" s="552" t="s">
        <v>385</v>
      </c>
      <c r="D58" s="301" t="s">
        <v>450</v>
      </c>
      <c r="E58" s="550">
        <f t="shared" si="29"/>
        <v>57500000</v>
      </c>
      <c r="F58" s="550">
        <v>57500000</v>
      </c>
      <c r="G58" s="550"/>
      <c r="H58" s="550"/>
      <c r="I58" s="550"/>
      <c r="J58" s="550">
        <f t="shared" si="27"/>
        <v>0</v>
      </c>
      <c r="K58" s="550"/>
      <c r="L58" s="550"/>
      <c r="M58" s="550"/>
      <c r="N58" s="550">
        <f>O58</f>
        <v>0</v>
      </c>
      <c r="O58" s="566"/>
      <c r="P58" s="550">
        <f t="shared" si="28"/>
        <v>57500000</v>
      </c>
    </row>
    <row r="59" spans="1:16" ht="183" x14ac:dyDescent="0.2">
      <c r="A59" s="302" t="s">
        <v>476</v>
      </c>
      <c r="B59" s="552" t="s">
        <v>477</v>
      </c>
      <c r="C59" s="552" t="s">
        <v>117</v>
      </c>
      <c r="D59" s="553" t="s">
        <v>15</v>
      </c>
      <c r="E59" s="191">
        <f t="shared" si="29"/>
        <v>466467300</v>
      </c>
      <c r="F59" s="551">
        <v>466467300</v>
      </c>
      <c r="G59" s="551"/>
      <c r="H59" s="551"/>
      <c r="I59" s="551"/>
      <c r="J59" s="550">
        <f t="shared" si="27"/>
        <v>0</v>
      </c>
      <c r="K59" s="551"/>
      <c r="L59" s="551"/>
      <c r="M59" s="551"/>
      <c r="N59" s="551">
        <f>O59</f>
        <v>0</v>
      </c>
      <c r="O59" s="551"/>
      <c r="P59" s="551">
        <f t="shared" si="28"/>
        <v>466467300</v>
      </c>
    </row>
    <row r="60" spans="1:16" ht="228.75" x14ac:dyDescent="0.2">
      <c r="A60" s="556" t="s">
        <v>478</v>
      </c>
      <c r="B60" s="556" t="s">
        <v>479</v>
      </c>
      <c r="C60" s="553"/>
      <c r="D60" s="556" t="s">
        <v>16</v>
      </c>
      <c r="E60" s="557">
        <f t="shared" si="29"/>
        <v>60000</v>
      </c>
      <c r="F60" s="557">
        <f>F61+F62</f>
        <v>60000</v>
      </c>
      <c r="G60" s="567">
        <f>G61+G62</f>
        <v>0</v>
      </c>
      <c r="H60" s="567">
        <f>H61+H62</f>
        <v>0</v>
      </c>
      <c r="I60" s="567">
        <f>I61+I62</f>
        <v>0</v>
      </c>
      <c r="J60" s="557">
        <f t="shared" si="27"/>
        <v>0</v>
      </c>
      <c r="K60" s="567">
        <f>K61+K62</f>
        <v>0</v>
      </c>
      <c r="L60" s="567">
        <f>L61+L62</f>
        <v>0</v>
      </c>
      <c r="M60" s="567">
        <f>M61+M62</f>
        <v>0</v>
      </c>
      <c r="N60" s="567">
        <f>N61+N62</f>
        <v>0</v>
      </c>
      <c r="O60" s="567">
        <f>O61+O62</f>
        <v>0</v>
      </c>
      <c r="P60" s="557">
        <f t="shared" si="28"/>
        <v>60000</v>
      </c>
    </row>
    <row r="61" spans="1:16" ht="274.5" x14ac:dyDescent="0.2">
      <c r="A61" s="553" t="s">
        <v>481</v>
      </c>
      <c r="B61" s="553" t="s">
        <v>482</v>
      </c>
      <c r="C61" s="553" t="s">
        <v>385</v>
      </c>
      <c r="D61" s="303" t="s">
        <v>480</v>
      </c>
      <c r="E61" s="550">
        <f t="shared" si="29"/>
        <v>2000</v>
      </c>
      <c r="F61" s="550">
        <v>2000</v>
      </c>
      <c r="G61" s="550"/>
      <c r="H61" s="550"/>
      <c r="I61" s="550"/>
      <c r="J61" s="550">
        <f t="shared" si="27"/>
        <v>0</v>
      </c>
      <c r="K61" s="550"/>
      <c r="L61" s="550"/>
      <c r="M61" s="550"/>
      <c r="N61" s="550">
        <f>O61</f>
        <v>0</v>
      </c>
      <c r="O61" s="566"/>
      <c r="P61" s="550">
        <f t="shared" si="28"/>
        <v>2000</v>
      </c>
    </row>
    <row r="62" spans="1:16" ht="228.75" x14ac:dyDescent="0.2">
      <c r="A62" s="553" t="s">
        <v>483</v>
      </c>
      <c r="B62" s="553" t="s">
        <v>484</v>
      </c>
      <c r="C62" s="303">
        <v>1060</v>
      </c>
      <c r="D62" s="581" t="s">
        <v>27</v>
      </c>
      <c r="E62" s="551">
        <f t="shared" si="29"/>
        <v>58000</v>
      </c>
      <c r="F62" s="551">
        <f>56400+1600</f>
        <v>58000</v>
      </c>
      <c r="G62" s="551"/>
      <c r="H62" s="551"/>
      <c r="I62" s="551"/>
      <c r="J62" s="551">
        <f t="shared" si="27"/>
        <v>0</v>
      </c>
      <c r="K62" s="551"/>
      <c r="L62" s="551"/>
      <c r="M62" s="551"/>
      <c r="N62" s="551">
        <f>O62</f>
        <v>0</v>
      </c>
      <c r="O62" s="567"/>
      <c r="P62" s="551">
        <f t="shared" si="28"/>
        <v>58000</v>
      </c>
    </row>
    <row r="63" spans="1:16" ht="274.5" x14ac:dyDescent="0.2">
      <c r="A63" s="555" t="s">
        <v>514</v>
      </c>
      <c r="B63" s="555" t="s">
        <v>515</v>
      </c>
      <c r="C63" s="555"/>
      <c r="D63" s="305" t="s">
        <v>513</v>
      </c>
      <c r="E63" s="554">
        <f t="shared" si="29"/>
        <v>66662930</v>
      </c>
      <c r="F63" s="550">
        <f>F64+F65+F66+F67+F68</f>
        <v>66662930</v>
      </c>
      <c r="G63" s="566">
        <f>G64+G65+G66+G67+G68</f>
        <v>0</v>
      </c>
      <c r="H63" s="566">
        <f>H64+H65+H66+H67+H68</f>
        <v>0</v>
      </c>
      <c r="I63" s="550">
        <f>I64+I65+I66+I67+I68</f>
        <v>0</v>
      </c>
      <c r="J63" s="554">
        <f t="shared" si="27"/>
        <v>100000</v>
      </c>
      <c r="K63" s="550">
        <f>K64+K65+K66+K67+K68</f>
        <v>0</v>
      </c>
      <c r="L63" s="566">
        <f>L64+L65+L66+L67+L68</f>
        <v>0</v>
      </c>
      <c r="M63" s="566">
        <f>M64+M65+M66+M67+M68</f>
        <v>0</v>
      </c>
      <c r="N63" s="550">
        <f>N64+N65+N66+N67+N68</f>
        <v>100000</v>
      </c>
      <c r="O63" s="566">
        <f>O64+O65+O66+O67+O68</f>
        <v>100000</v>
      </c>
      <c r="P63" s="554">
        <f t="shared" si="28"/>
        <v>66762930</v>
      </c>
    </row>
    <row r="64" spans="1:16" s="203" customFormat="1" ht="137.25" x14ac:dyDescent="0.2">
      <c r="A64" s="552" t="s">
        <v>516</v>
      </c>
      <c r="B64" s="552" t="s">
        <v>517</v>
      </c>
      <c r="C64" s="552" t="s">
        <v>385</v>
      </c>
      <c r="D64" s="306" t="s">
        <v>518</v>
      </c>
      <c r="E64" s="550">
        <f>F64</f>
        <v>315130</v>
      </c>
      <c r="F64" s="550">
        <v>315130</v>
      </c>
      <c r="G64" s="550"/>
      <c r="H64" s="550"/>
      <c r="I64" s="550"/>
      <c r="J64" s="550">
        <f>K64+N64</f>
        <v>100000</v>
      </c>
      <c r="K64" s="550"/>
      <c r="L64" s="550"/>
      <c r="M64" s="550"/>
      <c r="N64" s="550">
        <f>O64</f>
        <v>100000</v>
      </c>
      <c r="O64" s="550">
        <v>100000</v>
      </c>
      <c r="P64" s="550">
        <f>E64+J64</f>
        <v>415130</v>
      </c>
    </row>
    <row r="65" spans="1:16" s="203" customFormat="1" ht="137.25" x14ac:dyDescent="0.2">
      <c r="A65" s="553" t="s">
        <v>519</v>
      </c>
      <c r="B65" s="553" t="s">
        <v>520</v>
      </c>
      <c r="C65" s="553" t="s">
        <v>386</v>
      </c>
      <c r="D65" s="553" t="s">
        <v>24</v>
      </c>
      <c r="E65" s="551">
        <f t="shared" ref="E65:E102" si="30">F65</f>
        <v>1750000</v>
      </c>
      <c r="F65" s="551">
        <v>1750000</v>
      </c>
      <c r="G65" s="551"/>
      <c r="H65" s="551"/>
      <c r="I65" s="551"/>
      <c r="J65" s="551">
        <f t="shared" ref="J65:J102" si="31">K65+N65</f>
        <v>0</v>
      </c>
      <c r="K65" s="551"/>
      <c r="L65" s="551"/>
      <c r="M65" s="551"/>
      <c r="N65" s="551">
        <f>O65</f>
        <v>0</v>
      </c>
      <c r="O65" s="551"/>
      <c r="P65" s="551">
        <f t="shared" ref="P65:P88" si="32">E65+J65</f>
        <v>1750000</v>
      </c>
    </row>
    <row r="66" spans="1:16" s="203" customFormat="1" ht="183" x14ac:dyDescent="0.2">
      <c r="A66" s="553" t="s">
        <v>522</v>
      </c>
      <c r="B66" s="553" t="s">
        <v>523</v>
      </c>
      <c r="C66" s="553" t="s">
        <v>386</v>
      </c>
      <c r="D66" s="552" t="s">
        <v>25</v>
      </c>
      <c r="E66" s="551">
        <f t="shared" si="30"/>
        <v>5000000</v>
      </c>
      <c r="F66" s="551">
        <v>5000000</v>
      </c>
      <c r="G66" s="551"/>
      <c r="H66" s="551"/>
      <c r="I66" s="551"/>
      <c r="J66" s="551">
        <f t="shared" si="31"/>
        <v>0</v>
      </c>
      <c r="K66" s="551"/>
      <c r="L66" s="551"/>
      <c r="M66" s="551"/>
      <c r="N66" s="551">
        <f>O66</f>
        <v>0</v>
      </c>
      <c r="O66" s="551"/>
      <c r="P66" s="551">
        <f t="shared" si="32"/>
        <v>5000000</v>
      </c>
    </row>
    <row r="67" spans="1:16" s="203" customFormat="1" ht="183" x14ac:dyDescent="0.2">
      <c r="A67" s="552" t="s">
        <v>524</v>
      </c>
      <c r="B67" s="552" t="s">
        <v>521</v>
      </c>
      <c r="C67" s="552" t="s">
        <v>386</v>
      </c>
      <c r="D67" s="552" t="s">
        <v>26</v>
      </c>
      <c r="E67" s="551">
        <f t="shared" si="30"/>
        <v>400000</v>
      </c>
      <c r="F67" s="551">
        <v>400000</v>
      </c>
      <c r="G67" s="551"/>
      <c r="H67" s="551"/>
      <c r="I67" s="551"/>
      <c r="J67" s="551">
        <f t="shared" si="31"/>
        <v>0</v>
      </c>
      <c r="K67" s="551"/>
      <c r="L67" s="551"/>
      <c r="M67" s="551"/>
      <c r="N67" s="551">
        <f>O67</f>
        <v>0</v>
      </c>
      <c r="O67" s="551"/>
      <c r="P67" s="551">
        <f t="shared" si="32"/>
        <v>400000</v>
      </c>
    </row>
    <row r="68" spans="1:16" s="203" customFormat="1" ht="183" x14ac:dyDescent="0.2">
      <c r="A68" s="552" t="s">
        <v>525</v>
      </c>
      <c r="B68" s="552" t="s">
        <v>526</v>
      </c>
      <c r="C68" s="552" t="s">
        <v>386</v>
      </c>
      <c r="D68" s="552" t="s">
        <v>31</v>
      </c>
      <c r="E68" s="551">
        <f t="shared" si="30"/>
        <v>59197800</v>
      </c>
      <c r="F68" s="551">
        <v>59197800</v>
      </c>
      <c r="G68" s="551"/>
      <c r="H68" s="551"/>
      <c r="I68" s="551"/>
      <c r="J68" s="551">
        <f t="shared" si="31"/>
        <v>0</v>
      </c>
      <c r="K68" s="551"/>
      <c r="L68" s="551"/>
      <c r="M68" s="551"/>
      <c r="N68" s="551">
        <f>O68</f>
        <v>0</v>
      </c>
      <c r="O68" s="551"/>
      <c r="P68" s="551">
        <f t="shared" si="32"/>
        <v>59197800</v>
      </c>
    </row>
    <row r="69" spans="1:16" ht="183" x14ac:dyDescent="0.2">
      <c r="A69" s="556" t="s">
        <v>455</v>
      </c>
      <c r="B69" s="556" t="s">
        <v>456</v>
      </c>
      <c r="C69" s="556"/>
      <c r="D69" s="556" t="s">
        <v>733</v>
      </c>
      <c r="E69" s="557">
        <f t="shared" si="30"/>
        <v>238448900</v>
      </c>
      <c r="F69" s="551">
        <f>SUM(F70:F76)</f>
        <v>238448900</v>
      </c>
      <c r="G69" s="567">
        <f>SUM(G70:G76)</f>
        <v>0</v>
      </c>
      <c r="H69" s="567">
        <f>SUM(H70:H76)</f>
        <v>0</v>
      </c>
      <c r="I69" s="551">
        <f>SUM(I70:I76)</f>
        <v>0</v>
      </c>
      <c r="J69" s="557">
        <f t="shared" si="31"/>
        <v>0</v>
      </c>
      <c r="K69" s="551">
        <f>SUM(K70:K76)</f>
        <v>0</v>
      </c>
      <c r="L69" s="567">
        <f>SUM(L70:L76)</f>
        <v>0</v>
      </c>
      <c r="M69" s="567">
        <f>SUM(M70:M76)</f>
        <v>0</v>
      </c>
      <c r="N69" s="551">
        <f>SUM(N70:N76)</f>
        <v>0</v>
      </c>
      <c r="O69" s="567">
        <f>SUM(O70:O76)</f>
        <v>0</v>
      </c>
      <c r="P69" s="557">
        <f t="shared" si="32"/>
        <v>238448900</v>
      </c>
    </row>
    <row r="70" spans="1:16" s="203" customFormat="1" ht="91.5" x14ac:dyDescent="0.2">
      <c r="A70" s="553" t="s">
        <v>465</v>
      </c>
      <c r="B70" s="553" t="s">
        <v>457</v>
      </c>
      <c r="C70" s="553" t="s">
        <v>353</v>
      </c>
      <c r="D70" s="553" t="s">
        <v>18</v>
      </c>
      <c r="E70" s="551">
        <f t="shared" si="30"/>
        <v>2853000</v>
      </c>
      <c r="F70" s="551">
        <v>2853000</v>
      </c>
      <c r="G70" s="551"/>
      <c r="H70" s="551"/>
      <c r="I70" s="551"/>
      <c r="J70" s="551">
        <f t="shared" si="31"/>
        <v>0</v>
      </c>
      <c r="K70" s="551"/>
      <c r="L70" s="551"/>
      <c r="M70" s="551"/>
      <c r="N70" s="551">
        <f t="shared" ref="N70:N85" si="33">O70</f>
        <v>0</v>
      </c>
      <c r="O70" s="551"/>
      <c r="P70" s="551">
        <f t="shared" si="32"/>
        <v>2853000</v>
      </c>
    </row>
    <row r="71" spans="1:16" s="203" customFormat="1" ht="91.5" x14ac:dyDescent="0.2">
      <c r="A71" s="553" t="s">
        <v>466</v>
      </c>
      <c r="B71" s="553" t="s">
        <v>458</v>
      </c>
      <c r="C71" s="553" t="s">
        <v>353</v>
      </c>
      <c r="D71" s="553" t="s">
        <v>464</v>
      </c>
      <c r="E71" s="551">
        <f>F71</f>
        <v>305000</v>
      </c>
      <c r="F71" s="551">
        <v>305000</v>
      </c>
      <c r="G71" s="551"/>
      <c r="H71" s="551"/>
      <c r="I71" s="551"/>
      <c r="J71" s="551">
        <f>K71+N71</f>
        <v>0</v>
      </c>
      <c r="K71" s="551"/>
      <c r="L71" s="551"/>
      <c r="M71" s="551"/>
      <c r="N71" s="551">
        <f>O71</f>
        <v>0</v>
      </c>
      <c r="O71" s="551"/>
      <c r="P71" s="551">
        <f>E71+J71</f>
        <v>305000</v>
      </c>
    </row>
    <row r="72" spans="1:16" s="203" customFormat="1" ht="91.5" x14ac:dyDescent="0.2">
      <c r="A72" s="553" t="s">
        <v>467</v>
      </c>
      <c r="B72" s="553" t="s">
        <v>459</v>
      </c>
      <c r="C72" s="553" t="s">
        <v>353</v>
      </c>
      <c r="D72" s="553" t="s">
        <v>19</v>
      </c>
      <c r="E72" s="551">
        <f t="shared" si="30"/>
        <v>161903900</v>
      </c>
      <c r="F72" s="551">
        <f>155000000+6123900+780000</f>
        <v>161903900</v>
      </c>
      <c r="G72" s="551"/>
      <c r="H72" s="551"/>
      <c r="I72" s="551"/>
      <c r="J72" s="551">
        <f t="shared" si="31"/>
        <v>0</v>
      </c>
      <c r="K72" s="551"/>
      <c r="L72" s="551"/>
      <c r="M72" s="551"/>
      <c r="N72" s="551">
        <f t="shared" si="33"/>
        <v>0</v>
      </c>
      <c r="O72" s="551"/>
      <c r="P72" s="551">
        <f t="shared" si="32"/>
        <v>161903900</v>
      </c>
    </row>
    <row r="73" spans="1:16" s="203" customFormat="1" ht="137.25" x14ac:dyDescent="0.2">
      <c r="A73" s="553" t="s">
        <v>468</v>
      </c>
      <c r="B73" s="553" t="s">
        <v>460</v>
      </c>
      <c r="C73" s="553" t="s">
        <v>353</v>
      </c>
      <c r="D73" s="553" t="s">
        <v>20</v>
      </c>
      <c r="E73" s="551">
        <f t="shared" si="30"/>
        <v>4390000</v>
      </c>
      <c r="F73" s="551">
        <v>4390000</v>
      </c>
      <c r="G73" s="551"/>
      <c r="H73" s="551"/>
      <c r="I73" s="551"/>
      <c r="J73" s="551">
        <f t="shared" si="31"/>
        <v>0</v>
      </c>
      <c r="K73" s="551"/>
      <c r="L73" s="551"/>
      <c r="M73" s="551"/>
      <c r="N73" s="551">
        <f t="shared" si="33"/>
        <v>0</v>
      </c>
      <c r="O73" s="551"/>
      <c r="P73" s="551">
        <f t="shared" si="32"/>
        <v>4390000</v>
      </c>
    </row>
    <row r="74" spans="1:16" s="203" customFormat="1" ht="91.5" x14ac:dyDescent="0.2">
      <c r="A74" s="553" t="s">
        <v>469</v>
      </c>
      <c r="B74" s="553" t="s">
        <v>461</v>
      </c>
      <c r="C74" s="553" t="s">
        <v>353</v>
      </c>
      <c r="D74" s="553" t="s">
        <v>21</v>
      </c>
      <c r="E74" s="551">
        <f t="shared" si="30"/>
        <v>24267000</v>
      </c>
      <c r="F74" s="551">
        <v>24267000</v>
      </c>
      <c r="G74" s="551"/>
      <c r="H74" s="551"/>
      <c r="I74" s="551"/>
      <c r="J74" s="551">
        <f t="shared" si="31"/>
        <v>0</v>
      </c>
      <c r="K74" s="551"/>
      <c r="L74" s="551"/>
      <c r="M74" s="551"/>
      <c r="N74" s="551">
        <f t="shared" si="33"/>
        <v>0</v>
      </c>
      <c r="O74" s="551"/>
      <c r="P74" s="551">
        <f t="shared" si="32"/>
        <v>24267000</v>
      </c>
    </row>
    <row r="75" spans="1:16" s="203" customFormat="1" ht="91.5" x14ac:dyDescent="0.2">
      <c r="A75" s="553" t="s">
        <v>470</v>
      </c>
      <c r="B75" s="553" t="s">
        <v>462</v>
      </c>
      <c r="C75" s="553" t="s">
        <v>353</v>
      </c>
      <c r="D75" s="553" t="s">
        <v>22</v>
      </c>
      <c r="E75" s="551">
        <f t="shared" si="30"/>
        <v>3330000</v>
      </c>
      <c r="F75" s="551">
        <v>3330000</v>
      </c>
      <c r="G75" s="551"/>
      <c r="H75" s="551"/>
      <c r="I75" s="551"/>
      <c r="J75" s="551">
        <f t="shared" si="31"/>
        <v>0</v>
      </c>
      <c r="K75" s="551"/>
      <c r="L75" s="551"/>
      <c r="M75" s="551"/>
      <c r="N75" s="551">
        <f t="shared" si="33"/>
        <v>0</v>
      </c>
      <c r="O75" s="551"/>
      <c r="P75" s="551">
        <f t="shared" si="32"/>
        <v>3330000</v>
      </c>
    </row>
    <row r="76" spans="1:16" s="203" customFormat="1" ht="137.25" x14ac:dyDescent="0.2">
      <c r="A76" s="553" t="s">
        <v>471</v>
      </c>
      <c r="B76" s="553" t="s">
        <v>463</v>
      </c>
      <c r="C76" s="553" t="s">
        <v>353</v>
      </c>
      <c r="D76" s="553" t="s">
        <v>23</v>
      </c>
      <c r="E76" s="551">
        <f t="shared" si="30"/>
        <v>41400000</v>
      </c>
      <c r="F76" s="551">
        <v>41400000</v>
      </c>
      <c r="G76" s="551"/>
      <c r="H76" s="551"/>
      <c r="I76" s="551"/>
      <c r="J76" s="551">
        <f t="shared" si="31"/>
        <v>0</v>
      </c>
      <c r="K76" s="551"/>
      <c r="L76" s="551"/>
      <c r="M76" s="551"/>
      <c r="N76" s="551">
        <f t="shared" si="33"/>
        <v>0</v>
      </c>
      <c r="O76" s="551"/>
      <c r="P76" s="551">
        <f t="shared" si="32"/>
        <v>41400000</v>
      </c>
    </row>
    <row r="77" spans="1:16" ht="183" x14ac:dyDescent="0.2">
      <c r="A77" s="556" t="s">
        <v>485</v>
      </c>
      <c r="B77" s="556" t="s">
        <v>472</v>
      </c>
      <c r="C77" s="556" t="s">
        <v>386</v>
      </c>
      <c r="D77" s="556" t="s">
        <v>17</v>
      </c>
      <c r="E77" s="557">
        <f t="shared" si="30"/>
        <v>174859</v>
      </c>
      <c r="F77" s="551">
        <v>174859</v>
      </c>
      <c r="G77" s="567"/>
      <c r="H77" s="567"/>
      <c r="I77" s="551"/>
      <c r="J77" s="557">
        <f t="shared" si="31"/>
        <v>0</v>
      </c>
      <c r="K77" s="551"/>
      <c r="L77" s="567"/>
      <c r="M77" s="567"/>
      <c r="N77" s="551">
        <f t="shared" si="33"/>
        <v>0</v>
      </c>
      <c r="O77" s="567"/>
      <c r="P77" s="557">
        <f t="shared" si="32"/>
        <v>174859</v>
      </c>
    </row>
    <row r="78" spans="1:16" ht="361.5" customHeight="1" x14ac:dyDescent="0.2">
      <c r="A78" s="720" t="s">
        <v>475</v>
      </c>
      <c r="B78" s="721" t="s">
        <v>473</v>
      </c>
      <c r="C78" s="721"/>
      <c r="D78" s="307" t="s">
        <v>737</v>
      </c>
      <c r="E78" s="723">
        <f t="shared" si="30"/>
        <v>105286800</v>
      </c>
      <c r="F78" s="724">
        <f>SUM(F80:F84)</f>
        <v>105286800</v>
      </c>
      <c r="G78" s="724"/>
      <c r="H78" s="724"/>
      <c r="I78" s="724"/>
      <c r="J78" s="725">
        <f t="shared" si="31"/>
        <v>0</v>
      </c>
      <c r="K78" s="724"/>
      <c r="L78" s="724"/>
      <c r="M78" s="724"/>
      <c r="N78" s="724">
        <f t="shared" si="33"/>
        <v>0</v>
      </c>
      <c r="O78" s="724"/>
      <c r="P78" s="725">
        <f t="shared" si="32"/>
        <v>105286800</v>
      </c>
    </row>
    <row r="79" spans="1:16" ht="336" customHeight="1" x14ac:dyDescent="0.2">
      <c r="A79" s="694"/>
      <c r="B79" s="722"/>
      <c r="C79" s="722"/>
      <c r="D79" s="308" t="s">
        <v>738</v>
      </c>
      <c r="E79" s="722"/>
      <c r="F79" s="719"/>
      <c r="G79" s="694"/>
      <c r="H79" s="694"/>
      <c r="I79" s="719"/>
      <c r="J79" s="694"/>
      <c r="K79" s="719"/>
      <c r="L79" s="694"/>
      <c r="M79" s="694"/>
      <c r="N79" s="719"/>
      <c r="O79" s="694"/>
      <c r="P79" s="694"/>
    </row>
    <row r="80" spans="1:16" s="203" customFormat="1" ht="183" x14ac:dyDescent="0.2">
      <c r="A80" s="553" t="s">
        <v>739</v>
      </c>
      <c r="B80" s="553" t="s">
        <v>740</v>
      </c>
      <c r="C80" s="553" t="s">
        <v>377</v>
      </c>
      <c r="D80" s="553" t="s">
        <v>736</v>
      </c>
      <c r="E80" s="551">
        <f t="shared" ref="E80:E84" si="34">F80</f>
        <v>62560700</v>
      </c>
      <c r="F80" s="551">
        <v>62560700</v>
      </c>
      <c r="G80" s="551"/>
      <c r="H80" s="551"/>
      <c r="I80" s="551"/>
      <c r="J80" s="551">
        <f t="shared" ref="J80:J81" si="35">K80+N80</f>
        <v>0</v>
      </c>
      <c r="K80" s="551"/>
      <c r="L80" s="551"/>
      <c r="M80" s="551"/>
      <c r="N80" s="551">
        <f t="shared" ref="N80:N81" si="36">O80</f>
        <v>0</v>
      </c>
      <c r="O80" s="551"/>
      <c r="P80" s="551">
        <f t="shared" ref="P80:P84" si="37">E80+J80</f>
        <v>62560700</v>
      </c>
    </row>
    <row r="81" spans="1:16" s="203" customFormat="1" ht="274.5" x14ac:dyDescent="0.2">
      <c r="A81" s="553" t="s">
        <v>846</v>
      </c>
      <c r="B81" s="553" t="s">
        <v>847</v>
      </c>
      <c r="C81" s="553" t="s">
        <v>377</v>
      </c>
      <c r="D81" s="553" t="s">
        <v>848</v>
      </c>
      <c r="E81" s="551">
        <f t="shared" si="34"/>
        <v>10763396.4</v>
      </c>
      <c r="F81" s="551">
        <f>10757096.4+6300</f>
        <v>10763396.4</v>
      </c>
      <c r="G81" s="551"/>
      <c r="H81" s="551"/>
      <c r="I81" s="551"/>
      <c r="J81" s="551">
        <f t="shared" si="35"/>
        <v>0</v>
      </c>
      <c r="K81" s="551"/>
      <c r="L81" s="551"/>
      <c r="M81" s="551"/>
      <c r="N81" s="551">
        <f t="shared" si="36"/>
        <v>0</v>
      </c>
      <c r="O81" s="551"/>
      <c r="P81" s="551">
        <f t="shared" si="37"/>
        <v>10763396.4</v>
      </c>
    </row>
    <row r="82" spans="1:16" s="203" customFormat="1" ht="183" x14ac:dyDescent="0.2">
      <c r="A82" s="553" t="s">
        <v>734</v>
      </c>
      <c r="B82" s="553" t="s">
        <v>735</v>
      </c>
      <c r="C82" s="553" t="s">
        <v>377</v>
      </c>
      <c r="D82" s="553" t="s">
        <v>664</v>
      </c>
      <c r="E82" s="551">
        <f t="shared" si="34"/>
        <v>30200800</v>
      </c>
      <c r="F82" s="551">
        <f>11605800+18595000</f>
        <v>30200800</v>
      </c>
      <c r="G82" s="551"/>
      <c r="H82" s="551"/>
      <c r="I82" s="551"/>
      <c r="J82" s="551">
        <f>K82+N82</f>
        <v>0</v>
      </c>
      <c r="K82" s="551"/>
      <c r="L82" s="551"/>
      <c r="M82" s="551"/>
      <c r="N82" s="551"/>
      <c r="O82" s="551"/>
      <c r="P82" s="551">
        <f t="shared" si="37"/>
        <v>30200800</v>
      </c>
    </row>
    <row r="83" spans="1:16" s="203" customFormat="1" ht="274.5" x14ac:dyDescent="0.2">
      <c r="A83" s="553" t="s">
        <v>743</v>
      </c>
      <c r="B83" s="553" t="s">
        <v>744</v>
      </c>
      <c r="C83" s="553" t="s">
        <v>377</v>
      </c>
      <c r="D83" s="553" t="s">
        <v>745</v>
      </c>
      <c r="E83" s="551">
        <f t="shared" si="34"/>
        <v>1521903.5999999996</v>
      </c>
      <c r="F83" s="551">
        <f>(12285300)-10757096.4-6300</f>
        <v>1521903.5999999996</v>
      </c>
      <c r="G83" s="551"/>
      <c r="H83" s="551"/>
      <c r="I83" s="551"/>
      <c r="J83" s="551">
        <f>K83+N83</f>
        <v>0</v>
      </c>
      <c r="K83" s="551"/>
      <c r="L83" s="551"/>
      <c r="M83" s="551"/>
      <c r="N83" s="551"/>
      <c r="O83" s="551"/>
      <c r="P83" s="551">
        <f t="shared" si="37"/>
        <v>1521903.5999999996</v>
      </c>
    </row>
    <row r="84" spans="1:16" s="203" customFormat="1" ht="320.25" x14ac:dyDescent="0.2">
      <c r="A84" s="553" t="s">
        <v>741</v>
      </c>
      <c r="B84" s="553" t="s">
        <v>742</v>
      </c>
      <c r="C84" s="553" t="s">
        <v>377</v>
      </c>
      <c r="D84" s="553" t="s">
        <v>746</v>
      </c>
      <c r="E84" s="551">
        <f t="shared" si="34"/>
        <v>240000</v>
      </c>
      <c r="F84" s="551">
        <v>240000</v>
      </c>
      <c r="G84" s="551"/>
      <c r="H84" s="551"/>
      <c r="I84" s="551"/>
      <c r="J84" s="551">
        <f>K84+N84</f>
        <v>0</v>
      </c>
      <c r="K84" s="551"/>
      <c r="L84" s="551"/>
      <c r="M84" s="551"/>
      <c r="N84" s="551"/>
      <c r="O84" s="551"/>
      <c r="P84" s="551">
        <f t="shared" si="37"/>
        <v>240000</v>
      </c>
    </row>
    <row r="85" spans="1:16" ht="163.5" customHeight="1" x14ac:dyDescent="0.2">
      <c r="A85" s="556" t="s">
        <v>486</v>
      </c>
      <c r="B85" s="556" t="s">
        <v>474</v>
      </c>
      <c r="C85" s="556" t="s">
        <v>385</v>
      </c>
      <c r="D85" s="556" t="s">
        <v>665</v>
      </c>
      <c r="E85" s="557">
        <f t="shared" si="30"/>
        <v>188940</v>
      </c>
      <c r="F85" s="551">
        <v>188940</v>
      </c>
      <c r="G85" s="567"/>
      <c r="H85" s="567"/>
      <c r="I85" s="551"/>
      <c r="J85" s="557">
        <f t="shared" si="31"/>
        <v>0</v>
      </c>
      <c r="K85" s="551"/>
      <c r="L85" s="567"/>
      <c r="M85" s="567"/>
      <c r="N85" s="551">
        <f t="shared" si="33"/>
        <v>0</v>
      </c>
      <c r="O85" s="567"/>
      <c r="P85" s="557">
        <f t="shared" si="32"/>
        <v>188940</v>
      </c>
    </row>
    <row r="86" spans="1:16" ht="274.5" x14ac:dyDescent="0.2">
      <c r="A86" s="556" t="s">
        <v>507</v>
      </c>
      <c r="B86" s="556" t="s">
        <v>508</v>
      </c>
      <c r="C86" s="556"/>
      <c r="D86" s="556" t="s">
        <v>666</v>
      </c>
      <c r="E86" s="557">
        <f>F86</f>
        <v>18306443</v>
      </c>
      <c r="F86" s="241">
        <f>F87+F88</f>
        <v>18306443</v>
      </c>
      <c r="G86" s="567">
        <f>G87+G88</f>
        <v>12047900</v>
      </c>
      <c r="H86" s="567">
        <f>H87+H88</f>
        <v>530900</v>
      </c>
      <c r="I86" s="551">
        <f>I87+I88</f>
        <v>0</v>
      </c>
      <c r="J86" s="557">
        <f t="shared" si="31"/>
        <v>668200</v>
      </c>
      <c r="K86" s="551">
        <f>K87+K88</f>
        <v>94000</v>
      </c>
      <c r="L86" s="567">
        <f>L87+L88</f>
        <v>50000</v>
      </c>
      <c r="M86" s="567">
        <f>M87+M88</f>
        <v>4000</v>
      </c>
      <c r="N86" s="551">
        <f>N87+N88</f>
        <v>574200</v>
      </c>
      <c r="O86" s="567">
        <f>O87+O88</f>
        <v>574200</v>
      </c>
      <c r="P86" s="557">
        <f t="shared" si="32"/>
        <v>18974643</v>
      </c>
    </row>
    <row r="87" spans="1:16" ht="301.5" customHeight="1" x14ac:dyDescent="0.2">
      <c r="A87" s="553" t="s">
        <v>511</v>
      </c>
      <c r="B87" s="553" t="s">
        <v>509</v>
      </c>
      <c r="C87" s="553" t="s">
        <v>378</v>
      </c>
      <c r="D87" s="553" t="s">
        <v>52</v>
      </c>
      <c r="E87" s="551">
        <f t="shared" si="30"/>
        <v>13795200</v>
      </c>
      <c r="F87" s="551">
        <f>(13614700)+180500</f>
        <v>13795200</v>
      </c>
      <c r="G87" s="551">
        <v>9134300</v>
      </c>
      <c r="H87" s="551">
        <v>238000</v>
      </c>
      <c r="I87" s="551"/>
      <c r="J87" s="551">
        <f t="shared" si="31"/>
        <v>249500</v>
      </c>
      <c r="K87" s="551">
        <v>94000</v>
      </c>
      <c r="L87" s="551">
        <v>50000</v>
      </c>
      <c r="M87" s="551">
        <v>4000</v>
      </c>
      <c r="N87" s="551">
        <f>O87</f>
        <v>155500</v>
      </c>
      <c r="O87" s="551">
        <f>(112000)+43500</f>
        <v>155500</v>
      </c>
      <c r="P87" s="551">
        <f t="shared" si="32"/>
        <v>14044700</v>
      </c>
    </row>
    <row r="88" spans="1:16" ht="137.25" x14ac:dyDescent="0.2">
      <c r="A88" s="553" t="s">
        <v>512</v>
      </c>
      <c r="B88" s="553" t="s">
        <v>510</v>
      </c>
      <c r="C88" s="553" t="s">
        <v>377</v>
      </c>
      <c r="D88" s="553" t="s">
        <v>667</v>
      </c>
      <c r="E88" s="551">
        <f t="shared" si="30"/>
        <v>4511243</v>
      </c>
      <c r="F88" s="551">
        <f>(2311800+2069300)+75100+16500+500+38043</f>
        <v>4511243</v>
      </c>
      <c r="G88" s="551">
        <f>(1573500+1265000)+75100</f>
        <v>2913600</v>
      </c>
      <c r="H88" s="551">
        <f>(177900+114500)+500</f>
        <v>292900</v>
      </c>
      <c r="I88" s="551"/>
      <c r="J88" s="551">
        <f t="shared" si="31"/>
        <v>418700</v>
      </c>
      <c r="K88" s="551"/>
      <c r="L88" s="551"/>
      <c r="M88" s="551"/>
      <c r="N88" s="551">
        <f>O88</f>
        <v>418700</v>
      </c>
      <c r="O88" s="551">
        <f>(170000)+236700+12000</f>
        <v>418700</v>
      </c>
      <c r="P88" s="551">
        <f t="shared" si="32"/>
        <v>4929943</v>
      </c>
    </row>
    <row r="89" spans="1:16" ht="409.5" x14ac:dyDescent="0.2">
      <c r="A89" s="556" t="s">
        <v>504</v>
      </c>
      <c r="B89" s="556" t="s">
        <v>505</v>
      </c>
      <c r="C89" s="556" t="s">
        <v>377</v>
      </c>
      <c r="D89" s="556" t="s">
        <v>668</v>
      </c>
      <c r="E89" s="557">
        <f t="shared" si="30"/>
        <v>1375600</v>
      </c>
      <c r="F89" s="551">
        <f>1375600+240000-240000</f>
        <v>1375600</v>
      </c>
      <c r="G89" s="567"/>
      <c r="H89" s="567"/>
      <c r="I89" s="551"/>
      <c r="J89" s="557">
        <f t="shared" si="31"/>
        <v>0</v>
      </c>
      <c r="K89" s="551">
        <v>0</v>
      </c>
      <c r="L89" s="567"/>
      <c r="M89" s="567"/>
      <c r="N89" s="551">
        <f>O89</f>
        <v>0</v>
      </c>
      <c r="O89" s="567">
        <v>0</v>
      </c>
      <c r="P89" s="557">
        <f>+J89+E89</f>
        <v>1375600</v>
      </c>
    </row>
    <row r="90" spans="1:16" ht="137.25" x14ac:dyDescent="0.2">
      <c r="A90" s="556" t="s">
        <v>669</v>
      </c>
      <c r="B90" s="556" t="s">
        <v>670</v>
      </c>
      <c r="C90" s="556"/>
      <c r="D90" s="556" t="s">
        <v>671</v>
      </c>
      <c r="E90" s="557">
        <f t="shared" si="30"/>
        <v>123527</v>
      </c>
      <c r="F90" s="551">
        <f>SUM(F91:F92)</f>
        <v>123527</v>
      </c>
      <c r="G90" s="567"/>
      <c r="H90" s="567"/>
      <c r="I90" s="551"/>
      <c r="J90" s="557">
        <f t="shared" si="31"/>
        <v>0</v>
      </c>
      <c r="K90" s="551">
        <v>0</v>
      </c>
      <c r="L90" s="567"/>
      <c r="M90" s="567"/>
      <c r="N90" s="551">
        <f>O90</f>
        <v>0</v>
      </c>
      <c r="O90" s="567">
        <v>0</v>
      </c>
      <c r="P90" s="557">
        <f>+J90+E90</f>
        <v>123527</v>
      </c>
    </row>
    <row r="91" spans="1:16" ht="274.5" x14ac:dyDescent="0.2">
      <c r="A91" s="553" t="s">
        <v>672</v>
      </c>
      <c r="B91" s="553" t="s">
        <v>673</v>
      </c>
      <c r="C91" s="553" t="s">
        <v>377</v>
      </c>
      <c r="D91" s="553" t="s">
        <v>747</v>
      </c>
      <c r="E91" s="551">
        <f t="shared" si="30"/>
        <v>123359</v>
      </c>
      <c r="F91" s="551">
        <v>123359</v>
      </c>
      <c r="G91" s="551"/>
      <c r="H91" s="551"/>
      <c r="I91" s="551"/>
      <c r="J91" s="551">
        <f t="shared" si="31"/>
        <v>0</v>
      </c>
      <c r="K91" s="551"/>
      <c r="L91" s="551"/>
      <c r="M91" s="551"/>
      <c r="N91" s="551">
        <f t="shared" ref="N91:N95" si="38">O91</f>
        <v>0</v>
      </c>
      <c r="O91" s="567"/>
      <c r="P91" s="551">
        <f>+J91+E91</f>
        <v>123359</v>
      </c>
    </row>
    <row r="92" spans="1:16" ht="112.5" customHeight="1" x14ac:dyDescent="0.2">
      <c r="A92" s="553" t="s">
        <v>674</v>
      </c>
      <c r="B92" s="553" t="s">
        <v>675</v>
      </c>
      <c r="C92" s="553" t="s">
        <v>377</v>
      </c>
      <c r="D92" s="553" t="s">
        <v>748</v>
      </c>
      <c r="E92" s="551">
        <f t="shared" si="30"/>
        <v>168</v>
      </c>
      <c r="F92" s="551">
        <v>168</v>
      </c>
      <c r="G92" s="551"/>
      <c r="H92" s="551"/>
      <c r="I92" s="551"/>
      <c r="J92" s="551">
        <f t="shared" si="31"/>
        <v>0</v>
      </c>
      <c r="K92" s="551"/>
      <c r="L92" s="551"/>
      <c r="M92" s="551"/>
      <c r="N92" s="551">
        <f t="shared" si="38"/>
        <v>0</v>
      </c>
      <c r="O92" s="567"/>
      <c r="P92" s="551">
        <f>+J92+E92</f>
        <v>168</v>
      </c>
    </row>
    <row r="93" spans="1:16" ht="366" x14ac:dyDescent="0.2">
      <c r="A93" s="556" t="s">
        <v>751</v>
      </c>
      <c r="B93" s="556" t="s">
        <v>750</v>
      </c>
      <c r="C93" s="556" t="s">
        <v>117</v>
      </c>
      <c r="D93" s="556" t="s">
        <v>749</v>
      </c>
      <c r="E93" s="557">
        <f t="shared" si="30"/>
        <v>2026990</v>
      </c>
      <c r="F93" s="551">
        <v>2026990</v>
      </c>
      <c r="G93" s="567">
        <f t="shared" ref="G93:H94" si="39">G94</f>
        <v>0</v>
      </c>
      <c r="H93" s="567">
        <f t="shared" si="39"/>
        <v>0</v>
      </c>
      <c r="I93" s="551"/>
      <c r="J93" s="557">
        <f t="shared" si="31"/>
        <v>0</v>
      </c>
      <c r="K93" s="551">
        <f t="shared" ref="K93:M94" si="40">K94</f>
        <v>0</v>
      </c>
      <c r="L93" s="567">
        <f t="shared" si="40"/>
        <v>0</v>
      </c>
      <c r="M93" s="567">
        <f t="shared" si="40"/>
        <v>0</v>
      </c>
      <c r="N93" s="551">
        <f t="shared" si="38"/>
        <v>0</v>
      </c>
      <c r="O93" s="567">
        <f>O94</f>
        <v>0</v>
      </c>
      <c r="P93" s="557">
        <f>E93+J93</f>
        <v>2026990</v>
      </c>
    </row>
    <row r="94" spans="1:16" ht="91.5" x14ac:dyDescent="0.2">
      <c r="A94" s="556" t="s">
        <v>676</v>
      </c>
      <c r="B94" s="556" t="s">
        <v>677</v>
      </c>
      <c r="C94" s="556"/>
      <c r="D94" s="309" t="s">
        <v>50</v>
      </c>
      <c r="E94" s="557">
        <f t="shared" si="30"/>
        <v>400000</v>
      </c>
      <c r="F94" s="551">
        <f>F95</f>
        <v>400000</v>
      </c>
      <c r="G94" s="567">
        <f t="shared" si="39"/>
        <v>0</v>
      </c>
      <c r="H94" s="567">
        <f t="shared" si="39"/>
        <v>0</v>
      </c>
      <c r="I94" s="551"/>
      <c r="J94" s="557">
        <f t="shared" si="31"/>
        <v>0</v>
      </c>
      <c r="K94" s="551">
        <f t="shared" si="40"/>
        <v>0</v>
      </c>
      <c r="L94" s="567">
        <f t="shared" si="40"/>
        <v>0</v>
      </c>
      <c r="M94" s="567">
        <f t="shared" si="40"/>
        <v>0</v>
      </c>
      <c r="N94" s="551">
        <f t="shared" si="38"/>
        <v>0</v>
      </c>
      <c r="O94" s="567">
        <f>O95</f>
        <v>0</v>
      </c>
      <c r="P94" s="557">
        <f>E94+J94</f>
        <v>400000</v>
      </c>
    </row>
    <row r="95" spans="1:16" ht="228.75" x14ac:dyDescent="0.2">
      <c r="A95" s="553" t="s">
        <v>678</v>
      </c>
      <c r="B95" s="553" t="s">
        <v>679</v>
      </c>
      <c r="C95" s="553" t="s">
        <v>385</v>
      </c>
      <c r="D95" s="553" t="s">
        <v>752</v>
      </c>
      <c r="E95" s="551">
        <f t="shared" si="30"/>
        <v>400000</v>
      </c>
      <c r="F95" s="551">
        <v>400000</v>
      </c>
      <c r="G95" s="551"/>
      <c r="H95" s="551"/>
      <c r="I95" s="551"/>
      <c r="J95" s="551">
        <f t="shared" si="31"/>
        <v>0</v>
      </c>
      <c r="K95" s="551"/>
      <c r="L95" s="551"/>
      <c r="M95" s="551"/>
      <c r="N95" s="551">
        <f t="shared" si="38"/>
        <v>0</v>
      </c>
      <c r="O95" s="567"/>
      <c r="P95" s="551">
        <f>E95+J95</f>
        <v>400000</v>
      </c>
    </row>
    <row r="96" spans="1:16" ht="409.5" x14ac:dyDescent="0.2">
      <c r="A96" s="720" t="s">
        <v>503</v>
      </c>
      <c r="B96" s="720" t="s">
        <v>362</v>
      </c>
      <c r="C96" s="720" t="s">
        <v>353</v>
      </c>
      <c r="D96" s="308" t="s">
        <v>680</v>
      </c>
      <c r="E96" s="725">
        <f>F96</f>
        <v>851000</v>
      </c>
      <c r="F96" s="724">
        <v>851000</v>
      </c>
      <c r="G96" s="724"/>
      <c r="H96" s="724"/>
      <c r="I96" s="724"/>
      <c r="J96" s="725">
        <f>K96+N96</f>
        <v>0</v>
      </c>
      <c r="K96" s="724"/>
      <c r="L96" s="724"/>
      <c r="M96" s="724"/>
      <c r="N96" s="724">
        <f>O96</f>
        <v>0</v>
      </c>
      <c r="O96" s="724"/>
      <c r="P96" s="725">
        <f>E96+J96</f>
        <v>851000</v>
      </c>
    </row>
    <row r="97" spans="1:16" ht="327.75" customHeight="1" x14ac:dyDescent="0.2">
      <c r="A97" s="694"/>
      <c r="B97" s="694"/>
      <c r="C97" s="694"/>
      <c r="D97" s="321" t="s">
        <v>681</v>
      </c>
      <c r="E97" s="694"/>
      <c r="F97" s="719"/>
      <c r="G97" s="694"/>
      <c r="H97" s="694"/>
      <c r="I97" s="719"/>
      <c r="J97" s="694"/>
      <c r="K97" s="719"/>
      <c r="L97" s="694"/>
      <c r="M97" s="694"/>
      <c r="N97" s="719"/>
      <c r="O97" s="694"/>
      <c r="P97" s="694"/>
    </row>
    <row r="98" spans="1:16" ht="46.5" x14ac:dyDescent="0.2">
      <c r="A98" s="556" t="s">
        <v>684</v>
      </c>
      <c r="B98" s="556" t="s">
        <v>685</v>
      </c>
      <c r="C98" s="556"/>
      <c r="D98" s="556" t="s">
        <v>364</v>
      </c>
      <c r="E98" s="557">
        <f t="shared" si="30"/>
        <v>24359700</v>
      </c>
      <c r="F98" s="551">
        <f>F99+F100</f>
        <v>24359700</v>
      </c>
      <c r="G98" s="179">
        <f>G99+G100</f>
        <v>2035400</v>
      </c>
      <c r="H98" s="179">
        <f>H99+H100</f>
        <v>330200</v>
      </c>
      <c r="I98" s="47"/>
      <c r="J98" s="557">
        <f t="shared" si="31"/>
        <v>505800</v>
      </c>
      <c r="K98" s="551">
        <f>K99+K100</f>
        <v>0</v>
      </c>
      <c r="L98" s="179">
        <f>L99+L100</f>
        <v>0</v>
      </c>
      <c r="M98" s="179">
        <f>M99+M100</f>
        <v>0</v>
      </c>
      <c r="N98" s="47">
        <f>N99+N100</f>
        <v>505800</v>
      </c>
      <c r="O98" s="179">
        <f>O99+O100</f>
        <v>505800</v>
      </c>
      <c r="P98" s="557">
        <f>E98+J98</f>
        <v>24865500</v>
      </c>
    </row>
    <row r="99" spans="1:16" ht="183" x14ac:dyDescent="0.2">
      <c r="A99" s="553" t="s">
        <v>682</v>
      </c>
      <c r="B99" s="553" t="s">
        <v>686</v>
      </c>
      <c r="C99" s="553" t="s">
        <v>363</v>
      </c>
      <c r="D99" s="298" t="s">
        <v>688</v>
      </c>
      <c r="E99" s="551">
        <f t="shared" si="30"/>
        <v>3358400</v>
      </c>
      <c r="F99" s="551">
        <f>(5404100-2069300)+23600</f>
        <v>3358400</v>
      </c>
      <c r="G99" s="47">
        <f>3300400-1265000</f>
        <v>2035400</v>
      </c>
      <c r="H99" s="47">
        <f>444700-114500</f>
        <v>330200</v>
      </c>
      <c r="I99" s="551"/>
      <c r="J99" s="551">
        <f t="shared" si="31"/>
        <v>105800</v>
      </c>
      <c r="K99" s="551"/>
      <c r="L99" s="551"/>
      <c r="M99" s="551"/>
      <c r="N99" s="551">
        <f t="shared" ref="N99:N102" si="41">O99</f>
        <v>105800</v>
      </c>
      <c r="O99" s="551">
        <f>24000+81800</f>
        <v>105800</v>
      </c>
      <c r="P99" s="551">
        <f t="shared" ref="P99:P100" si="42">E99+J99</f>
        <v>3464200</v>
      </c>
    </row>
    <row r="100" spans="1:16" ht="137.25" x14ac:dyDescent="0.2">
      <c r="A100" s="553" t="s">
        <v>683</v>
      </c>
      <c r="B100" s="553" t="s">
        <v>687</v>
      </c>
      <c r="C100" s="553" t="s">
        <v>363</v>
      </c>
      <c r="D100" s="298" t="s">
        <v>689</v>
      </c>
      <c r="E100" s="551">
        <f t="shared" si="30"/>
        <v>21001300</v>
      </c>
      <c r="F100" s="551">
        <f>(19868590+12285300-12285300-2026990)+3159700</f>
        <v>21001300</v>
      </c>
      <c r="G100" s="551"/>
      <c r="H100" s="551"/>
      <c r="I100" s="551"/>
      <c r="J100" s="551">
        <f t="shared" si="31"/>
        <v>400000</v>
      </c>
      <c r="K100" s="551"/>
      <c r="L100" s="551"/>
      <c r="M100" s="551"/>
      <c r="N100" s="551">
        <f t="shared" si="41"/>
        <v>400000</v>
      </c>
      <c r="O100" s="551">
        <v>400000</v>
      </c>
      <c r="P100" s="551">
        <f t="shared" si="42"/>
        <v>21401300</v>
      </c>
    </row>
    <row r="101" spans="1:16" ht="91.5" x14ac:dyDescent="0.2">
      <c r="A101" s="556" t="s">
        <v>832</v>
      </c>
      <c r="B101" s="556" t="s">
        <v>706</v>
      </c>
      <c r="C101" s="556"/>
      <c r="D101" s="556" t="s">
        <v>833</v>
      </c>
      <c r="E101" s="557">
        <f t="shared" si="30"/>
        <v>0</v>
      </c>
      <c r="F101" s="551">
        <f>F102</f>
        <v>0</v>
      </c>
      <c r="G101" s="567">
        <f t="shared" ref="G101:H101" si="43">G102</f>
        <v>0</v>
      </c>
      <c r="H101" s="567">
        <f t="shared" si="43"/>
        <v>0</v>
      </c>
      <c r="I101" s="551"/>
      <c r="J101" s="557">
        <f t="shared" si="31"/>
        <v>2500000</v>
      </c>
      <c r="K101" s="551">
        <f t="shared" ref="K101:M101" si="44">K102</f>
        <v>0</v>
      </c>
      <c r="L101" s="567">
        <f t="shared" si="44"/>
        <v>0</v>
      </c>
      <c r="M101" s="567">
        <f t="shared" si="44"/>
        <v>0</v>
      </c>
      <c r="N101" s="551">
        <f t="shared" si="41"/>
        <v>2500000</v>
      </c>
      <c r="O101" s="567">
        <f>O102</f>
        <v>2500000</v>
      </c>
      <c r="P101" s="557">
        <f>E101+J101</f>
        <v>2500000</v>
      </c>
    </row>
    <row r="102" spans="1:16" ht="137.25" x14ac:dyDescent="0.2">
      <c r="A102" s="553" t="s">
        <v>836</v>
      </c>
      <c r="B102" s="553" t="s">
        <v>834</v>
      </c>
      <c r="C102" s="553" t="s">
        <v>708</v>
      </c>
      <c r="D102" s="298" t="s">
        <v>835</v>
      </c>
      <c r="E102" s="551">
        <f t="shared" si="30"/>
        <v>0</v>
      </c>
      <c r="F102" s="551"/>
      <c r="G102" s="551"/>
      <c r="H102" s="551"/>
      <c r="I102" s="551"/>
      <c r="J102" s="551">
        <f t="shared" si="31"/>
        <v>2500000</v>
      </c>
      <c r="K102" s="551"/>
      <c r="L102" s="551"/>
      <c r="M102" s="551"/>
      <c r="N102" s="551">
        <f t="shared" si="41"/>
        <v>2500000</v>
      </c>
      <c r="O102" s="567">
        <v>2500000</v>
      </c>
      <c r="P102" s="551">
        <f>E102+J102</f>
        <v>2500000</v>
      </c>
    </row>
    <row r="103" spans="1:16" ht="180" x14ac:dyDescent="0.2">
      <c r="A103" s="582">
        <v>1000000</v>
      </c>
      <c r="B103" s="582"/>
      <c r="C103" s="582"/>
      <c r="D103" s="568" t="s">
        <v>68</v>
      </c>
      <c r="E103" s="575">
        <f>E104</f>
        <v>72111900</v>
      </c>
      <c r="F103" s="575">
        <f t="shared" ref="F103:P103" si="45">F104</f>
        <v>72111900</v>
      </c>
      <c r="G103" s="575">
        <f t="shared" si="45"/>
        <v>50790400</v>
      </c>
      <c r="H103" s="575">
        <f t="shared" si="45"/>
        <v>3320500</v>
      </c>
      <c r="I103" s="575">
        <f t="shared" si="45"/>
        <v>0</v>
      </c>
      <c r="J103" s="575">
        <f t="shared" si="45"/>
        <v>15521220</v>
      </c>
      <c r="K103" s="575">
        <f t="shared" si="45"/>
        <v>6593800</v>
      </c>
      <c r="L103" s="575">
        <f t="shared" si="45"/>
        <v>4801700</v>
      </c>
      <c r="M103" s="575">
        <f t="shared" si="45"/>
        <v>184500</v>
      </c>
      <c r="N103" s="575">
        <f t="shared" si="45"/>
        <v>8927420</v>
      </c>
      <c r="O103" s="574">
        <f t="shared" si="45"/>
        <v>8859520</v>
      </c>
      <c r="P103" s="575">
        <f t="shared" si="45"/>
        <v>87633120</v>
      </c>
    </row>
    <row r="104" spans="1:16" ht="180" x14ac:dyDescent="0.2">
      <c r="A104" s="583">
        <v>1010000</v>
      </c>
      <c r="B104" s="583"/>
      <c r="C104" s="583"/>
      <c r="D104" s="572" t="s">
        <v>94</v>
      </c>
      <c r="E104" s="574">
        <f>E106+E107+E108+E109+E105+E111+E110+E114</f>
        <v>72111900</v>
      </c>
      <c r="F104" s="575">
        <f>F106+F107+F108+F109+F105+F111+F110+F114</f>
        <v>72111900</v>
      </c>
      <c r="G104" s="574">
        <f>G106+G107+G108+G109+G105+G111+G110+G114</f>
        <v>50790400</v>
      </c>
      <c r="H104" s="574">
        <f>H106+H107+H108+H109+H105+H111+H110+H114</f>
        <v>3320500</v>
      </c>
      <c r="I104" s="575">
        <v>0</v>
      </c>
      <c r="J104" s="574">
        <f t="shared" ref="J104:J110" si="46">K104+N104</f>
        <v>15521220</v>
      </c>
      <c r="K104" s="575">
        <f>K106+K107+K108+K109+K105+K111+K110+K114</f>
        <v>6593800</v>
      </c>
      <c r="L104" s="574">
        <f>L106+L107+L108+L109+L105+L111+L110+L114</f>
        <v>4801700</v>
      </c>
      <c r="M104" s="574">
        <f>M106+M107+M108+M109+M105+M111+M110+M114</f>
        <v>184500</v>
      </c>
      <c r="N104" s="575">
        <f>N106+N107+N108+N109+N105+N111+N110+N114</f>
        <v>8927420</v>
      </c>
      <c r="O104" s="574">
        <f>O106+O107+O108+O109+O105+O111+O110+O114</f>
        <v>8859520</v>
      </c>
      <c r="P104" s="574">
        <f t="shared" ref="P104:P109" si="47">E104+J104</f>
        <v>87633120</v>
      </c>
    </row>
    <row r="105" spans="1:16" ht="274.5" x14ac:dyDescent="0.2">
      <c r="A105" s="556" t="s">
        <v>49</v>
      </c>
      <c r="B105" s="556" t="s">
        <v>343</v>
      </c>
      <c r="C105" s="556" t="s">
        <v>344</v>
      </c>
      <c r="D105" s="556" t="s">
        <v>342</v>
      </c>
      <c r="E105" s="557">
        <f>F105</f>
        <v>41628400</v>
      </c>
      <c r="F105" s="551">
        <f>(41587600)+40800</f>
        <v>41628400</v>
      </c>
      <c r="G105" s="567">
        <v>32071000</v>
      </c>
      <c r="H105" s="567">
        <v>1995800</v>
      </c>
      <c r="I105" s="551"/>
      <c r="J105" s="557">
        <f>K105+N105</f>
        <v>7724100</v>
      </c>
      <c r="K105" s="551">
        <v>6080900</v>
      </c>
      <c r="L105" s="567">
        <v>4609600</v>
      </c>
      <c r="M105" s="567">
        <v>126600</v>
      </c>
      <c r="N105" s="551">
        <f>O105+36200</f>
        <v>1643200</v>
      </c>
      <c r="O105" s="567">
        <v>1607000</v>
      </c>
      <c r="P105" s="557">
        <f>E105+J105</f>
        <v>49352500</v>
      </c>
    </row>
    <row r="106" spans="1:16" ht="46.5" x14ac:dyDescent="0.2">
      <c r="A106" s="556" t="s">
        <v>325</v>
      </c>
      <c r="B106" s="556" t="s">
        <v>326</v>
      </c>
      <c r="C106" s="556" t="s">
        <v>330</v>
      </c>
      <c r="D106" s="556" t="s">
        <v>331</v>
      </c>
      <c r="E106" s="557">
        <f t="shared" ref="E106:E110" si="48">F106</f>
        <v>623000</v>
      </c>
      <c r="F106" s="551">
        <v>623000</v>
      </c>
      <c r="G106" s="567"/>
      <c r="H106" s="567"/>
      <c r="I106" s="551"/>
      <c r="J106" s="557">
        <f t="shared" si="46"/>
        <v>0</v>
      </c>
      <c r="K106" s="551"/>
      <c r="L106" s="567"/>
      <c r="M106" s="567"/>
      <c r="N106" s="551">
        <f t="shared" ref="N106:N108" si="49">O106</f>
        <v>0</v>
      </c>
      <c r="O106" s="567"/>
      <c r="P106" s="557">
        <f t="shared" si="47"/>
        <v>623000</v>
      </c>
    </row>
    <row r="107" spans="1:16" ht="91.5" x14ac:dyDescent="0.2">
      <c r="A107" s="556" t="s">
        <v>332</v>
      </c>
      <c r="B107" s="556" t="s">
        <v>333</v>
      </c>
      <c r="C107" s="556" t="s">
        <v>334</v>
      </c>
      <c r="D107" s="556" t="s">
        <v>335</v>
      </c>
      <c r="E107" s="557">
        <f t="shared" si="48"/>
        <v>7110500</v>
      </c>
      <c r="F107" s="551">
        <v>7110500</v>
      </c>
      <c r="G107" s="567">
        <v>5288800</v>
      </c>
      <c r="H107" s="567">
        <v>477900</v>
      </c>
      <c r="I107" s="551"/>
      <c r="J107" s="557">
        <f t="shared" si="46"/>
        <v>610000</v>
      </c>
      <c r="K107" s="551">
        <v>80000</v>
      </c>
      <c r="L107" s="567">
        <v>9800</v>
      </c>
      <c r="M107" s="567">
        <v>18500</v>
      </c>
      <c r="N107" s="551">
        <f t="shared" si="49"/>
        <v>530000</v>
      </c>
      <c r="O107" s="567">
        <f>(0)+530000</f>
        <v>530000</v>
      </c>
      <c r="P107" s="557">
        <f t="shared" si="47"/>
        <v>7720500</v>
      </c>
    </row>
    <row r="108" spans="1:16" ht="91.5" x14ac:dyDescent="0.2">
      <c r="A108" s="556" t="s">
        <v>336</v>
      </c>
      <c r="B108" s="556" t="s">
        <v>337</v>
      </c>
      <c r="C108" s="556" t="s">
        <v>334</v>
      </c>
      <c r="D108" s="556" t="s">
        <v>338</v>
      </c>
      <c r="E108" s="557">
        <f t="shared" si="48"/>
        <v>1097900</v>
      </c>
      <c r="F108" s="551">
        <v>1097900</v>
      </c>
      <c r="G108" s="567">
        <v>672100</v>
      </c>
      <c r="H108" s="567">
        <v>208000</v>
      </c>
      <c r="I108" s="551"/>
      <c r="J108" s="557">
        <f t="shared" si="46"/>
        <v>3492820</v>
      </c>
      <c r="K108" s="551">
        <v>70100</v>
      </c>
      <c r="L108" s="567">
        <v>6100</v>
      </c>
      <c r="M108" s="567">
        <v>3200</v>
      </c>
      <c r="N108" s="551">
        <f t="shared" si="49"/>
        <v>3422720</v>
      </c>
      <c r="O108" s="567">
        <f>(3000000)+422720</f>
        <v>3422720</v>
      </c>
      <c r="P108" s="557">
        <f t="shared" si="47"/>
        <v>4590720</v>
      </c>
    </row>
    <row r="109" spans="1:16" ht="183" x14ac:dyDescent="0.2">
      <c r="A109" s="556" t="s">
        <v>339</v>
      </c>
      <c r="B109" s="556" t="s">
        <v>327</v>
      </c>
      <c r="C109" s="556" t="s">
        <v>340</v>
      </c>
      <c r="D109" s="556" t="s">
        <v>341</v>
      </c>
      <c r="E109" s="557">
        <f t="shared" si="48"/>
        <v>5268100</v>
      </c>
      <c r="F109" s="551">
        <v>5268100</v>
      </c>
      <c r="G109" s="567">
        <v>3736300</v>
      </c>
      <c r="H109" s="567">
        <v>604100</v>
      </c>
      <c r="I109" s="551"/>
      <c r="J109" s="557">
        <f t="shared" si="46"/>
        <v>3520000</v>
      </c>
      <c r="K109" s="551">
        <v>303000</v>
      </c>
      <c r="L109" s="567">
        <v>172700</v>
      </c>
      <c r="M109" s="567">
        <v>36200</v>
      </c>
      <c r="N109" s="551">
        <f>O109+31700</f>
        <v>3217000</v>
      </c>
      <c r="O109" s="567">
        <f>(1229800)+1955500</f>
        <v>3185300</v>
      </c>
      <c r="P109" s="557">
        <f t="shared" si="47"/>
        <v>8788100</v>
      </c>
    </row>
    <row r="110" spans="1:16" ht="91.5" x14ac:dyDescent="0.2">
      <c r="A110" s="556" t="s">
        <v>815</v>
      </c>
      <c r="B110" s="556" t="s">
        <v>816</v>
      </c>
      <c r="C110" s="556" t="s">
        <v>817</v>
      </c>
      <c r="D110" s="556" t="s">
        <v>814</v>
      </c>
      <c r="E110" s="557">
        <f t="shared" si="48"/>
        <v>60000</v>
      </c>
      <c r="F110" s="551">
        <v>60000</v>
      </c>
      <c r="G110" s="567"/>
      <c r="H110" s="567"/>
      <c r="I110" s="551"/>
      <c r="J110" s="557">
        <f t="shared" si="46"/>
        <v>0</v>
      </c>
      <c r="K110" s="551"/>
      <c r="L110" s="567"/>
      <c r="M110" s="567"/>
      <c r="N110" s="551">
        <f>O110</f>
        <v>0</v>
      </c>
      <c r="O110" s="567"/>
      <c r="P110" s="557">
        <f>E110+J110</f>
        <v>60000</v>
      </c>
    </row>
    <row r="111" spans="1:16" ht="91.5" x14ac:dyDescent="0.2">
      <c r="A111" s="556" t="s">
        <v>346</v>
      </c>
      <c r="B111" s="556" t="s">
        <v>347</v>
      </c>
      <c r="C111" s="556"/>
      <c r="D111" s="556" t="s">
        <v>345</v>
      </c>
      <c r="E111" s="557">
        <f>F111</f>
        <v>16324000</v>
      </c>
      <c r="F111" s="551">
        <f>F112+F113</f>
        <v>16324000</v>
      </c>
      <c r="G111" s="567">
        <f>G112+G113</f>
        <v>9022200</v>
      </c>
      <c r="H111" s="567">
        <f>H112+H113</f>
        <v>34700</v>
      </c>
      <c r="I111" s="551"/>
      <c r="J111" s="557">
        <f>K111+N111</f>
        <v>147300</v>
      </c>
      <c r="K111" s="551">
        <f>K112+K113</f>
        <v>59800</v>
      </c>
      <c r="L111" s="567">
        <f>L112+L113</f>
        <v>3500</v>
      </c>
      <c r="M111" s="567">
        <f>M112+M113</f>
        <v>0</v>
      </c>
      <c r="N111" s="551">
        <f>N112+N113</f>
        <v>87500</v>
      </c>
      <c r="O111" s="567">
        <f>O112+O113</f>
        <v>87500</v>
      </c>
      <c r="P111" s="557">
        <f>E111+J111</f>
        <v>16471300</v>
      </c>
    </row>
    <row r="112" spans="1:16" ht="137.25" x14ac:dyDescent="0.2">
      <c r="A112" s="553" t="s">
        <v>691</v>
      </c>
      <c r="B112" s="553" t="s">
        <v>692</v>
      </c>
      <c r="C112" s="553" t="s">
        <v>348</v>
      </c>
      <c r="D112" s="553" t="s">
        <v>690</v>
      </c>
      <c r="E112" s="551">
        <f>F112</f>
        <v>11589000</v>
      </c>
      <c r="F112" s="551">
        <f>(10587000)+1002000</f>
        <v>11589000</v>
      </c>
      <c r="G112" s="551">
        <f>(8201200)+821000</f>
        <v>9022200</v>
      </c>
      <c r="H112" s="551">
        <v>34700</v>
      </c>
      <c r="I112" s="551"/>
      <c r="J112" s="551">
        <f>K112+N112</f>
        <v>147300</v>
      </c>
      <c r="K112" s="551">
        <v>59800</v>
      </c>
      <c r="L112" s="551">
        <v>3500</v>
      </c>
      <c r="M112" s="551"/>
      <c r="N112" s="551">
        <f>O112</f>
        <v>87500</v>
      </c>
      <c r="O112" s="551">
        <f>(0)+87500</f>
        <v>87500</v>
      </c>
      <c r="P112" s="551">
        <f>E112+J112</f>
        <v>11736300</v>
      </c>
    </row>
    <row r="113" spans="1:16" ht="91.5" x14ac:dyDescent="0.2">
      <c r="A113" s="553" t="s">
        <v>693</v>
      </c>
      <c r="B113" s="553" t="s">
        <v>694</v>
      </c>
      <c r="C113" s="553" t="s">
        <v>348</v>
      </c>
      <c r="D113" s="553" t="s">
        <v>695</v>
      </c>
      <c r="E113" s="551">
        <f>F113</f>
        <v>4735000</v>
      </c>
      <c r="F113" s="551">
        <f>(3600000)+1135000</f>
        <v>4735000</v>
      </c>
      <c r="G113" s="551"/>
      <c r="H113" s="551"/>
      <c r="I113" s="551"/>
      <c r="J113" s="551">
        <f>K113+N113</f>
        <v>0</v>
      </c>
      <c r="K113" s="551"/>
      <c r="L113" s="551"/>
      <c r="M113" s="551"/>
      <c r="N113" s="551">
        <f>O113</f>
        <v>0</v>
      </c>
      <c r="O113" s="551"/>
      <c r="P113" s="551">
        <f>E113+J113</f>
        <v>4735000</v>
      </c>
    </row>
    <row r="114" spans="1:16" ht="91.5" x14ac:dyDescent="0.2">
      <c r="A114" s="556" t="s">
        <v>819</v>
      </c>
      <c r="B114" s="556" t="s">
        <v>373</v>
      </c>
      <c r="C114" s="556" t="s">
        <v>324</v>
      </c>
      <c r="D114" s="556" t="s">
        <v>818</v>
      </c>
      <c r="E114" s="557">
        <f t="shared" ref="E114" si="50">F114</f>
        <v>0</v>
      </c>
      <c r="F114" s="551"/>
      <c r="G114" s="567"/>
      <c r="H114" s="567"/>
      <c r="I114" s="551"/>
      <c r="J114" s="557">
        <f t="shared" ref="J114" si="51">K114+N114</f>
        <v>27000</v>
      </c>
      <c r="K114" s="551"/>
      <c r="L114" s="567"/>
      <c r="M114" s="567"/>
      <c r="N114" s="551">
        <f>O114</f>
        <v>27000</v>
      </c>
      <c r="O114" s="567">
        <v>27000</v>
      </c>
      <c r="P114" s="557">
        <f>E114+J114</f>
        <v>27000</v>
      </c>
    </row>
    <row r="115" spans="1:16" ht="135" x14ac:dyDescent="0.2">
      <c r="A115" s="568" t="s">
        <v>65</v>
      </c>
      <c r="B115" s="568"/>
      <c r="C115" s="568"/>
      <c r="D115" s="568" t="s">
        <v>66</v>
      </c>
      <c r="E115" s="575">
        <f>E116</f>
        <v>37582757</v>
      </c>
      <c r="F115" s="575">
        <f t="shared" ref="F115:P115" si="52">F116</f>
        <v>37582757</v>
      </c>
      <c r="G115" s="575">
        <f t="shared" si="52"/>
        <v>14695777</v>
      </c>
      <c r="H115" s="575">
        <f t="shared" si="52"/>
        <v>1591457</v>
      </c>
      <c r="I115" s="575">
        <f t="shared" si="52"/>
        <v>0</v>
      </c>
      <c r="J115" s="575">
        <f t="shared" si="52"/>
        <v>7998728.3200000003</v>
      </c>
      <c r="K115" s="575">
        <f t="shared" si="52"/>
        <v>1892800</v>
      </c>
      <c r="L115" s="575">
        <f t="shared" si="52"/>
        <v>869800</v>
      </c>
      <c r="M115" s="575">
        <f t="shared" si="52"/>
        <v>318100</v>
      </c>
      <c r="N115" s="575">
        <f t="shared" si="52"/>
        <v>6105928.3200000003</v>
      </c>
      <c r="O115" s="574">
        <f t="shared" si="52"/>
        <v>6060428.3200000003</v>
      </c>
      <c r="P115" s="575">
        <f t="shared" si="52"/>
        <v>45581485.32</v>
      </c>
    </row>
    <row r="116" spans="1:16" ht="135" x14ac:dyDescent="0.2">
      <c r="A116" s="572" t="s">
        <v>64</v>
      </c>
      <c r="B116" s="572"/>
      <c r="C116" s="572"/>
      <c r="D116" s="572" t="s">
        <v>90</v>
      </c>
      <c r="E116" s="574">
        <f>E117+E119+E123+E126+E128+E131+E136+E134</f>
        <v>37582757</v>
      </c>
      <c r="F116" s="575">
        <f>F117+F119+F123+F126+F128+F131+F136+F134</f>
        <v>37582757</v>
      </c>
      <c r="G116" s="574">
        <f>G117+G119+G123+G126+G128+G131+G136</f>
        <v>14695777</v>
      </c>
      <c r="H116" s="574">
        <f>H117+H119+H123+H126+H128+H131+H136</f>
        <v>1591457</v>
      </c>
      <c r="I116" s="575">
        <f>I117+I119+I123+I126+I128+I131+I136</f>
        <v>0</v>
      </c>
      <c r="J116" s="576">
        <f t="shared" ref="J116:J136" si="53">K116+N116</f>
        <v>7998728.3200000003</v>
      </c>
      <c r="K116" s="575">
        <f>K117+K119+K123+K126+K128+K131+K136</f>
        <v>1892800</v>
      </c>
      <c r="L116" s="574">
        <f>L117+L119+L123+L126+L128+L131+L136</f>
        <v>869800</v>
      </c>
      <c r="M116" s="574">
        <f>M117+M119+M123+M126+M128+M131+M136</f>
        <v>318100</v>
      </c>
      <c r="N116" s="575">
        <f>N117+N119+N123+N126+N128+N131+N136</f>
        <v>6105928.3200000003</v>
      </c>
      <c r="O116" s="574">
        <f>O117+O119+O123+O126+O128+O131+O136</f>
        <v>6060428.3200000003</v>
      </c>
      <c r="P116" s="574">
        <f>E116+J116</f>
        <v>45581485.32</v>
      </c>
    </row>
    <row r="117" spans="1:16" ht="137.25" x14ac:dyDescent="0.2">
      <c r="A117" s="556" t="s">
        <v>349</v>
      </c>
      <c r="B117" s="556" t="s">
        <v>350</v>
      </c>
      <c r="C117" s="556"/>
      <c r="D117" s="556" t="s">
        <v>106</v>
      </c>
      <c r="E117" s="248">
        <f t="shared" ref="E117:E132" si="54">F117</f>
        <v>2670218</v>
      </c>
      <c r="F117" s="551">
        <f>F118</f>
        <v>2670218</v>
      </c>
      <c r="G117" s="567">
        <f>G118</f>
        <v>2040830</v>
      </c>
      <c r="H117" s="567">
        <f>H118</f>
        <v>69750</v>
      </c>
      <c r="I117" s="551">
        <f>I118</f>
        <v>0</v>
      </c>
      <c r="J117" s="248">
        <f t="shared" si="53"/>
        <v>153092</v>
      </c>
      <c r="K117" s="551">
        <f>K118</f>
        <v>0</v>
      </c>
      <c r="L117" s="567">
        <f>L118</f>
        <v>0</v>
      </c>
      <c r="M117" s="567">
        <f>M118</f>
        <v>0</v>
      </c>
      <c r="N117" s="268">
        <f>O117</f>
        <v>153092</v>
      </c>
      <c r="O117" s="567">
        <f>O118</f>
        <v>153092</v>
      </c>
      <c r="P117" s="557">
        <f>+J117+E117</f>
        <v>2823310</v>
      </c>
    </row>
    <row r="118" spans="1:16" ht="183" x14ac:dyDescent="0.2">
      <c r="A118" s="553" t="s">
        <v>351</v>
      </c>
      <c r="B118" s="553" t="s">
        <v>352</v>
      </c>
      <c r="C118" s="553" t="s">
        <v>353</v>
      </c>
      <c r="D118" s="553" t="s">
        <v>354</v>
      </c>
      <c r="E118" s="47">
        <f t="shared" si="54"/>
        <v>2670218</v>
      </c>
      <c r="F118" s="47">
        <f>(2411785)+258433</f>
        <v>2670218</v>
      </c>
      <c r="G118" s="47">
        <f>(1829000)+211830</f>
        <v>2040830</v>
      </c>
      <c r="H118" s="47">
        <v>69750</v>
      </c>
      <c r="I118" s="47"/>
      <c r="J118" s="47">
        <f t="shared" si="53"/>
        <v>153092</v>
      </c>
      <c r="K118" s="268"/>
      <c r="L118" s="268"/>
      <c r="M118" s="268"/>
      <c r="N118" s="268">
        <f>O118</f>
        <v>153092</v>
      </c>
      <c r="O118" s="324">
        <f>(0)+153092</f>
        <v>153092</v>
      </c>
      <c r="P118" s="551">
        <f>+J118+E118</f>
        <v>2823310</v>
      </c>
    </row>
    <row r="119" spans="1:16" ht="91.5" x14ac:dyDescent="0.2">
      <c r="A119" s="556" t="s">
        <v>105</v>
      </c>
      <c r="B119" s="556" t="s">
        <v>328</v>
      </c>
      <c r="C119" s="556"/>
      <c r="D119" s="556" t="s">
        <v>76</v>
      </c>
      <c r="E119" s="248">
        <f t="shared" si="54"/>
        <v>4380097</v>
      </c>
      <c r="F119" s="47">
        <f>F120+F121+F122</f>
        <v>4380097</v>
      </c>
      <c r="G119" s="47">
        <f>G120+G121</f>
        <v>1397600</v>
      </c>
      <c r="H119" s="179">
        <f>H120+H121</f>
        <v>497977</v>
      </c>
      <c r="I119" s="47">
        <f>I120+I121</f>
        <v>0</v>
      </c>
      <c r="J119" s="248">
        <f t="shared" si="53"/>
        <v>956872</v>
      </c>
      <c r="K119" s="47">
        <f>K120+K121+K122</f>
        <v>320000</v>
      </c>
      <c r="L119" s="179">
        <f>L120+L121</f>
        <v>148900</v>
      </c>
      <c r="M119" s="179">
        <f>M120+M121</f>
        <v>95400</v>
      </c>
      <c r="N119" s="268">
        <f t="shared" ref="N119:N130" si="55">O119</f>
        <v>636872</v>
      </c>
      <c r="O119" s="179">
        <f>O120+O121+O122</f>
        <v>636872</v>
      </c>
      <c r="P119" s="557">
        <f>+J119+E119</f>
        <v>5336969</v>
      </c>
    </row>
    <row r="120" spans="1:16" ht="228.75" x14ac:dyDescent="0.2">
      <c r="A120" s="553" t="s">
        <v>104</v>
      </c>
      <c r="B120" s="553" t="s">
        <v>329</v>
      </c>
      <c r="C120" s="553" t="s">
        <v>353</v>
      </c>
      <c r="D120" s="553" t="s">
        <v>33</v>
      </c>
      <c r="E120" s="47">
        <f t="shared" si="54"/>
        <v>769000</v>
      </c>
      <c r="F120" s="47">
        <v>769000</v>
      </c>
      <c r="G120" s="47"/>
      <c r="H120" s="47"/>
      <c r="I120" s="47"/>
      <c r="J120" s="47">
        <f t="shared" si="53"/>
        <v>0</v>
      </c>
      <c r="K120" s="268"/>
      <c r="L120" s="268"/>
      <c r="M120" s="268"/>
      <c r="N120" s="268">
        <f t="shared" si="55"/>
        <v>0</v>
      </c>
      <c r="O120" s="268"/>
      <c r="P120" s="551">
        <f>+J120+E120</f>
        <v>769000</v>
      </c>
    </row>
    <row r="121" spans="1:16" ht="137.25" x14ac:dyDescent="0.2">
      <c r="A121" s="553" t="s">
        <v>360</v>
      </c>
      <c r="B121" s="553" t="s">
        <v>361</v>
      </c>
      <c r="C121" s="553" t="s">
        <v>353</v>
      </c>
      <c r="D121" s="553" t="s">
        <v>34</v>
      </c>
      <c r="E121" s="47">
        <f t="shared" si="54"/>
        <v>2850097</v>
      </c>
      <c r="F121" s="47">
        <f>(2617077)+233020</f>
        <v>2850097</v>
      </c>
      <c r="G121" s="47">
        <v>1397600</v>
      </c>
      <c r="H121" s="47">
        <v>497977</v>
      </c>
      <c r="I121" s="47"/>
      <c r="J121" s="47">
        <f t="shared" si="53"/>
        <v>956872</v>
      </c>
      <c r="K121" s="268">
        <v>320000</v>
      </c>
      <c r="L121" s="268">
        <v>148900</v>
      </c>
      <c r="M121" s="268">
        <v>95400</v>
      </c>
      <c r="N121" s="268">
        <f t="shared" si="55"/>
        <v>636872</v>
      </c>
      <c r="O121" s="268">
        <f>(0)+636872</f>
        <v>636872</v>
      </c>
      <c r="P121" s="551">
        <f t="shared" ref="P121:P136" si="56">E121+J121</f>
        <v>3806969</v>
      </c>
    </row>
    <row r="122" spans="1:16" ht="91.5" x14ac:dyDescent="0.2">
      <c r="A122" s="553" t="s">
        <v>761</v>
      </c>
      <c r="B122" s="553" t="s">
        <v>762</v>
      </c>
      <c r="C122" s="553" t="s">
        <v>353</v>
      </c>
      <c r="D122" s="553" t="s">
        <v>763</v>
      </c>
      <c r="E122" s="47">
        <f t="shared" si="54"/>
        <v>761000</v>
      </c>
      <c r="F122" s="47">
        <v>761000</v>
      </c>
      <c r="G122" s="47"/>
      <c r="H122" s="47"/>
      <c r="I122" s="47"/>
      <c r="J122" s="47">
        <f t="shared" si="53"/>
        <v>0</v>
      </c>
      <c r="K122" s="268"/>
      <c r="L122" s="268"/>
      <c r="M122" s="268"/>
      <c r="N122" s="268"/>
      <c r="O122" s="268"/>
      <c r="P122" s="551">
        <f t="shared" si="56"/>
        <v>761000</v>
      </c>
    </row>
    <row r="123" spans="1:16" ht="91.5" x14ac:dyDescent="0.2">
      <c r="A123" s="556" t="s">
        <v>107</v>
      </c>
      <c r="B123" s="556" t="s">
        <v>355</v>
      </c>
      <c r="C123" s="556"/>
      <c r="D123" s="556" t="s">
        <v>108</v>
      </c>
      <c r="E123" s="248">
        <f t="shared" si="54"/>
        <v>9297100</v>
      </c>
      <c r="F123" s="47">
        <f>F124+F125</f>
        <v>9297100</v>
      </c>
      <c r="G123" s="47">
        <f>G124+G125</f>
        <v>0</v>
      </c>
      <c r="H123" s="47">
        <f>H124+H125</f>
        <v>0</v>
      </c>
      <c r="I123" s="328"/>
      <c r="J123" s="248">
        <f t="shared" si="53"/>
        <v>0</v>
      </c>
      <c r="K123" s="47">
        <f>K124+K125</f>
        <v>0</v>
      </c>
      <c r="L123" s="269"/>
      <c r="M123" s="269"/>
      <c r="N123" s="268">
        <f t="shared" si="55"/>
        <v>0</v>
      </c>
      <c r="O123" s="179">
        <f>O124+O125</f>
        <v>0</v>
      </c>
      <c r="P123" s="557">
        <f t="shared" si="56"/>
        <v>9297100</v>
      </c>
    </row>
    <row r="124" spans="1:16" ht="137.25" x14ac:dyDescent="0.2">
      <c r="A124" s="553" t="s">
        <v>109</v>
      </c>
      <c r="B124" s="553" t="s">
        <v>356</v>
      </c>
      <c r="C124" s="553" t="s">
        <v>370</v>
      </c>
      <c r="D124" s="553" t="s">
        <v>110</v>
      </c>
      <c r="E124" s="47">
        <f t="shared" si="54"/>
        <v>7759900</v>
      </c>
      <c r="F124" s="47">
        <f>(7229900)+30000+500000</f>
        <v>7759900</v>
      </c>
      <c r="G124" s="551"/>
      <c r="H124" s="551"/>
      <c r="I124" s="551"/>
      <c r="J124" s="551">
        <f t="shared" si="53"/>
        <v>0</v>
      </c>
      <c r="K124" s="551"/>
      <c r="L124" s="551"/>
      <c r="M124" s="551"/>
      <c r="N124" s="268">
        <f t="shared" si="55"/>
        <v>0</v>
      </c>
      <c r="O124" s="567"/>
      <c r="P124" s="551">
        <f t="shared" si="56"/>
        <v>7759900</v>
      </c>
    </row>
    <row r="125" spans="1:16" ht="137.25" x14ac:dyDescent="0.2">
      <c r="A125" s="553" t="s">
        <v>111</v>
      </c>
      <c r="B125" s="553" t="s">
        <v>357</v>
      </c>
      <c r="C125" s="553" t="s">
        <v>370</v>
      </c>
      <c r="D125" s="553" t="s">
        <v>11</v>
      </c>
      <c r="E125" s="47">
        <f t="shared" si="54"/>
        <v>1537200</v>
      </c>
      <c r="F125" s="47">
        <f>(1472200)+565000-500000</f>
        <v>1537200</v>
      </c>
      <c r="G125" s="551"/>
      <c r="H125" s="551"/>
      <c r="I125" s="551"/>
      <c r="J125" s="551">
        <f t="shared" si="53"/>
        <v>0</v>
      </c>
      <c r="K125" s="551"/>
      <c r="L125" s="551"/>
      <c r="M125" s="551"/>
      <c r="N125" s="268">
        <f t="shared" si="55"/>
        <v>0</v>
      </c>
      <c r="O125" s="567"/>
      <c r="P125" s="551">
        <f t="shared" si="56"/>
        <v>1537200</v>
      </c>
    </row>
    <row r="126" spans="1:16" ht="183" x14ac:dyDescent="0.2">
      <c r="A126" s="556" t="s">
        <v>112</v>
      </c>
      <c r="B126" s="556" t="s">
        <v>358</v>
      </c>
      <c r="C126" s="556"/>
      <c r="D126" s="556" t="s">
        <v>753</v>
      </c>
      <c r="E126" s="248">
        <f t="shared" si="54"/>
        <v>11500</v>
      </c>
      <c r="F126" s="47">
        <f>F127</f>
        <v>11500</v>
      </c>
      <c r="G126" s="179">
        <f>G127</f>
        <v>0</v>
      </c>
      <c r="H126" s="179">
        <f>H127</f>
        <v>0</v>
      </c>
      <c r="I126" s="551"/>
      <c r="J126" s="557">
        <f t="shared" si="53"/>
        <v>0</v>
      </c>
      <c r="K126" s="47">
        <f>K127</f>
        <v>0</v>
      </c>
      <c r="L126" s="179">
        <f>L127</f>
        <v>0</v>
      </c>
      <c r="M126" s="179">
        <f>M127</f>
        <v>0</v>
      </c>
      <c r="N126" s="268">
        <f>N127</f>
        <v>0</v>
      </c>
      <c r="O126" s="179">
        <f>O127</f>
        <v>0</v>
      </c>
      <c r="P126" s="557">
        <f t="shared" si="56"/>
        <v>11500</v>
      </c>
    </row>
    <row r="127" spans="1:16" ht="183" x14ac:dyDescent="0.2">
      <c r="A127" s="553" t="s">
        <v>113</v>
      </c>
      <c r="B127" s="553" t="s">
        <v>359</v>
      </c>
      <c r="C127" s="553" t="s">
        <v>370</v>
      </c>
      <c r="D127" s="553" t="s">
        <v>754</v>
      </c>
      <c r="E127" s="47">
        <f>F127</f>
        <v>11500</v>
      </c>
      <c r="F127" s="47">
        <v>11500</v>
      </c>
      <c r="G127" s="47"/>
      <c r="H127" s="47"/>
      <c r="I127" s="551"/>
      <c r="J127" s="551">
        <f t="shared" si="53"/>
        <v>0</v>
      </c>
      <c r="K127" s="47"/>
      <c r="L127" s="47"/>
      <c r="M127" s="47"/>
      <c r="N127" s="268">
        <f>N130</f>
        <v>0</v>
      </c>
      <c r="O127" s="47"/>
      <c r="P127" s="551">
        <f t="shared" si="56"/>
        <v>11500</v>
      </c>
    </row>
    <row r="128" spans="1:16" ht="91.5" x14ac:dyDescent="0.2">
      <c r="A128" s="556" t="s">
        <v>78</v>
      </c>
      <c r="B128" s="556" t="s">
        <v>365</v>
      </c>
      <c r="C128" s="556"/>
      <c r="D128" s="556" t="s">
        <v>79</v>
      </c>
      <c r="E128" s="248">
        <f t="shared" si="54"/>
        <v>19741364</v>
      </c>
      <c r="F128" s="47">
        <f>F129+F130</f>
        <v>19741364</v>
      </c>
      <c r="G128" s="179">
        <f>G129+G130</f>
        <v>10666900</v>
      </c>
      <c r="H128" s="179">
        <f>H129+H130</f>
        <v>1023730</v>
      </c>
      <c r="I128" s="47">
        <f>I129+I130</f>
        <v>0</v>
      </c>
      <c r="J128" s="557">
        <f t="shared" si="53"/>
        <v>4286364.32</v>
      </c>
      <c r="K128" s="47">
        <f>K129+K130</f>
        <v>1547800</v>
      </c>
      <c r="L128" s="179">
        <f>L129+L130</f>
        <v>720900</v>
      </c>
      <c r="M128" s="179">
        <f>M129+M130</f>
        <v>222700</v>
      </c>
      <c r="N128" s="268">
        <f>N129+N130</f>
        <v>2738564.3200000003</v>
      </c>
      <c r="O128" s="47">
        <f>O129+O130</f>
        <v>2693064.3200000003</v>
      </c>
      <c r="P128" s="557">
        <f t="shared" si="56"/>
        <v>24027728.32</v>
      </c>
    </row>
    <row r="129" spans="1:16" ht="183" x14ac:dyDescent="0.2">
      <c r="A129" s="553" t="s">
        <v>77</v>
      </c>
      <c r="B129" s="553" t="s">
        <v>366</v>
      </c>
      <c r="C129" s="553" t="s">
        <v>370</v>
      </c>
      <c r="D129" s="553" t="s">
        <v>114</v>
      </c>
      <c r="E129" s="47">
        <f t="shared" si="54"/>
        <v>16018778</v>
      </c>
      <c r="F129" s="47">
        <f>(15491860)+526918</f>
        <v>16018778</v>
      </c>
      <c r="G129" s="47">
        <v>10666900</v>
      </c>
      <c r="H129" s="47">
        <v>1023730</v>
      </c>
      <c r="I129" s="47"/>
      <c r="J129" s="47">
        <f t="shared" si="53"/>
        <v>4286364.32</v>
      </c>
      <c r="K129" s="47">
        <v>1547800</v>
      </c>
      <c r="L129" s="47">
        <v>720900</v>
      </c>
      <c r="M129" s="47">
        <v>222700</v>
      </c>
      <c r="N129" s="268">
        <f>O129+45500</f>
        <v>2738564.3200000003</v>
      </c>
      <c r="O129" s="179">
        <f>(1436800)+1120764.32+135500</f>
        <v>2693064.3200000003</v>
      </c>
      <c r="P129" s="551">
        <f t="shared" si="56"/>
        <v>20305142.32</v>
      </c>
    </row>
    <row r="130" spans="1:16" ht="183" x14ac:dyDescent="0.2">
      <c r="A130" s="553" t="s">
        <v>80</v>
      </c>
      <c r="B130" s="553" t="s">
        <v>367</v>
      </c>
      <c r="C130" s="553" t="s">
        <v>370</v>
      </c>
      <c r="D130" s="553" t="s">
        <v>115</v>
      </c>
      <c r="E130" s="47">
        <f t="shared" si="54"/>
        <v>3722586</v>
      </c>
      <c r="F130" s="47">
        <f>(3262600)+459986</f>
        <v>3722586</v>
      </c>
      <c r="G130" s="47"/>
      <c r="H130" s="47"/>
      <c r="I130" s="47"/>
      <c r="J130" s="47">
        <f t="shared" si="53"/>
        <v>0</v>
      </c>
      <c r="K130" s="47"/>
      <c r="L130" s="47"/>
      <c r="M130" s="47"/>
      <c r="N130" s="268">
        <f t="shared" si="55"/>
        <v>0</v>
      </c>
      <c r="O130" s="179"/>
      <c r="P130" s="551">
        <f t="shared" si="56"/>
        <v>3722586</v>
      </c>
    </row>
    <row r="131" spans="1:16" ht="91.5" x14ac:dyDescent="0.2">
      <c r="A131" s="556" t="s">
        <v>116</v>
      </c>
      <c r="B131" s="556" t="s">
        <v>368</v>
      </c>
      <c r="C131" s="556"/>
      <c r="D131" s="556" t="s">
        <v>81</v>
      </c>
      <c r="E131" s="248">
        <f t="shared" si="54"/>
        <v>1471558</v>
      </c>
      <c r="F131" s="47">
        <f>F132+F133</f>
        <v>1471558</v>
      </c>
      <c r="G131" s="179">
        <f>G132+G133</f>
        <v>590447</v>
      </c>
      <c r="H131" s="179">
        <f>H132+H133</f>
        <v>0</v>
      </c>
      <c r="I131" s="47">
        <f>I132+I133</f>
        <v>0</v>
      </c>
      <c r="J131" s="557">
        <f t="shared" si="53"/>
        <v>102400</v>
      </c>
      <c r="K131" s="47">
        <f>K132+K133</f>
        <v>25000</v>
      </c>
      <c r="L131" s="179">
        <f>L132+L133</f>
        <v>0</v>
      </c>
      <c r="M131" s="179">
        <f>M132+M133</f>
        <v>0</v>
      </c>
      <c r="N131" s="268">
        <f>N132+N133</f>
        <v>77400</v>
      </c>
      <c r="O131" s="567">
        <f>O132+O133</f>
        <v>77400</v>
      </c>
      <c r="P131" s="557">
        <f t="shared" si="56"/>
        <v>1573958</v>
      </c>
    </row>
    <row r="132" spans="1:16" ht="274.5" x14ac:dyDescent="0.2">
      <c r="A132" s="329" t="s">
        <v>82</v>
      </c>
      <c r="B132" s="329" t="s">
        <v>369</v>
      </c>
      <c r="C132" s="329" t="s">
        <v>370</v>
      </c>
      <c r="D132" s="553" t="s">
        <v>83</v>
      </c>
      <c r="E132" s="47">
        <f t="shared" si="54"/>
        <v>557400</v>
      </c>
      <c r="F132" s="47">
        <v>557400</v>
      </c>
      <c r="G132" s="551"/>
      <c r="H132" s="551"/>
      <c r="I132" s="551"/>
      <c r="J132" s="551">
        <f>K132+N132</f>
        <v>0</v>
      </c>
      <c r="K132" s="551"/>
      <c r="L132" s="551"/>
      <c r="M132" s="551"/>
      <c r="N132" s="268">
        <f>O132</f>
        <v>0</v>
      </c>
      <c r="O132" s="551"/>
      <c r="P132" s="551">
        <f t="shared" si="56"/>
        <v>557400</v>
      </c>
    </row>
    <row r="133" spans="1:16" ht="91.5" x14ac:dyDescent="0.2">
      <c r="A133" s="329" t="s">
        <v>84</v>
      </c>
      <c r="B133" s="329" t="s">
        <v>371</v>
      </c>
      <c r="C133" s="329" t="s">
        <v>370</v>
      </c>
      <c r="D133" s="553" t="s">
        <v>85</v>
      </c>
      <c r="E133" s="47">
        <f>F133</f>
        <v>914158</v>
      </c>
      <c r="F133" s="47">
        <v>914158</v>
      </c>
      <c r="G133" s="551">
        <v>590447</v>
      </c>
      <c r="H133" s="551"/>
      <c r="I133" s="551"/>
      <c r="J133" s="551">
        <f t="shared" si="53"/>
        <v>102400</v>
      </c>
      <c r="K133" s="551">
        <f>20900+4100</f>
        <v>25000</v>
      </c>
      <c r="L133" s="551"/>
      <c r="M133" s="551"/>
      <c r="N133" s="268">
        <f>O133</f>
        <v>77400</v>
      </c>
      <c r="O133" s="551">
        <f>32400+45000</f>
        <v>77400</v>
      </c>
      <c r="P133" s="551">
        <f t="shared" si="56"/>
        <v>1016558</v>
      </c>
    </row>
    <row r="134" spans="1:16" ht="91.5" x14ac:dyDescent="0.2">
      <c r="A134" s="272" t="s">
        <v>704</v>
      </c>
      <c r="B134" s="272" t="s">
        <v>706</v>
      </c>
      <c r="C134" s="272"/>
      <c r="D134" s="556" t="s">
        <v>705</v>
      </c>
      <c r="E134" s="248">
        <f>F134</f>
        <v>10920</v>
      </c>
      <c r="F134" s="47">
        <f>F135</f>
        <v>10920</v>
      </c>
      <c r="G134" s="179"/>
      <c r="H134" s="179"/>
      <c r="I134" s="47"/>
      <c r="J134" s="557">
        <f t="shared" si="53"/>
        <v>0</v>
      </c>
      <c r="K134" s="47"/>
      <c r="L134" s="179"/>
      <c r="M134" s="179"/>
      <c r="N134" s="268">
        <f>O134</f>
        <v>0</v>
      </c>
      <c r="O134" s="567"/>
      <c r="P134" s="557">
        <f t="shared" si="56"/>
        <v>10920</v>
      </c>
    </row>
    <row r="135" spans="1:16" ht="320.25" x14ac:dyDescent="0.2">
      <c r="A135" s="329" t="s">
        <v>710</v>
      </c>
      <c r="B135" s="329" t="s">
        <v>709</v>
      </c>
      <c r="C135" s="329" t="s">
        <v>708</v>
      </c>
      <c r="D135" s="553" t="s">
        <v>707</v>
      </c>
      <c r="E135" s="47">
        <f>F135</f>
        <v>10920</v>
      </c>
      <c r="F135" s="47">
        <v>10920</v>
      </c>
      <c r="G135" s="551"/>
      <c r="H135" s="551"/>
      <c r="I135" s="551"/>
      <c r="J135" s="551">
        <f t="shared" si="53"/>
        <v>0</v>
      </c>
      <c r="K135" s="551"/>
      <c r="L135" s="551"/>
      <c r="M135" s="551"/>
      <c r="N135" s="268">
        <f>O135</f>
        <v>0</v>
      </c>
      <c r="O135" s="551"/>
      <c r="P135" s="551">
        <f t="shared" si="56"/>
        <v>10920</v>
      </c>
    </row>
    <row r="136" spans="1:16" ht="91.5" x14ac:dyDescent="0.2">
      <c r="A136" s="272" t="s">
        <v>372</v>
      </c>
      <c r="B136" s="272" t="s">
        <v>373</v>
      </c>
      <c r="C136" s="272" t="s">
        <v>324</v>
      </c>
      <c r="D136" s="556" t="s">
        <v>89</v>
      </c>
      <c r="E136" s="248">
        <f>F136</f>
        <v>0</v>
      </c>
      <c r="F136" s="47"/>
      <c r="G136" s="179"/>
      <c r="H136" s="179"/>
      <c r="I136" s="47"/>
      <c r="J136" s="557">
        <f t="shared" si="53"/>
        <v>2500000</v>
      </c>
      <c r="K136" s="47"/>
      <c r="L136" s="179"/>
      <c r="M136" s="179"/>
      <c r="N136" s="268">
        <f>O136</f>
        <v>2500000</v>
      </c>
      <c r="O136" s="567">
        <v>2500000</v>
      </c>
      <c r="P136" s="557">
        <f t="shared" si="56"/>
        <v>2500000</v>
      </c>
    </row>
    <row r="137" spans="1:16" ht="180" x14ac:dyDescent="0.2">
      <c r="A137" s="568" t="s">
        <v>312</v>
      </c>
      <c r="B137" s="568"/>
      <c r="C137" s="568"/>
      <c r="D137" s="568" t="s">
        <v>67</v>
      </c>
      <c r="E137" s="575">
        <f>E138</f>
        <v>170547835</v>
      </c>
      <c r="F137" s="575">
        <f t="shared" ref="F137:P137" si="57">F138</f>
        <v>170547835</v>
      </c>
      <c r="G137" s="575">
        <f t="shared" si="57"/>
        <v>839900</v>
      </c>
      <c r="H137" s="575">
        <f t="shared" si="57"/>
        <v>11500</v>
      </c>
      <c r="I137" s="575">
        <f t="shared" si="57"/>
        <v>0</v>
      </c>
      <c r="J137" s="575">
        <f t="shared" si="57"/>
        <v>228252144.09</v>
      </c>
      <c r="K137" s="575">
        <f t="shared" si="57"/>
        <v>7400</v>
      </c>
      <c r="L137" s="575">
        <f t="shared" si="57"/>
        <v>0</v>
      </c>
      <c r="M137" s="575">
        <f t="shared" si="57"/>
        <v>0</v>
      </c>
      <c r="N137" s="575">
        <f t="shared" si="57"/>
        <v>228244744.09</v>
      </c>
      <c r="O137" s="574">
        <f t="shared" si="57"/>
        <v>227730521</v>
      </c>
      <c r="P137" s="575">
        <f t="shared" si="57"/>
        <v>398799979.09000003</v>
      </c>
    </row>
    <row r="138" spans="1:16" ht="180" x14ac:dyDescent="0.2">
      <c r="A138" s="572" t="s">
        <v>313</v>
      </c>
      <c r="B138" s="572"/>
      <c r="C138" s="572"/>
      <c r="D138" s="572" t="s">
        <v>95</v>
      </c>
      <c r="E138" s="574">
        <f>E139+E144+E145+E146+E148+E150+E152+E153+E154+E155</f>
        <v>170547835</v>
      </c>
      <c r="F138" s="575">
        <f>F139+F144+F145+F146+F148+F150+F152+F153+F154+F155</f>
        <v>170547835</v>
      </c>
      <c r="G138" s="574">
        <f>G139+G144+G145+G146+G148+G150+G152+G153+G154+G155</f>
        <v>839900</v>
      </c>
      <c r="H138" s="574">
        <f>H139+H144+H145+H146+H148+H150+H152+H153+H154+H155</f>
        <v>11500</v>
      </c>
      <c r="I138" s="575">
        <f>I139+I144+I145+I146+I148+I150+I152+I153+I154+I155</f>
        <v>0</v>
      </c>
      <c r="J138" s="574">
        <f t="shared" ref="J138:J155" si="58">K138+N138</f>
        <v>228252144.09</v>
      </c>
      <c r="K138" s="575">
        <f>K139+K144+K145+K146+K148+K150+K152+K153+K154+K155</f>
        <v>7400</v>
      </c>
      <c r="L138" s="574">
        <f>L139+L144+L145+L146+L148+L150+L152+L153+L154+L155</f>
        <v>0</v>
      </c>
      <c r="M138" s="574">
        <f>M139+M144+M145+M146+M148+M150+M152+M153+M154+M155</f>
        <v>0</v>
      </c>
      <c r="N138" s="575">
        <f>N139+N144+N145+N146+N147+N148+N150+N152+N153+N154+N155</f>
        <v>228244744.09</v>
      </c>
      <c r="O138" s="574">
        <f>O139+O144+O145+O146+O147+O148+O150+O152+O153+O154+O155</f>
        <v>227730521</v>
      </c>
      <c r="P138" s="574">
        <f>E138+J138</f>
        <v>398799979.09000003</v>
      </c>
    </row>
    <row r="139" spans="1:16" ht="137.25" x14ac:dyDescent="0.2">
      <c r="A139" s="556" t="s">
        <v>527</v>
      </c>
      <c r="B139" s="556" t="s">
        <v>528</v>
      </c>
      <c r="C139" s="556"/>
      <c r="D139" s="556" t="s">
        <v>531</v>
      </c>
      <c r="E139" s="557">
        <f t="shared" ref="E139:E155" si="59">F139</f>
        <v>4482550</v>
      </c>
      <c r="F139" s="551">
        <f>SUM(F140:F143)</f>
        <v>4482550</v>
      </c>
      <c r="G139" s="179"/>
      <c r="H139" s="567"/>
      <c r="I139" s="551"/>
      <c r="J139" s="557">
        <f t="shared" si="58"/>
        <v>45266500</v>
      </c>
      <c r="K139" s="551">
        <f>SUM(K140:K143)</f>
        <v>0</v>
      </c>
      <c r="L139" s="567"/>
      <c r="M139" s="567"/>
      <c r="N139" s="551">
        <f t="shared" ref="N139:N143" si="60">O139</f>
        <v>45266500</v>
      </c>
      <c r="O139" s="551">
        <f>SUM(O140:O143)</f>
        <v>45266500</v>
      </c>
      <c r="P139" s="557">
        <f t="shared" ref="P139" si="61">E139+J139</f>
        <v>49749050</v>
      </c>
    </row>
    <row r="140" spans="1:16" ht="137.25" x14ac:dyDescent="0.2">
      <c r="A140" s="553" t="s">
        <v>529</v>
      </c>
      <c r="B140" s="553" t="s">
        <v>530</v>
      </c>
      <c r="C140" s="553" t="s">
        <v>533</v>
      </c>
      <c r="D140" s="553" t="s">
        <v>532</v>
      </c>
      <c r="E140" s="47">
        <f t="shared" si="59"/>
        <v>3937750</v>
      </c>
      <c r="F140" s="47">
        <f>(3189750)+748000</f>
        <v>3937750</v>
      </c>
      <c r="G140" s="47"/>
      <c r="H140" s="47"/>
      <c r="I140" s="47"/>
      <c r="J140" s="47">
        <f t="shared" si="58"/>
        <v>4266500</v>
      </c>
      <c r="K140" s="268"/>
      <c r="L140" s="268"/>
      <c r="M140" s="268"/>
      <c r="N140" s="268">
        <f t="shared" si="60"/>
        <v>4266500</v>
      </c>
      <c r="O140" s="268">
        <f>(1400000)+2866500</f>
        <v>4266500</v>
      </c>
      <c r="P140" s="551">
        <f>+J140+E140</f>
        <v>8204250</v>
      </c>
    </row>
    <row r="141" spans="1:16" ht="137.25" x14ac:dyDescent="0.2">
      <c r="A141" s="553" t="s">
        <v>537</v>
      </c>
      <c r="B141" s="553" t="s">
        <v>538</v>
      </c>
      <c r="C141" s="553" t="s">
        <v>533</v>
      </c>
      <c r="D141" s="553" t="s">
        <v>539</v>
      </c>
      <c r="E141" s="47">
        <f t="shared" si="59"/>
        <v>484800</v>
      </c>
      <c r="F141" s="47">
        <v>484800</v>
      </c>
      <c r="G141" s="47"/>
      <c r="H141" s="47"/>
      <c r="I141" s="47"/>
      <c r="J141" s="47">
        <f t="shared" si="58"/>
        <v>0</v>
      </c>
      <c r="K141" s="268"/>
      <c r="L141" s="268"/>
      <c r="M141" s="268"/>
      <c r="N141" s="268">
        <f t="shared" si="60"/>
        <v>0</v>
      </c>
      <c r="O141" s="268"/>
      <c r="P141" s="551">
        <f>+J141+E141</f>
        <v>484800</v>
      </c>
    </row>
    <row r="142" spans="1:16" ht="137.25" x14ac:dyDescent="0.2">
      <c r="A142" s="553" t="s">
        <v>567</v>
      </c>
      <c r="B142" s="553" t="s">
        <v>568</v>
      </c>
      <c r="C142" s="553" t="s">
        <v>533</v>
      </c>
      <c r="D142" s="553" t="s">
        <v>569</v>
      </c>
      <c r="E142" s="47">
        <f t="shared" si="59"/>
        <v>0</v>
      </c>
      <c r="F142" s="47"/>
      <c r="G142" s="47"/>
      <c r="H142" s="47"/>
      <c r="I142" s="47"/>
      <c r="J142" s="47">
        <f t="shared" si="58"/>
        <v>5000000</v>
      </c>
      <c r="K142" s="268"/>
      <c r="L142" s="268"/>
      <c r="M142" s="268"/>
      <c r="N142" s="268">
        <f t="shared" si="60"/>
        <v>5000000</v>
      </c>
      <c r="O142" s="268">
        <v>5000000</v>
      </c>
      <c r="P142" s="551">
        <f>+J142+E142</f>
        <v>5000000</v>
      </c>
    </row>
    <row r="143" spans="1:16" ht="183" x14ac:dyDescent="0.2">
      <c r="A143" s="553" t="s">
        <v>534</v>
      </c>
      <c r="B143" s="553" t="s">
        <v>535</v>
      </c>
      <c r="C143" s="553" t="s">
        <v>533</v>
      </c>
      <c r="D143" s="553" t="s">
        <v>536</v>
      </c>
      <c r="E143" s="47">
        <f t="shared" si="59"/>
        <v>60000</v>
      </c>
      <c r="F143" s="47">
        <v>60000</v>
      </c>
      <c r="G143" s="47"/>
      <c r="H143" s="47"/>
      <c r="I143" s="47"/>
      <c r="J143" s="47">
        <f t="shared" si="58"/>
        <v>36000000</v>
      </c>
      <c r="K143" s="268"/>
      <c r="L143" s="268"/>
      <c r="M143" s="268"/>
      <c r="N143" s="268">
        <f t="shared" si="60"/>
        <v>36000000</v>
      </c>
      <c r="O143" s="268">
        <f>(34000000)+2000000</f>
        <v>36000000</v>
      </c>
      <c r="P143" s="551">
        <f>+J143+E143</f>
        <v>36060000</v>
      </c>
    </row>
    <row r="144" spans="1:16" ht="228.75" x14ac:dyDescent="0.2">
      <c r="A144" s="556" t="s">
        <v>561</v>
      </c>
      <c r="B144" s="556" t="s">
        <v>562</v>
      </c>
      <c r="C144" s="556" t="s">
        <v>533</v>
      </c>
      <c r="D144" s="556" t="s">
        <v>563</v>
      </c>
      <c r="E144" s="248">
        <f t="shared" si="59"/>
        <v>7279201</v>
      </c>
      <c r="F144" s="47">
        <f>(138000+1109401)+81800+6500000-550000</f>
        <v>7279201</v>
      </c>
      <c r="G144" s="179"/>
      <c r="H144" s="179"/>
      <c r="I144" s="47"/>
      <c r="J144" s="557">
        <f t="shared" si="58"/>
        <v>0</v>
      </c>
      <c r="K144" s="47"/>
      <c r="L144" s="179"/>
      <c r="M144" s="179"/>
      <c r="N144" s="268">
        <f>O144</f>
        <v>0</v>
      </c>
      <c r="O144" s="567"/>
      <c r="P144" s="557">
        <f t="shared" ref="P144:P148" si="62">E144+J144</f>
        <v>7279201</v>
      </c>
    </row>
    <row r="145" spans="1:16" ht="91.5" x14ac:dyDescent="0.2">
      <c r="A145" s="556" t="s">
        <v>540</v>
      </c>
      <c r="B145" s="556" t="s">
        <v>541</v>
      </c>
      <c r="C145" s="556" t="s">
        <v>533</v>
      </c>
      <c r="D145" s="556" t="s">
        <v>542</v>
      </c>
      <c r="E145" s="248">
        <f t="shared" si="59"/>
        <v>92671006</v>
      </c>
      <c r="F145" s="47">
        <f>(88681880)+3989126</f>
        <v>92671006</v>
      </c>
      <c r="G145" s="179"/>
      <c r="H145" s="179"/>
      <c r="I145" s="47"/>
      <c r="J145" s="557">
        <f t="shared" si="58"/>
        <v>18877842</v>
      </c>
      <c r="K145" s="47"/>
      <c r="L145" s="179"/>
      <c r="M145" s="179"/>
      <c r="N145" s="268">
        <f>O145</f>
        <v>18877842</v>
      </c>
      <c r="O145" s="567">
        <f>(10282110)+8145732+450000</f>
        <v>18877842</v>
      </c>
      <c r="P145" s="557">
        <f t="shared" si="62"/>
        <v>111548848</v>
      </c>
    </row>
    <row r="146" spans="1:16" ht="92.25" x14ac:dyDescent="0.2">
      <c r="A146" s="556" t="s">
        <v>571</v>
      </c>
      <c r="B146" s="556" t="s">
        <v>572</v>
      </c>
      <c r="C146" s="556" t="s">
        <v>570</v>
      </c>
      <c r="D146" s="556" t="s">
        <v>573</v>
      </c>
      <c r="E146" s="248">
        <f t="shared" si="59"/>
        <v>0</v>
      </c>
      <c r="F146" s="47"/>
      <c r="G146" s="179"/>
      <c r="H146" s="179"/>
      <c r="I146" s="47"/>
      <c r="J146" s="557">
        <f t="shared" si="58"/>
        <v>25000000</v>
      </c>
      <c r="K146" s="47"/>
      <c r="L146" s="179"/>
      <c r="M146" s="179"/>
      <c r="N146" s="268">
        <f>O146</f>
        <v>25000000</v>
      </c>
      <c r="O146" s="567">
        <f>(20000000)+5000000</f>
        <v>25000000</v>
      </c>
      <c r="P146" s="557">
        <f t="shared" si="62"/>
        <v>25000000</v>
      </c>
    </row>
    <row r="147" spans="1:16" ht="183" x14ac:dyDescent="0.2">
      <c r="A147" s="556" t="s">
        <v>722</v>
      </c>
      <c r="B147" s="556" t="s">
        <v>609</v>
      </c>
      <c r="C147" s="556" t="s">
        <v>570</v>
      </c>
      <c r="D147" s="556" t="s">
        <v>607</v>
      </c>
      <c r="E147" s="248">
        <v>0</v>
      </c>
      <c r="F147" s="47"/>
      <c r="G147" s="179"/>
      <c r="H147" s="179"/>
      <c r="I147" s="47"/>
      <c r="J147" s="557">
        <f t="shared" si="58"/>
        <v>700000</v>
      </c>
      <c r="K147" s="47"/>
      <c r="L147" s="179"/>
      <c r="M147" s="179"/>
      <c r="N147" s="268">
        <f>O147</f>
        <v>700000</v>
      </c>
      <c r="O147" s="567">
        <v>700000</v>
      </c>
      <c r="P147" s="557">
        <f t="shared" si="62"/>
        <v>700000</v>
      </c>
    </row>
    <row r="148" spans="1:16" ht="137.25" x14ac:dyDescent="0.2">
      <c r="A148" s="556" t="s">
        <v>544</v>
      </c>
      <c r="B148" s="556" t="s">
        <v>545</v>
      </c>
      <c r="C148" s="556"/>
      <c r="D148" s="556" t="s">
        <v>547</v>
      </c>
      <c r="E148" s="557">
        <f t="shared" si="59"/>
        <v>15000000</v>
      </c>
      <c r="F148" s="551">
        <f>SUM(F149)</f>
        <v>15000000</v>
      </c>
      <c r="G148" s="179"/>
      <c r="H148" s="567"/>
      <c r="I148" s="551"/>
      <c r="J148" s="557">
        <f t="shared" si="58"/>
        <v>0</v>
      </c>
      <c r="K148" s="551">
        <f>SUM(K149)</f>
        <v>0</v>
      </c>
      <c r="L148" s="567"/>
      <c r="M148" s="567"/>
      <c r="N148" s="551">
        <f t="shared" ref="N148:N149" si="63">O148</f>
        <v>0</v>
      </c>
      <c r="O148" s="551">
        <f>SUM(O149)</f>
        <v>0</v>
      </c>
      <c r="P148" s="557">
        <f t="shared" si="62"/>
        <v>15000000</v>
      </c>
    </row>
    <row r="149" spans="1:16" ht="91.5" x14ac:dyDescent="0.2">
      <c r="A149" s="553" t="s">
        <v>543</v>
      </c>
      <c r="B149" s="553" t="s">
        <v>546</v>
      </c>
      <c r="C149" s="553" t="s">
        <v>549</v>
      </c>
      <c r="D149" s="553" t="s">
        <v>548</v>
      </c>
      <c r="E149" s="47">
        <f t="shared" si="59"/>
        <v>15000000</v>
      </c>
      <c r="F149" s="47">
        <v>15000000</v>
      </c>
      <c r="G149" s="47"/>
      <c r="H149" s="47"/>
      <c r="I149" s="47"/>
      <c r="J149" s="47">
        <f t="shared" si="58"/>
        <v>0</v>
      </c>
      <c r="K149" s="268"/>
      <c r="L149" s="268"/>
      <c r="M149" s="268"/>
      <c r="N149" s="268">
        <f t="shared" si="63"/>
        <v>0</v>
      </c>
      <c r="O149" s="268"/>
      <c r="P149" s="551">
        <f>+J149+E149</f>
        <v>15000000</v>
      </c>
    </row>
    <row r="150" spans="1:16" ht="137.25" x14ac:dyDescent="0.2">
      <c r="A150" s="556" t="s">
        <v>550</v>
      </c>
      <c r="B150" s="556" t="s">
        <v>551</v>
      </c>
      <c r="C150" s="556"/>
      <c r="D150" s="556" t="s">
        <v>552</v>
      </c>
      <c r="E150" s="557">
        <f t="shared" si="59"/>
        <v>48578600</v>
      </c>
      <c r="F150" s="551">
        <f>SUM(F151)</f>
        <v>48578600</v>
      </c>
      <c r="G150" s="179"/>
      <c r="H150" s="567"/>
      <c r="I150" s="551"/>
      <c r="J150" s="557">
        <f t="shared" si="58"/>
        <v>83480433.090000004</v>
      </c>
      <c r="K150" s="551">
        <f>SUM(K151)</f>
        <v>0</v>
      </c>
      <c r="L150" s="567"/>
      <c r="M150" s="567"/>
      <c r="N150" s="551">
        <f>N151</f>
        <v>83480433.090000004</v>
      </c>
      <c r="O150" s="551">
        <f>SUM(O151)</f>
        <v>82966210</v>
      </c>
      <c r="P150" s="557">
        <f t="shared" ref="P150" si="64">E150+J150</f>
        <v>132059033.09</v>
      </c>
    </row>
    <row r="151" spans="1:16" ht="228.75" x14ac:dyDescent="0.2">
      <c r="A151" s="553" t="s">
        <v>553</v>
      </c>
      <c r="B151" s="553" t="s">
        <v>554</v>
      </c>
      <c r="C151" s="553" t="s">
        <v>556</v>
      </c>
      <c r="D151" s="553" t="s">
        <v>555</v>
      </c>
      <c r="E151" s="47">
        <f t="shared" si="59"/>
        <v>48578600</v>
      </c>
      <c r="F151" s="47">
        <f>(30000000)+18578600</f>
        <v>48578600</v>
      </c>
      <c r="G151" s="47"/>
      <c r="H151" s="47"/>
      <c r="I151" s="47"/>
      <c r="J151" s="47">
        <f t="shared" si="58"/>
        <v>83480433.090000004</v>
      </c>
      <c r="K151" s="268"/>
      <c r="L151" s="268"/>
      <c r="M151" s="268"/>
      <c r="N151" s="268">
        <f>O151+514223.09</f>
        <v>83480433.090000004</v>
      </c>
      <c r="O151" s="268">
        <f>(58865000)+25301210-1200000</f>
        <v>82966210</v>
      </c>
      <c r="P151" s="551">
        <f>+J151+E151</f>
        <v>132059033.09</v>
      </c>
    </row>
    <row r="152" spans="1:16" ht="46.5" x14ac:dyDescent="0.2">
      <c r="A152" s="556" t="s">
        <v>557</v>
      </c>
      <c r="B152" s="556" t="s">
        <v>403</v>
      </c>
      <c r="C152" s="556" t="s">
        <v>404</v>
      </c>
      <c r="D152" s="556" t="s">
        <v>99</v>
      </c>
      <c r="E152" s="248">
        <f t="shared" si="59"/>
        <v>1118300</v>
      </c>
      <c r="F152" s="47">
        <f>(1018300)+100000</f>
        <v>1118300</v>
      </c>
      <c r="G152" s="179"/>
      <c r="H152" s="179"/>
      <c r="I152" s="47"/>
      <c r="J152" s="557">
        <f t="shared" si="58"/>
        <v>3500000</v>
      </c>
      <c r="K152" s="47"/>
      <c r="L152" s="179"/>
      <c r="M152" s="179"/>
      <c r="N152" s="268">
        <f>O152</f>
        <v>3500000</v>
      </c>
      <c r="O152" s="567">
        <f>(2000000)+1500000</f>
        <v>3500000</v>
      </c>
      <c r="P152" s="557">
        <f t="shared" ref="P152:P155" si="65">E152+J152</f>
        <v>4618300</v>
      </c>
    </row>
    <row r="153" spans="1:16" ht="91.5" x14ac:dyDescent="0.2">
      <c r="A153" s="556" t="s">
        <v>575</v>
      </c>
      <c r="B153" s="556" t="s">
        <v>373</v>
      </c>
      <c r="C153" s="556" t="s">
        <v>324</v>
      </c>
      <c r="D153" s="556" t="s">
        <v>89</v>
      </c>
      <c r="E153" s="248">
        <f t="shared" si="59"/>
        <v>0</v>
      </c>
      <c r="F153" s="47"/>
      <c r="G153" s="179"/>
      <c r="H153" s="179"/>
      <c r="I153" s="47"/>
      <c r="J153" s="557">
        <f t="shared" si="58"/>
        <v>51419969</v>
      </c>
      <c r="K153" s="47"/>
      <c r="L153" s="179"/>
      <c r="M153" s="179"/>
      <c r="N153" s="268">
        <f>O153</f>
        <v>51419969</v>
      </c>
      <c r="O153" s="567">
        <f>(7653700)+47016269-450000-2800000</f>
        <v>51419969</v>
      </c>
      <c r="P153" s="557">
        <f t="shared" si="65"/>
        <v>51419969</v>
      </c>
    </row>
    <row r="154" spans="1:16" ht="183" x14ac:dyDescent="0.2">
      <c r="A154" s="556" t="s">
        <v>558</v>
      </c>
      <c r="B154" s="556" t="s">
        <v>559</v>
      </c>
      <c r="C154" s="556" t="s">
        <v>490</v>
      </c>
      <c r="D154" s="556" t="s">
        <v>703</v>
      </c>
      <c r="E154" s="248">
        <f t="shared" si="59"/>
        <v>252990</v>
      </c>
      <c r="F154" s="47">
        <v>252990</v>
      </c>
      <c r="G154" s="179"/>
      <c r="H154" s="179"/>
      <c r="I154" s="47"/>
      <c r="J154" s="557">
        <f t="shared" si="58"/>
        <v>0</v>
      </c>
      <c r="K154" s="47"/>
      <c r="L154" s="179"/>
      <c r="M154" s="179"/>
      <c r="N154" s="268">
        <f>O154</f>
        <v>0</v>
      </c>
      <c r="O154" s="567"/>
      <c r="P154" s="557">
        <f t="shared" si="65"/>
        <v>252990</v>
      </c>
    </row>
    <row r="155" spans="1:16" ht="91.5" x14ac:dyDescent="0.2">
      <c r="A155" s="556" t="s">
        <v>488</v>
      </c>
      <c r="B155" s="556" t="s">
        <v>489</v>
      </c>
      <c r="C155" s="556" t="s">
        <v>490</v>
      </c>
      <c r="D155" s="556" t="s">
        <v>487</v>
      </c>
      <c r="E155" s="248">
        <f t="shared" si="59"/>
        <v>1165188</v>
      </c>
      <c r="F155" s="47">
        <f>1050500+95000+19688</f>
        <v>1165188</v>
      </c>
      <c r="G155" s="179">
        <v>839900</v>
      </c>
      <c r="H155" s="179">
        <v>11500</v>
      </c>
      <c r="I155" s="47"/>
      <c r="J155" s="557">
        <f t="shared" si="58"/>
        <v>7400</v>
      </c>
      <c r="K155" s="47">
        <v>7400</v>
      </c>
      <c r="L155" s="179"/>
      <c r="M155" s="179"/>
      <c r="N155" s="268">
        <f>O155</f>
        <v>0</v>
      </c>
      <c r="O155" s="567"/>
      <c r="P155" s="557">
        <f t="shared" si="65"/>
        <v>1172588</v>
      </c>
    </row>
    <row r="156" spans="1:16" ht="315" x14ac:dyDescent="0.2">
      <c r="A156" s="568" t="s">
        <v>69</v>
      </c>
      <c r="B156" s="568"/>
      <c r="C156" s="568"/>
      <c r="D156" s="568" t="s">
        <v>1021</v>
      </c>
      <c r="E156" s="575">
        <f>E157</f>
        <v>0</v>
      </c>
      <c r="F156" s="575">
        <f t="shared" ref="F156:P156" si="66">F157</f>
        <v>0</v>
      </c>
      <c r="G156" s="575">
        <f t="shared" si="66"/>
        <v>0</v>
      </c>
      <c r="H156" s="575">
        <f t="shared" si="66"/>
        <v>0</v>
      </c>
      <c r="I156" s="575">
        <f t="shared" si="66"/>
        <v>0</v>
      </c>
      <c r="J156" s="575">
        <f t="shared" si="66"/>
        <v>94000000</v>
      </c>
      <c r="K156" s="575">
        <f t="shared" si="66"/>
        <v>0</v>
      </c>
      <c r="L156" s="575">
        <f t="shared" si="66"/>
        <v>0</v>
      </c>
      <c r="M156" s="575">
        <f t="shared" si="66"/>
        <v>0</v>
      </c>
      <c r="N156" s="575">
        <f t="shared" si="66"/>
        <v>94000000</v>
      </c>
      <c r="O156" s="574">
        <f>O157</f>
        <v>94000000</v>
      </c>
      <c r="P156" s="575">
        <f t="shared" si="66"/>
        <v>94000000</v>
      </c>
    </row>
    <row r="157" spans="1:16" ht="270" x14ac:dyDescent="0.2">
      <c r="A157" s="572" t="s">
        <v>70</v>
      </c>
      <c r="B157" s="572"/>
      <c r="C157" s="572"/>
      <c r="D157" s="572" t="s">
        <v>1022</v>
      </c>
      <c r="E157" s="574">
        <f>E158+E161+E162</f>
        <v>0</v>
      </c>
      <c r="F157" s="575">
        <f t="shared" ref="F157:I157" si="67">F158+F161+F162</f>
        <v>0</v>
      </c>
      <c r="G157" s="574">
        <f t="shared" si="67"/>
        <v>0</v>
      </c>
      <c r="H157" s="574">
        <f t="shared" si="67"/>
        <v>0</v>
      </c>
      <c r="I157" s="575">
        <f t="shared" si="67"/>
        <v>0</v>
      </c>
      <c r="J157" s="574">
        <f t="shared" ref="J157:J162" si="68">K157+N157</f>
        <v>94000000</v>
      </c>
      <c r="K157" s="575">
        <f t="shared" ref="K157:O157" si="69">K158+K161+K162</f>
        <v>0</v>
      </c>
      <c r="L157" s="574">
        <f t="shared" si="69"/>
        <v>0</v>
      </c>
      <c r="M157" s="574">
        <f t="shared" si="69"/>
        <v>0</v>
      </c>
      <c r="N157" s="575">
        <f t="shared" si="69"/>
        <v>94000000</v>
      </c>
      <c r="O157" s="574">
        <f t="shared" si="69"/>
        <v>94000000</v>
      </c>
      <c r="P157" s="574">
        <f t="shared" ref="P157" si="70">+J157+E157</f>
        <v>94000000</v>
      </c>
    </row>
    <row r="158" spans="1:16" ht="91.5" x14ac:dyDescent="0.2">
      <c r="A158" s="556" t="s">
        <v>599</v>
      </c>
      <c r="B158" s="556" t="s">
        <v>600</v>
      </c>
      <c r="C158" s="556"/>
      <c r="D158" s="556" t="s">
        <v>598</v>
      </c>
      <c r="E158" s="248">
        <f t="shared" ref="E158:E160" si="71">F158</f>
        <v>0</v>
      </c>
      <c r="F158" s="47">
        <f>F159+F160</f>
        <v>0</v>
      </c>
      <c r="G158" s="179">
        <f>G159+G160</f>
        <v>0</v>
      </c>
      <c r="H158" s="179">
        <f>H159+H160</f>
        <v>0</v>
      </c>
      <c r="I158" s="47">
        <f>I159+I160</f>
        <v>0</v>
      </c>
      <c r="J158" s="557">
        <f t="shared" si="68"/>
        <v>62478000</v>
      </c>
      <c r="K158" s="47">
        <f>K159+K160</f>
        <v>0</v>
      </c>
      <c r="L158" s="179">
        <f>L159+L160</f>
        <v>0</v>
      </c>
      <c r="M158" s="179">
        <f>M159+M160</f>
        <v>0</v>
      </c>
      <c r="N158" s="268">
        <f>N159+N160</f>
        <v>62478000</v>
      </c>
      <c r="O158" s="47">
        <f>O159+O160</f>
        <v>62478000</v>
      </c>
      <c r="P158" s="557">
        <f t="shared" ref="P158:P160" si="72">E158+J158</f>
        <v>62478000</v>
      </c>
    </row>
    <row r="159" spans="1:16" ht="91.5" x14ac:dyDescent="0.2">
      <c r="A159" s="553" t="s">
        <v>602</v>
      </c>
      <c r="B159" s="553" t="s">
        <v>603</v>
      </c>
      <c r="C159" s="553" t="s">
        <v>570</v>
      </c>
      <c r="D159" s="553" t="s">
        <v>601</v>
      </c>
      <c r="E159" s="551">
        <f t="shared" si="71"/>
        <v>0</v>
      </c>
      <c r="F159" s="551"/>
      <c r="G159" s="551"/>
      <c r="H159" s="551"/>
      <c r="I159" s="551"/>
      <c r="J159" s="551">
        <f t="shared" si="68"/>
        <v>54438000</v>
      </c>
      <c r="K159" s="551"/>
      <c r="L159" s="551"/>
      <c r="M159" s="551"/>
      <c r="N159" s="551">
        <f>O159</f>
        <v>54438000</v>
      </c>
      <c r="O159" s="567">
        <f>(35888000)+18550000</f>
        <v>54438000</v>
      </c>
      <c r="P159" s="551">
        <f t="shared" si="72"/>
        <v>54438000</v>
      </c>
    </row>
    <row r="160" spans="1:16" ht="137.25" x14ac:dyDescent="0.2">
      <c r="A160" s="553" t="s">
        <v>604</v>
      </c>
      <c r="B160" s="553" t="s">
        <v>605</v>
      </c>
      <c r="C160" s="553" t="s">
        <v>570</v>
      </c>
      <c r="D160" s="553" t="s">
        <v>606</v>
      </c>
      <c r="E160" s="551">
        <f t="shared" si="71"/>
        <v>0</v>
      </c>
      <c r="F160" s="551"/>
      <c r="G160" s="551"/>
      <c r="H160" s="551"/>
      <c r="I160" s="551"/>
      <c r="J160" s="551">
        <f t="shared" si="68"/>
        <v>8040000</v>
      </c>
      <c r="K160" s="551"/>
      <c r="L160" s="551"/>
      <c r="M160" s="551"/>
      <c r="N160" s="551">
        <f>O160</f>
        <v>8040000</v>
      </c>
      <c r="O160" s="551">
        <f>(5000000+510000)+480000-1000000+250000+5000000-2200000</f>
        <v>8040000</v>
      </c>
      <c r="P160" s="551">
        <f t="shared" si="72"/>
        <v>8040000</v>
      </c>
    </row>
    <row r="161" spans="1:16" ht="183" x14ac:dyDescent="0.2">
      <c r="A161" s="556" t="s">
        <v>608</v>
      </c>
      <c r="B161" s="556" t="s">
        <v>609</v>
      </c>
      <c r="C161" s="556" t="s">
        <v>570</v>
      </c>
      <c r="D161" s="556" t="s">
        <v>607</v>
      </c>
      <c r="E161" s="557">
        <f>F161</f>
        <v>0</v>
      </c>
      <c r="F161" s="551"/>
      <c r="G161" s="567"/>
      <c r="H161" s="567"/>
      <c r="I161" s="551"/>
      <c r="J161" s="557">
        <f t="shared" si="68"/>
        <v>31342000</v>
      </c>
      <c r="K161" s="551"/>
      <c r="L161" s="567"/>
      <c r="M161" s="567"/>
      <c r="N161" s="551">
        <f t="shared" ref="N161" si="73">O161</f>
        <v>31342000</v>
      </c>
      <c r="O161" s="333">
        <f>(14952000+360000)+15280000+1000000-250000</f>
        <v>31342000</v>
      </c>
      <c r="P161" s="557">
        <f>E161+J161</f>
        <v>31342000</v>
      </c>
    </row>
    <row r="162" spans="1:16" ht="91.5" x14ac:dyDescent="0.2">
      <c r="A162" s="556" t="s">
        <v>610</v>
      </c>
      <c r="B162" s="556" t="s">
        <v>373</v>
      </c>
      <c r="C162" s="556" t="s">
        <v>324</v>
      </c>
      <c r="D162" s="556" t="s">
        <v>89</v>
      </c>
      <c r="E162" s="248">
        <f t="shared" ref="E162" si="74">F162</f>
        <v>0</v>
      </c>
      <c r="F162" s="47"/>
      <c r="G162" s="179"/>
      <c r="H162" s="179"/>
      <c r="I162" s="47"/>
      <c r="J162" s="557">
        <f t="shared" si="68"/>
        <v>180000</v>
      </c>
      <c r="K162" s="47"/>
      <c r="L162" s="179"/>
      <c r="M162" s="179"/>
      <c r="N162" s="268">
        <f>O162</f>
        <v>180000</v>
      </c>
      <c r="O162" s="567">
        <v>180000</v>
      </c>
      <c r="P162" s="557">
        <f t="shared" ref="P162" si="75">E162+J162</f>
        <v>180000</v>
      </c>
    </row>
    <row r="163" spans="1:16" ht="270" x14ac:dyDescent="0.2">
      <c r="A163" s="568" t="s">
        <v>314</v>
      </c>
      <c r="B163" s="568"/>
      <c r="C163" s="568"/>
      <c r="D163" s="568" t="s">
        <v>71</v>
      </c>
      <c r="E163" s="575">
        <f>E164</f>
        <v>0</v>
      </c>
      <c r="F163" s="575">
        <f t="shared" ref="F163:P164" si="76">F164</f>
        <v>0</v>
      </c>
      <c r="G163" s="575">
        <f t="shared" si="76"/>
        <v>0</v>
      </c>
      <c r="H163" s="575">
        <f t="shared" si="76"/>
        <v>0</v>
      </c>
      <c r="I163" s="575">
        <f t="shared" si="76"/>
        <v>0</v>
      </c>
      <c r="J163" s="575">
        <f t="shared" si="76"/>
        <v>3306300</v>
      </c>
      <c r="K163" s="575">
        <f t="shared" si="76"/>
        <v>0</v>
      </c>
      <c r="L163" s="575">
        <f t="shared" si="76"/>
        <v>0</v>
      </c>
      <c r="M163" s="575">
        <f t="shared" si="76"/>
        <v>0</v>
      </c>
      <c r="N163" s="575">
        <f t="shared" si="76"/>
        <v>3306300</v>
      </c>
      <c r="O163" s="574">
        <f t="shared" si="76"/>
        <v>3306300</v>
      </c>
      <c r="P163" s="575">
        <f t="shared" si="76"/>
        <v>3306300</v>
      </c>
    </row>
    <row r="164" spans="1:16" ht="270" x14ac:dyDescent="0.2">
      <c r="A164" s="572" t="s">
        <v>315</v>
      </c>
      <c r="B164" s="572"/>
      <c r="C164" s="572"/>
      <c r="D164" s="572" t="s">
        <v>96</v>
      </c>
      <c r="E164" s="574">
        <f>E165</f>
        <v>0</v>
      </c>
      <c r="F164" s="575">
        <f>E164</f>
        <v>0</v>
      </c>
      <c r="G164" s="574">
        <f t="shared" si="76"/>
        <v>0</v>
      </c>
      <c r="H164" s="574">
        <f t="shared" si="76"/>
        <v>0</v>
      </c>
      <c r="I164" s="575">
        <f t="shared" si="76"/>
        <v>0</v>
      </c>
      <c r="J164" s="574">
        <f>K164+N164</f>
        <v>3306300</v>
      </c>
      <c r="K164" s="575">
        <f t="shared" si="76"/>
        <v>0</v>
      </c>
      <c r="L164" s="574">
        <f t="shared" si="76"/>
        <v>0</v>
      </c>
      <c r="M164" s="574">
        <f>M165</f>
        <v>0</v>
      </c>
      <c r="N164" s="575">
        <f>N165</f>
        <v>3306300</v>
      </c>
      <c r="O164" s="574">
        <f>O165</f>
        <v>3306300</v>
      </c>
      <c r="P164" s="574">
        <f>+J164+E164</f>
        <v>3306300</v>
      </c>
    </row>
    <row r="165" spans="1:16" ht="137.25" x14ac:dyDescent="0.2">
      <c r="A165" s="556" t="s">
        <v>580</v>
      </c>
      <c r="B165" s="556" t="s">
        <v>581</v>
      </c>
      <c r="C165" s="556" t="s">
        <v>570</v>
      </c>
      <c r="D165" s="556" t="s">
        <v>582</v>
      </c>
      <c r="E165" s="557">
        <f>F165</f>
        <v>0</v>
      </c>
      <c r="F165" s="551">
        <v>0</v>
      </c>
      <c r="G165" s="567"/>
      <c r="H165" s="567"/>
      <c r="I165" s="551"/>
      <c r="J165" s="557">
        <f>K165+N165</f>
        <v>3306300</v>
      </c>
      <c r="K165" s="551"/>
      <c r="L165" s="567"/>
      <c r="M165" s="567"/>
      <c r="N165" s="551">
        <f>O165</f>
        <v>3306300</v>
      </c>
      <c r="O165" s="567">
        <f>(780000)+2376000+150300</f>
        <v>3306300</v>
      </c>
      <c r="P165" s="557">
        <f>E165+J165</f>
        <v>3306300</v>
      </c>
    </row>
    <row r="166" spans="1:16" ht="135" x14ac:dyDescent="0.2">
      <c r="A166" s="568" t="s">
        <v>320</v>
      </c>
      <c r="B166" s="568"/>
      <c r="C166" s="568"/>
      <c r="D166" s="568" t="s">
        <v>764</v>
      </c>
      <c r="E166" s="575">
        <f>E167</f>
        <v>4970800</v>
      </c>
      <c r="F166" s="575">
        <f t="shared" ref="F166:P166" si="77">F167</f>
        <v>4970800</v>
      </c>
      <c r="G166" s="575">
        <f t="shared" si="77"/>
        <v>0</v>
      </c>
      <c r="H166" s="575">
        <f t="shared" si="77"/>
        <v>0</v>
      </c>
      <c r="I166" s="575">
        <f t="shared" si="77"/>
        <v>0</v>
      </c>
      <c r="J166" s="575">
        <f t="shared" si="77"/>
        <v>900000</v>
      </c>
      <c r="K166" s="575">
        <f t="shared" si="77"/>
        <v>0</v>
      </c>
      <c r="L166" s="575">
        <f t="shared" si="77"/>
        <v>0</v>
      </c>
      <c r="M166" s="575">
        <f t="shared" si="77"/>
        <v>0</v>
      </c>
      <c r="N166" s="575">
        <f t="shared" si="77"/>
        <v>900000</v>
      </c>
      <c r="O166" s="574">
        <f t="shared" si="77"/>
        <v>900000</v>
      </c>
      <c r="P166" s="575">
        <f t="shared" si="77"/>
        <v>5870800</v>
      </c>
    </row>
    <row r="167" spans="1:16" ht="135" x14ac:dyDescent="0.2">
      <c r="A167" s="572" t="s">
        <v>321</v>
      </c>
      <c r="B167" s="572"/>
      <c r="C167" s="572"/>
      <c r="D167" s="572" t="s">
        <v>765</v>
      </c>
      <c r="E167" s="574">
        <f>SUM(E168:E171)</f>
        <v>4970800</v>
      </c>
      <c r="F167" s="575">
        <f t="shared" ref="F167:I167" si="78">SUM(F168:F171)</f>
        <v>4970800</v>
      </c>
      <c r="G167" s="575">
        <f t="shared" si="78"/>
        <v>0</v>
      </c>
      <c r="H167" s="575">
        <f t="shared" si="78"/>
        <v>0</v>
      </c>
      <c r="I167" s="575">
        <f t="shared" si="78"/>
        <v>0</v>
      </c>
      <c r="J167" s="574">
        <f>K167+N167</f>
        <v>900000</v>
      </c>
      <c r="K167" s="575">
        <f>SUM(K168:K171)</f>
        <v>0</v>
      </c>
      <c r="L167" s="574">
        <f t="shared" ref="L167:M167" si="79">SUM(L168:L171)</f>
        <v>0</v>
      </c>
      <c r="M167" s="574">
        <f t="shared" si="79"/>
        <v>0</v>
      </c>
      <c r="N167" s="575">
        <f>SUM(N168:N171)</f>
        <v>900000</v>
      </c>
      <c r="O167" s="574">
        <f>SUM(O168:O171)</f>
        <v>900000</v>
      </c>
      <c r="P167" s="574">
        <f>E167+J167</f>
        <v>5870800</v>
      </c>
    </row>
    <row r="168" spans="1:16" ht="137.25" x14ac:dyDescent="0.2">
      <c r="A168" s="556" t="s">
        <v>755</v>
      </c>
      <c r="B168" s="556" t="s">
        <v>756</v>
      </c>
      <c r="C168" s="556" t="s">
        <v>324</v>
      </c>
      <c r="D168" s="556" t="s">
        <v>502</v>
      </c>
      <c r="E168" s="557">
        <f>F168</f>
        <v>0</v>
      </c>
      <c r="F168" s="551"/>
      <c r="G168" s="567"/>
      <c r="H168" s="567"/>
      <c r="I168" s="551"/>
      <c r="J168" s="557">
        <f>K168+N168</f>
        <v>500000</v>
      </c>
      <c r="K168" s="551"/>
      <c r="L168" s="567"/>
      <c r="M168" s="567"/>
      <c r="N168" s="551">
        <f>O168</f>
        <v>500000</v>
      </c>
      <c r="O168" s="567">
        <f>(1000000+200000)-700000</f>
        <v>500000</v>
      </c>
      <c r="P168" s="557">
        <f>E168+J168</f>
        <v>500000</v>
      </c>
    </row>
    <row r="169" spans="1:16" ht="91.5" x14ac:dyDescent="0.2">
      <c r="A169" s="556" t="s">
        <v>500</v>
      </c>
      <c r="B169" s="556" t="s">
        <v>501</v>
      </c>
      <c r="C169" s="556" t="s">
        <v>499</v>
      </c>
      <c r="D169" s="556" t="s">
        <v>498</v>
      </c>
      <c r="E169" s="557">
        <f t="shared" ref="E169:E172" si="80">F169</f>
        <v>2200000</v>
      </c>
      <c r="F169" s="551">
        <f>(1500000)+700000</f>
        <v>2200000</v>
      </c>
      <c r="G169" s="567"/>
      <c r="H169" s="567"/>
      <c r="I169" s="551"/>
      <c r="J169" s="557">
        <f t="shared" ref="J169:J172" si="81">K169+N169</f>
        <v>0</v>
      </c>
      <c r="K169" s="551"/>
      <c r="L169" s="567"/>
      <c r="M169" s="567"/>
      <c r="N169" s="551">
        <f t="shared" ref="N169:N172" si="82">O169</f>
        <v>0</v>
      </c>
      <c r="O169" s="567"/>
      <c r="P169" s="557">
        <f t="shared" ref="P169:P172" si="83">E169+J169</f>
        <v>2200000</v>
      </c>
    </row>
    <row r="170" spans="1:16" ht="137.25" x14ac:dyDescent="0.2">
      <c r="A170" s="556" t="s">
        <v>491</v>
      </c>
      <c r="B170" s="556" t="s">
        <v>493</v>
      </c>
      <c r="C170" s="556" t="s">
        <v>404</v>
      </c>
      <c r="D170" s="556" t="s">
        <v>492</v>
      </c>
      <c r="E170" s="557">
        <f t="shared" si="80"/>
        <v>475000</v>
      </c>
      <c r="F170" s="551">
        <v>475000</v>
      </c>
      <c r="G170" s="567"/>
      <c r="H170" s="567"/>
      <c r="I170" s="551"/>
      <c r="J170" s="557">
        <f t="shared" si="81"/>
        <v>0</v>
      </c>
      <c r="K170" s="551"/>
      <c r="L170" s="567"/>
      <c r="M170" s="567"/>
      <c r="N170" s="551">
        <f t="shared" si="82"/>
        <v>0</v>
      </c>
      <c r="O170" s="567"/>
      <c r="P170" s="557">
        <f t="shared" si="83"/>
        <v>475000</v>
      </c>
    </row>
    <row r="171" spans="1:16" ht="46.5" x14ac:dyDescent="0.2">
      <c r="A171" s="556" t="s">
        <v>495</v>
      </c>
      <c r="B171" s="556" t="s">
        <v>449</v>
      </c>
      <c r="C171" s="556" t="s">
        <v>324</v>
      </c>
      <c r="D171" s="556" t="s">
        <v>447</v>
      </c>
      <c r="E171" s="557">
        <f t="shared" si="80"/>
        <v>2295800</v>
      </c>
      <c r="F171" s="551">
        <f>SUM(F172:F172)</f>
        <v>2295800</v>
      </c>
      <c r="G171" s="567"/>
      <c r="H171" s="567"/>
      <c r="I171" s="551"/>
      <c r="J171" s="557">
        <f t="shared" si="81"/>
        <v>400000</v>
      </c>
      <c r="K171" s="551">
        <f>SUM(K172:K172)</f>
        <v>0</v>
      </c>
      <c r="L171" s="567"/>
      <c r="M171" s="567"/>
      <c r="N171" s="551">
        <f t="shared" si="82"/>
        <v>400000</v>
      </c>
      <c r="O171" s="567">
        <f>SUM(O172:O172)</f>
        <v>400000</v>
      </c>
      <c r="P171" s="557">
        <f t="shared" si="83"/>
        <v>2695800</v>
      </c>
    </row>
    <row r="172" spans="1:16" ht="91.5" x14ac:dyDescent="0.2">
      <c r="A172" s="553" t="s">
        <v>496</v>
      </c>
      <c r="B172" s="553" t="s">
        <v>497</v>
      </c>
      <c r="C172" s="553" t="s">
        <v>324</v>
      </c>
      <c r="D172" s="553" t="s">
        <v>494</v>
      </c>
      <c r="E172" s="551">
        <f t="shared" si="80"/>
        <v>2295800</v>
      </c>
      <c r="F172" s="551">
        <f>(4195800-1965302-34698)+100000</f>
        <v>2295800</v>
      </c>
      <c r="G172" s="551"/>
      <c r="H172" s="551"/>
      <c r="I172" s="551"/>
      <c r="J172" s="551">
        <f t="shared" si="81"/>
        <v>400000</v>
      </c>
      <c r="K172" s="551"/>
      <c r="L172" s="551"/>
      <c r="M172" s="551"/>
      <c r="N172" s="551">
        <f t="shared" si="82"/>
        <v>400000</v>
      </c>
      <c r="O172" s="551">
        <f>(0)+400000</f>
        <v>400000</v>
      </c>
      <c r="P172" s="551">
        <f t="shared" si="83"/>
        <v>2695800</v>
      </c>
    </row>
    <row r="173" spans="1:16" ht="180" x14ac:dyDescent="0.2">
      <c r="A173" s="568" t="s">
        <v>318</v>
      </c>
      <c r="B173" s="568"/>
      <c r="C173" s="568"/>
      <c r="D173" s="568" t="s">
        <v>72</v>
      </c>
      <c r="E173" s="575">
        <f>E174</f>
        <v>0</v>
      </c>
      <c r="F173" s="575">
        <f t="shared" ref="F173:P173" si="84">F174</f>
        <v>0</v>
      </c>
      <c r="G173" s="575">
        <f t="shared" si="84"/>
        <v>0</v>
      </c>
      <c r="H173" s="575">
        <f t="shared" si="84"/>
        <v>0</v>
      </c>
      <c r="I173" s="575">
        <f t="shared" si="84"/>
        <v>0</v>
      </c>
      <c r="J173" s="575">
        <f t="shared" si="84"/>
        <v>1271148.6600000001</v>
      </c>
      <c r="K173" s="575">
        <f t="shared" si="84"/>
        <v>0</v>
      </c>
      <c r="L173" s="575">
        <f t="shared" si="84"/>
        <v>0</v>
      </c>
      <c r="M173" s="575">
        <f t="shared" si="84"/>
        <v>0</v>
      </c>
      <c r="N173" s="575">
        <f t="shared" si="84"/>
        <v>1271148.6600000001</v>
      </c>
      <c r="O173" s="574">
        <f t="shared" si="84"/>
        <v>0</v>
      </c>
      <c r="P173" s="575">
        <f t="shared" si="84"/>
        <v>1271148.6600000001</v>
      </c>
    </row>
    <row r="174" spans="1:16" ht="180" x14ac:dyDescent="0.2">
      <c r="A174" s="572" t="s">
        <v>319</v>
      </c>
      <c r="B174" s="572"/>
      <c r="C174" s="572"/>
      <c r="D174" s="572" t="s">
        <v>97</v>
      </c>
      <c r="E174" s="574">
        <v>0</v>
      </c>
      <c r="F174" s="575">
        <f>F178+F179+F175</f>
        <v>0</v>
      </c>
      <c r="G174" s="574">
        <f>G178+G179+G175</f>
        <v>0</v>
      </c>
      <c r="H174" s="574">
        <f>H178+H179+H175</f>
        <v>0</v>
      </c>
      <c r="I174" s="575">
        <f>I178+I179+I175</f>
        <v>0</v>
      </c>
      <c r="J174" s="574">
        <f>K174+N174</f>
        <v>1271148.6600000001</v>
      </c>
      <c r="K174" s="575">
        <f>K178+K179+K175</f>
        <v>0</v>
      </c>
      <c r="L174" s="574">
        <f>L178+L179+L175</f>
        <v>0</v>
      </c>
      <c r="M174" s="574">
        <f>M178+M179+M175</f>
        <v>0</v>
      </c>
      <c r="N174" s="575">
        <f>N178+N179+N175</f>
        <v>1271148.6600000001</v>
      </c>
      <c r="O174" s="574">
        <f>O178+O179+O175</f>
        <v>0</v>
      </c>
      <c r="P174" s="574">
        <f>E174+J174</f>
        <v>1271148.6600000001</v>
      </c>
    </row>
    <row r="175" spans="1:16" ht="137.25" x14ac:dyDescent="0.2">
      <c r="A175" s="556" t="s">
        <v>583</v>
      </c>
      <c r="B175" s="556" t="s">
        <v>584</v>
      </c>
      <c r="C175" s="556"/>
      <c r="D175" s="556" t="s">
        <v>585</v>
      </c>
      <c r="E175" s="248">
        <f t="shared" ref="E175:E177" si="85">F175</f>
        <v>0</v>
      </c>
      <c r="F175" s="47">
        <f>F176+F177</f>
        <v>0</v>
      </c>
      <c r="G175" s="179">
        <f>G176+G177</f>
        <v>0</v>
      </c>
      <c r="H175" s="179">
        <f>H176+H177</f>
        <v>0</v>
      </c>
      <c r="I175" s="47">
        <f>I176+I177</f>
        <v>0</v>
      </c>
      <c r="J175" s="557">
        <f t="shared" ref="J175:J177" si="86">K175+N175</f>
        <v>937148.66</v>
      </c>
      <c r="K175" s="47">
        <f>K176+K177</f>
        <v>0</v>
      </c>
      <c r="L175" s="179">
        <f>L176+L177</f>
        <v>0</v>
      </c>
      <c r="M175" s="179">
        <f>M176+M177</f>
        <v>0</v>
      </c>
      <c r="N175" s="268">
        <f>N176+N177</f>
        <v>937148.66</v>
      </c>
      <c r="O175" s="47">
        <f>O176+O177</f>
        <v>0</v>
      </c>
      <c r="P175" s="557">
        <f t="shared" ref="P175:P177" si="87">E175+J175</f>
        <v>937148.66</v>
      </c>
    </row>
    <row r="176" spans="1:16" ht="137.25" x14ac:dyDescent="0.2">
      <c r="A176" s="553" t="s">
        <v>586</v>
      </c>
      <c r="B176" s="553" t="s">
        <v>587</v>
      </c>
      <c r="C176" s="553" t="s">
        <v>119</v>
      </c>
      <c r="D176" s="553" t="s">
        <v>120</v>
      </c>
      <c r="E176" s="551">
        <f t="shared" si="85"/>
        <v>0</v>
      </c>
      <c r="F176" s="551"/>
      <c r="G176" s="551"/>
      <c r="H176" s="551"/>
      <c r="I176" s="551"/>
      <c r="J176" s="551">
        <f t="shared" si="86"/>
        <v>629148.66</v>
      </c>
      <c r="K176" s="551"/>
      <c r="L176" s="551"/>
      <c r="M176" s="551"/>
      <c r="N176" s="551">
        <f>(O176+276000)+68148.66+285000</f>
        <v>629148.66</v>
      </c>
      <c r="O176" s="567"/>
      <c r="P176" s="551">
        <f t="shared" si="87"/>
        <v>629148.66</v>
      </c>
    </row>
    <row r="177" spans="1:17" ht="46.5" x14ac:dyDescent="0.2">
      <c r="A177" s="553" t="s">
        <v>588</v>
      </c>
      <c r="B177" s="553" t="s">
        <v>589</v>
      </c>
      <c r="C177" s="553" t="s">
        <v>121</v>
      </c>
      <c r="D177" s="553" t="s">
        <v>590</v>
      </c>
      <c r="E177" s="551">
        <f t="shared" si="85"/>
        <v>0</v>
      </c>
      <c r="F177" s="551"/>
      <c r="G177" s="551"/>
      <c r="H177" s="551"/>
      <c r="I177" s="551"/>
      <c r="J177" s="551">
        <f t="shared" si="86"/>
        <v>308000</v>
      </c>
      <c r="K177" s="551"/>
      <c r="L177" s="551"/>
      <c r="M177" s="551"/>
      <c r="N177" s="551">
        <f>(O177+70000)+238000</f>
        <v>308000</v>
      </c>
      <c r="O177" s="551"/>
      <c r="P177" s="551">
        <f t="shared" si="87"/>
        <v>308000</v>
      </c>
    </row>
    <row r="178" spans="1:17" ht="91.5" x14ac:dyDescent="0.2">
      <c r="A178" s="556" t="s">
        <v>591</v>
      </c>
      <c r="B178" s="556" t="s">
        <v>592</v>
      </c>
      <c r="C178" s="556" t="s">
        <v>123</v>
      </c>
      <c r="D178" s="556" t="s">
        <v>130</v>
      </c>
      <c r="E178" s="557">
        <v>0</v>
      </c>
      <c r="F178" s="551"/>
      <c r="G178" s="567"/>
      <c r="H178" s="567"/>
      <c r="I178" s="551"/>
      <c r="J178" s="557">
        <f>K178+N178</f>
        <v>125000</v>
      </c>
      <c r="K178" s="551"/>
      <c r="L178" s="567"/>
      <c r="M178" s="567"/>
      <c r="N178" s="268">
        <f>(O178+40000)+85000</f>
        <v>125000</v>
      </c>
      <c r="O178" s="567"/>
      <c r="P178" s="557">
        <f>E178+J178</f>
        <v>125000</v>
      </c>
    </row>
    <row r="179" spans="1:17" ht="91.5" x14ac:dyDescent="0.2">
      <c r="A179" s="556" t="s">
        <v>593</v>
      </c>
      <c r="B179" s="556" t="s">
        <v>594</v>
      </c>
      <c r="C179" s="556" t="s">
        <v>122</v>
      </c>
      <c r="D179" s="556" t="s">
        <v>595</v>
      </c>
      <c r="E179" s="557">
        <v>0</v>
      </c>
      <c r="F179" s="551"/>
      <c r="G179" s="567"/>
      <c r="H179" s="567"/>
      <c r="I179" s="551"/>
      <c r="J179" s="557">
        <f>K179+N179</f>
        <v>209000</v>
      </c>
      <c r="K179" s="551"/>
      <c r="L179" s="567"/>
      <c r="M179" s="567"/>
      <c r="N179" s="268">
        <f>(O179+179000)+30000</f>
        <v>209000</v>
      </c>
      <c r="O179" s="567"/>
      <c r="P179" s="557">
        <f>E179+J179</f>
        <v>209000</v>
      </c>
    </row>
    <row r="180" spans="1:17" ht="315" x14ac:dyDescent="0.2">
      <c r="A180" s="568" t="s">
        <v>316</v>
      </c>
      <c r="B180" s="568"/>
      <c r="C180" s="568"/>
      <c r="D180" s="568" t="s">
        <v>766</v>
      </c>
      <c r="E180" s="575">
        <f>E181</f>
        <v>0</v>
      </c>
      <c r="F180" s="575">
        <f t="shared" ref="F180:P180" si="88">F181</f>
        <v>0</v>
      </c>
      <c r="G180" s="575">
        <f t="shared" si="88"/>
        <v>0</v>
      </c>
      <c r="H180" s="575">
        <f t="shared" si="88"/>
        <v>0</v>
      </c>
      <c r="I180" s="575">
        <f t="shared" si="88"/>
        <v>0</v>
      </c>
      <c r="J180" s="575">
        <f t="shared" si="88"/>
        <v>1705000</v>
      </c>
      <c r="K180" s="575">
        <f t="shared" si="88"/>
        <v>0</v>
      </c>
      <c r="L180" s="575">
        <f t="shared" si="88"/>
        <v>0</v>
      </c>
      <c r="M180" s="575">
        <f t="shared" si="88"/>
        <v>0</v>
      </c>
      <c r="N180" s="575">
        <f t="shared" si="88"/>
        <v>1705000</v>
      </c>
      <c r="O180" s="574">
        <f t="shared" si="88"/>
        <v>1705000</v>
      </c>
      <c r="P180" s="575">
        <f t="shared" si="88"/>
        <v>1705000</v>
      </c>
    </row>
    <row r="181" spans="1:17" ht="315" x14ac:dyDescent="0.2">
      <c r="A181" s="572" t="s">
        <v>317</v>
      </c>
      <c r="B181" s="572"/>
      <c r="C181" s="572"/>
      <c r="D181" s="572" t="s">
        <v>767</v>
      </c>
      <c r="E181" s="574">
        <f>E182+E183</f>
        <v>0</v>
      </c>
      <c r="F181" s="575">
        <f>F182+F183</f>
        <v>0</v>
      </c>
      <c r="G181" s="574">
        <f>G182+G183</f>
        <v>0</v>
      </c>
      <c r="H181" s="574">
        <f>H182+H183</f>
        <v>0</v>
      </c>
      <c r="I181" s="575">
        <f>I182+I183</f>
        <v>0</v>
      </c>
      <c r="J181" s="574">
        <f>K181+N181</f>
        <v>1705000</v>
      </c>
      <c r="K181" s="575">
        <f>K182+K183</f>
        <v>0</v>
      </c>
      <c r="L181" s="574">
        <f>L182+L183</f>
        <v>0</v>
      </c>
      <c r="M181" s="574">
        <f>M182+M183</f>
        <v>0</v>
      </c>
      <c r="N181" s="575">
        <f>O181</f>
        <v>1705000</v>
      </c>
      <c r="O181" s="574">
        <f>O182+O183</f>
        <v>1705000</v>
      </c>
      <c r="P181" s="574">
        <f>+J181+E181</f>
        <v>1705000</v>
      </c>
    </row>
    <row r="182" spans="1:17" ht="91.5" x14ac:dyDescent="0.2">
      <c r="A182" s="556" t="s">
        <v>577</v>
      </c>
      <c r="B182" s="556" t="s">
        <v>578</v>
      </c>
      <c r="C182" s="556" t="s">
        <v>579</v>
      </c>
      <c r="D182" s="556" t="s">
        <v>576</v>
      </c>
      <c r="E182" s="557">
        <f>F182</f>
        <v>0</v>
      </c>
      <c r="F182" s="551">
        <v>0</v>
      </c>
      <c r="G182" s="567"/>
      <c r="H182" s="567"/>
      <c r="I182" s="551"/>
      <c r="J182" s="557">
        <f>K182+N182</f>
        <v>1653000</v>
      </c>
      <c r="K182" s="551"/>
      <c r="L182" s="567"/>
      <c r="M182" s="567"/>
      <c r="N182" s="551">
        <f>O182</f>
        <v>1653000</v>
      </c>
      <c r="O182" s="567">
        <f>(300000)-52000+1405000</f>
        <v>1653000</v>
      </c>
      <c r="P182" s="557">
        <f>E182+J182</f>
        <v>1653000</v>
      </c>
    </row>
    <row r="183" spans="1:17" ht="137.25" x14ac:dyDescent="0.2">
      <c r="A183" s="556" t="s">
        <v>839</v>
      </c>
      <c r="B183" s="556" t="s">
        <v>840</v>
      </c>
      <c r="C183" s="556" t="s">
        <v>324</v>
      </c>
      <c r="D183" s="556" t="s">
        <v>841</v>
      </c>
      <c r="E183" s="557">
        <f>F183</f>
        <v>0</v>
      </c>
      <c r="F183" s="551">
        <v>0</v>
      </c>
      <c r="G183" s="567"/>
      <c r="H183" s="567"/>
      <c r="I183" s="551"/>
      <c r="J183" s="557">
        <f>K183+N183</f>
        <v>52000</v>
      </c>
      <c r="K183" s="551"/>
      <c r="L183" s="567"/>
      <c r="M183" s="567"/>
      <c r="N183" s="551">
        <f>O183</f>
        <v>52000</v>
      </c>
      <c r="O183" s="567">
        <v>52000</v>
      </c>
      <c r="P183" s="557">
        <f>E183+J183</f>
        <v>52000</v>
      </c>
    </row>
    <row r="184" spans="1:17" ht="135" x14ac:dyDescent="0.2">
      <c r="A184" s="568" t="s">
        <v>322</v>
      </c>
      <c r="B184" s="568"/>
      <c r="C184" s="568"/>
      <c r="D184" s="568" t="s">
        <v>74</v>
      </c>
      <c r="E184" s="575">
        <f>E185</f>
        <v>30259414.259999998</v>
      </c>
      <c r="F184" s="575">
        <f t="shared" ref="F184:P184" si="89">F185</f>
        <v>30259414.259999998</v>
      </c>
      <c r="G184" s="575">
        <f t="shared" si="89"/>
        <v>0</v>
      </c>
      <c r="H184" s="575">
        <f t="shared" si="89"/>
        <v>0</v>
      </c>
      <c r="I184" s="575">
        <f t="shared" si="89"/>
        <v>0</v>
      </c>
      <c r="J184" s="575">
        <f t="shared" si="89"/>
        <v>0</v>
      </c>
      <c r="K184" s="575">
        <f t="shared" si="89"/>
        <v>0</v>
      </c>
      <c r="L184" s="575">
        <f t="shared" si="89"/>
        <v>0</v>
      </c>
      <c r="M184" s="575">
        <f t="shared" si="89"/>
        <v>0</v>
      </c>
      <c r="N184" s="575">
        <f t="shared" si="89"/>
        <v>0</v>
      </c>
      <c r="O184" s="574">
        <f t="shared" si="89"/>
        <v>0</v>
      </c>
      <c r="P184" s="575">
        <f t="shared" si="89"/>
        <v>30259414.259999998</v>
      </c>
    </row>
    <row r="185" spans="1:17" ht="135" x14ac:dyDescent="0.2">
      <c r="A185" s="572" t="s">
        <v>323</v>
      </c>
      <c r="B185" s="572"/>
      <c r="C185" s="572"/>
      <c r="D185" s="572" t="s">
        <v>98</v>
      </c>
      <c r="E185" s="574">
        <f>E186+E187+E188</f>
        <v>30259414.259999998</v>
      </c>
      <c r="F185" s="575">
        <f>F186+F187+F188</f>
        <v>30259414.259999998</v>
      </c>
      <c r="G185" s="574">
        <f>SUM(G186:G188)</f>
        <v>0</v>
      </c>
      <c r="H185" s="574">
        <f>SUM(H186:H188)</f>
        <v>0</v>
      </c>
      <c r="I185" s="575">
        <v>0</v>
      </c>
      <c r="J185" s="574">
        <f>K185+N185</f>
        <v>0</v>
      </c>
      <c r="K185" s="575">
        <f>SUM(K186:K187)</f>
        <v>0</v>
      </c>
      <c r="L185" s="574">
        <f>SUM(L186:L188)</f>
        <v>0</v>
      </c>
      <c r="M185" s="574">
        <f>SUM(M186:M188)</f>
        <v>0</v>
      </c>
      <c r="N185" s="575">
        <f>SUM(N186:N187)</f>
        <v>0</v>
      </c>
      <c r="O185" s="574">
        <f>SUM(O186:O187)</f>
        <v>0</v>
      </c>
      <c r="P185" s="574">
        <f>E185+J185</f>
        <v>30259414.259999998</v>
      </c>
    </row>
    <row r="186" spans="1:17" ht="46.5" x14ac:dyDescent="0.2">
      <c r="A186" s="335">
        <v>3718700</v>
      </c>
      <c r="B186" s="335">
        <v>8700</v>
      </c>
      <c r="C186" s="556" t="s">
        <v>102</v>
      </c>
      <c r="D186" s="309" t="s">
        <v>100</v>
      </c>
      <c r="E186" s="557">
        <f>F186</f>
        <v>1870999</v>
      </c>
      <c r="F186" s="551">
        <f>(3000000+1200000+1500000-700000-1969600-1109401)-50000</f>
        <v>1870999</v>
      </c>
      <c r="G186" s="567"/>
      <c r="H186" s="567"/>
      <c r="I186" s="551"/>
      <c r="J186" s="557">
        <f>K186+N186</f>
        <v>0</v>
      </c>
      <c r="K186" s="551"/>
      <c r="L186" s="567"/>
      <c r="M186" s="567"/>
      <c r="N186" s="551"/>
      <c r="O186" s="567"/>
      <c r="P186" s="557">
        <f>E186+J186</f>
        <v>1870999</v>
      </c>
    </row>
    <row r="187" spans="1:17" ht="91.5" x14ac:dyDescent="0.2">
      <c r="A187" s="335">
        <v>3718600</v>
      </c>
      <c r="B187" s="335">
        <v>8600</v>
      </c>
      <c r="C187" s="556" t="s">
        <v>781</v>
      </c>
      <c r="D187" s="558" t="s">
        <v>782</v>
      </c>
      <c r="E187" s="557">
        <f>F187</f>
        <v>281515.26</v>
      </c>
      <c r="F187" s="551">
        <v>281515.26</v>
      </c>
      <c r="G187" s="567"/>
      <c r="H187" s="567"/>
      <c r="I187" s="551"/>
      <c r="J187" s="557">
        <f t="shared" ref="J187" si="90">K187+N187</f>
        <v>0</v>
      </c>
      <c r="K187" s="551"/>
      <c r="L187" s="567"/>
      <c r="M187" s="567"/>
      <c r="N187" s="551"/>
      <c r="O187" s="567"/>
      <c r="P187" s="557">
        <f>E187+J187</f>
        <v>281515.26</v>
      </c>
    </row>
    <row r="188" spans="1:17" ht="46.5" x14ac:dyDescent="0.2">
      <c r="A188" s="335">
        <v>3719110</v>
      </c>
      <c r="B188" s="335">
        <v>9110</v>
      </c>
      <c r="C188" s="556" t="s">
        <v>103</v>
      </c>
      <c r="D188" s="309" t="s">
        <v>101</v>
      </c>
      <c r="E188" s="557">
        <f>F188</f>
        <v>28106900</v>
      </c>
      <c r="F188" s="551">
        <v>28106900</v>
      </c>
      <c r="G188" s="567"/>
      <c r="H188" s="567"/>
      <c r="I188" s="551"/>
      <c r="J188" s="557">
        <f>K188+N188</f>
        <v>0</v>
      </c>
      <c r="K188" s="551"/>
      <c r="L188" s="567"/>
      <c r="M188" s="567"/>
      <c r="N188" s="551"/>
      <c r="O188" s="567"/>
      <c r="P188" s="557">
        <f>E188+J188</f>
        <v>28106900</v>
      </c>
    </row>
    <row r="189" spans="1:17" s="5" customFormat="1" ht="45.75" x14ac:dyDescent="0.55000000000000004">
      <c r="A189" s="742" t="s">
        <v>8</v>
      </c>
      <c r="B189" s="742"/>
      <c r="C189" s="742"/>
      <c r="D189" s="742"/>
      <c r="E189" s="584">
        <f>E13+E27+E116+E41+E56+E104+E138+E157+E164+E185+E167+E174+E181</f>
        <v>2663108517.2600002</v>
      </c>
      <c r="F189" s="585">
        <f>F13+F27+F116+F41+F55+F104+F138+F157+F164+F185+F167+F174+F181</f>
        <v>2663108517.2600002</v>
      </c>
      <c r="G189" s="584">
        <f t="shared" ref="G189:O189" si="91">G13+G27+G116+G41+G56+G104+G138+G157+G164+G185+G167+G174+G181</f>
        <v>736786598</v>
      </c>
      <c r="H189" s="584">
        <f t="shared" si="91"/>
        <v>97864688</v>
      </c>
      <c r="I189" s="585">
        <f t="shared" si="91"/>
        <v>0</v>
      </c>
      <c r="J189" s="584">
        <f t="shared" si="91"/>
        <v>540407383.68999994</v>
      </c>
      <c r="K189" s="585">
        <f t="shared" si="91"/>
        <v>113717167.62</v>
      </c>
      <c r="L189" s="584">
        <f t="shared" si="91"/>
        <v>27261672</v>
      </c>
      <c r="M189" s="584">
        <f t="shared" si="91"/>
        <v>6634600</v>
      </c>
      <c r="N189" s="585">
        <f t="shared" si="91"/>
        <v>426690216.06999999</v>
      </c>
      <c r="O189" s="584">
        <f t="shared" si="91"/>
        <v>421644884.31999999</v>
      </c>
      <c r="P189" s="584">
        <f>P13+P27+P116+P41+P55+P104+P138+P157+P164+P185+P167+P174+P181</f>
        <v>3203515900.9499998</v>
      </c>
      <c r="Q189" s="182" t="b">
        <f>O189=[1]dod5!J211</f>
        <v>1</v>
      </c>
    </row>
    <row r="190" spans="1:17" ht="31.5" customHeight="1" x14ac:dyDescent="0.2">
      <c r="A190" s="732" t="s">
        <v>574</v>
      </c>
      <c r="B190" s="733"/>
      <c r="C190" s="733"/>
      <c r="D190" s="733"/>
      <c r="E190" s="733"/>
      <c r="F190" s="733"/>
      <c r="G190" s="733"/>
      <c r="H190" s="733"/>
      <c r="I190" s="733"/>
      <c r="J190" s="733"/>
      <c r="K190" s="733"/>
      <c r="L190" s="733"/>
      <c r="M190" s="733"/>
      <c r="N190" s="733"/>
      <c r="O190" s="733"/>
      <c r="P190" s="733"/>
      <c r="Q190" s="24"/>
    </row>
    <row r="191" spans="1:17" ht="31.5" customHeight="1" x14ac:dyDescent="0.2">
      <c r="A191" s="198"/>
      <c r="B191" s="199"/>
      <c r="C191" s="199"/>
      <c r="D191" s="199"/>
      <c r="E191" s="199"/>
      <c r="F191" s="200"/>
      <c r="G191" s="199"/>
      <c r="H191" s="199"/>
      <c r="I191" s="200"/>
      <c r="J191" s="199"/>
      <c r="K191" s="200"/>
      <c r="L191" s="199"/>
      <c r="M191" s="199"/>
      <c r="N191" s="200"/>
      <c r="O191" s="199"/>
      <c r="P191" s="199"/>
      <c r="Q191" s="24"/>
    </row>
    <row r="192" spans="1:17" ht="61.5" customHeight="1" x14ac:dyDescent="0.65">
      <c r="A192" s="564"/>
      <c r="B192" s="564"/>
      <c r="C192" s="564"/>
      <c r="D192" s="734" t="s">
        <v>290</v>
      </c>
      <c r="E192" s="734"/>
      <c r="F192" s="734"/>
      <c r="G192" s="734"/>
      <c r="H192" s="734"/>
      <c r="I192" s="734"/>
      <c r="J192" s="734"/>
      <c r="K192" s="734"/>
      <c r="L192" s="734"/>
      <c r="M192" s="734"/>
      <c r="N192" s="734"/>
      <c r="O192" s="734"/>
      <c r="P192" s="734"/>
      <c r="Q192" s="25"/>
    </row>
    <row r="193" spans="1:17" ht="45.75" x14ac:dyDescent="0.2">
      <c r="E193" s="57"/>
      <c r="F193" s="12"/>
      <c r="J193" s="10"/>
      <c r="N193" s="52"/>
      <c r="O193" s="56"/>
      <c r="P193" s="48"/>
    </row>
    <row r="194" spans="1:17" ht="45" x14ac:dyDescent="0.55000000000000004">
      <c r="D194" s="7"/>
      <c r="E194" s="51"/>
      <c r="F194" s="230"/>
      <c r="H194" s="7"/>
      <c r="I194" s="205"/>
      <c r="J194" s="51"/>
      <c r="N194" s="205"/>
      <c r="O194" s="51"/>
      <c r="P194" s="51"/>
      <c r="Q194" s="26"/>
    </row>
    <row r="195" spans="1:17" x14ac:dyDescent="0.2">
      <c r="E195" s="8"/>
      <c r="F195" s="12"/>
      <c r="J195" s="8"/>
      <c r="O195" s="6"/>
    </row>
    <row r="196" spans="1:17" x14ac:dyDescent="0.2">
      <c r="E196" s="8"/>
      <c r="F196" s="12"/>
      <c r="J196" s="8"/>
    </row>
    <row r="197" spans="1:17" ht="45.75" x14ac:dyDescent="0.55000000000000004">
      <c r="E197" s="48"/>
      <c r="F197" s="50"/>
      <c r="G197" s="6"/>
      <c r="I197" s="202"/>
      <c r="J197" s="187"/>
      <c r="K197" s="202"/>
      <c r="L197" s="186"/>
      <c r="M197" s="186"/>
      <c r="N197" s="206"/>
      <c r="O197" s="188"/>
      <c r="P197" s="182" t="b">
        <f>E189+J189=P189</f>
        <v>1</v>
      </c>
    </row>
    <row r="198" spans="1:17" ht="13.5" x14ac:dyDescent="0.2">
      <c r="E198" s="11"/>
      <c r="F198" s="14"/>
      <c r="G198" s="4"/>
      <c r="H198" s="4"/>
      <c r="I198" s="4"/>
      <c r="J198" s="8"/>
    </row>
    <row r="199" spans="1:17" ht="45.75" x14ac:dyDescent="0.55000000000000004">
      <c r="A199"/>
      <c r="B199"/>
      <c r="C199"/>
      <c r="D199"/>
      <c r="E199" s="182" t="b">
        <f>E189=F189</f>
        <v>1</v>
      </c>
      <c r="F199" s="52">
        <f>F186/P189*100</f>
        <v>5.8404548560072919E-2</v>
      </c>
      <c r="G199" s="218" t="s">
        <v>650</v>
      </c>
      <c r="J199" s="586"/>
      <c r="K199" s="203"/>
      <c r="L199"/>
      <c r="M199"/>
      <c r="N199" s="203"/>
      <c r="O199"/>
      <c r="P199"/>
    </row>
    <row r="200" spans="1:17" ht="60.75" x14ac:dyDescent="0.2">
      <c r="E200" s="53"/>
      <c r="G200" s="55"/>
      <c r="P200" s="196"/>
      <c r="Q200" s="197"/>
    </row>
    <row r="201" spans="1:17" ht="60.75" x14ac:dyDescent="0.2">
      <c r="A201"/>
      <c r="B201"/>
      <c r="C201"/>
      <c r="D201"/>
      <c r="E201" s="51"/>
      <c r="F201" s="52"/>
      <c r="G201" s="6"/>
      <c r="J201" s="8"/>
      <c r="K201" s="203"/>
      <c r="L201"/>
      <c r="M201"/>
      <c r="N201" s="203"/>
      <c r="O201"/>
      <c r="P201" s="196"/>
      <c r="Q201" s="197"/>
    </row>
    <row r="202" spans="1:17" ht="60.75" x14ac:dyDescent="0.2">
      <c r="E202" s="53"/>
      <c r="F202" s="54"/>
      <c r="P202" s="196"/>
    </row>
    <row r="203" spans="1:17" ht="60.75" x14ac:dyDescent="0.2">
      <c r="A203"/>
      <c r="B203"/>
      <c r="C203"/>
      <c r="D203"/>
      <c r="E203" s="51"/>
      <c r="F203" s="52"/>
      <c r="G203" s="6"/>
      <c r="J203" s="8"/>
      <c r="K203" s="203"/>
      <c r="L203"/>
      <c r="M203"/>
      <c r="N203" s="203"/>
      <c r="O203"/>
      <c r="P203" s="196"/>
    </row>
    <row r="204" spans="1:17" ht="45.75" x14ac:dyDescent="0.2">
      <c r="A204"/>
      <c r="B204"/>
      <c r="C204"/>
      <c r="D204"/>
      <c r="E204" s="51"/>
      <c r="F204" s="52"/>
      <c r="J204" s="8"/>
      <c r="K204" s="203"/>
      <c r="L204"/>
      <c r="M204"/>
      <c r="N204" s="203"/>
      <c r="O204"/>
      <c r="P204"/>
    </row>
    <row r="205" spans="1:17" ht="45.75" x14ac:dyDescent="0.2">
      <c r="E205" s="53"/>
      <c r="F205" s="54"/>
    </row>
    <row r="206" spans="1:17" ht="45.75" x14ac:dyDescent="0.2">
      <c r="A206"/>
      <c r="B206"/>
      <c r="C206"/>
      <c r="D206"/>
      <c r="E206" s="51"/>
      <c r="F206" s="52"/>
      <c r="K206" s="203"/>
      <c r="L206"/>
      <c r="M206"/>
      <c r="N206" s="203"/>
      <c r="O206"/>
      <c r="P206"/>
    </row>
    <row r="207" spans="1:17" ht="45.75" x14ac:dyDescent="0.2">
      <c r="E207" s="53"/>
      <c r="F207" s="54"/>
    </row>
    <row r="208" spans="1:17" ht="45.75" x14ac:dyDescent="0.2">
      <c r="E208" s="53"/>
      <c r="F208" s="54"/>
    </row>
    <row r="209" spans="1:16" ht="45.75" x14ac:dyDescent="0.2">
      <c r="E209" s="53"/>
      <c r="F209" s="54"/>
    </row>
    <row r="210" spans="1:16" ht="45.75" x14ac:dyDescent="0.2">
      <c r="A210"/>
      <c r="B210"/>
      <c r="C210"/>
      <c r="D210"/>
      <c r="E210" s="53"/>
      <c r="F210" s="54"/>
      <c r="G210"/>
      <c r="H210"/>
      <c r="I210" s="203"/>
      <c r="J210"/>
      <c r="K210" s="203"/>
      <c r="L210"/>
      <c r="M210"/>
      <c r="N210" s="203"/>
      <c r="O210"/>
      <c r="P210"/>
    </row>
    <row r="211" spans="1:16" ht="45.75" x14ac:dyDescent="0.2">
      <c r="A211"/>
      <c r="B211"/>
      <c r="C211"/>
      <c r="D211"/>
      <c r="E211" s="53"/>
      <c r="F211" s="54"/>
      <c r="G211"/>
      <c r="H211"/>
      <c r="I211" s="203"/>
      <c r="J211"/>
      <c r="K211" s="203"/>
      <c r="L211"/>
      <c r="M211"/>
      <c r="N211" s="203"/>
      <c r="O211"/>
      <c r="P211"/>
    </row>
    <row r="212" spans="1:16" ht="45.75" x14ac:dyDescent="0.2">
      <c r="A212"/>
      <c r="B212"/>
      <c r="C212"/>
      <c r="D212"/>
      <c r="E212" s="53"/>
      <c r="F212" s="54"/>
      <c r="G212"/>
      <c r="H212"/>
      <c r="I212" s="203"/>
      <c r="J212"/>
      <c r="K212" s="203"/>
      <c r="L212"/>
      <c r="M212"/>
      <c r="N212" s="203"/>
      <c r="O212"/>
      <c r="P212"/>
    </row>
    <row r="213" spans="1:16" ht="45.75" x14ac:dyDescent="0.2">
      <c r="A213"/>
      <c r="B213"/>
      <c r="C213"/>
      <c r="D213"/>
      <c r="E213" s="53"/>
      <c r="F213" s="54"/>
      <c r="G213"/>
      <c r="H213"/>
      <c r="I213" s="203"/>
      <c r="J213"/>
      <c r="K213" s="203"/>
      <c r="L213"/>
      <c r="M213"/>
      <c r="N213" s="203"/>
      <c r="O213"/>
      <c r="P213"/>
    </row>
  </sheetData>
  <mergeCells count="67">
    <mergeCell ref="P96:P97"/>
    <mergeCell ref="A189:D189"/>
    <mergeCell ref="A190:P190"/>
    <mergeCell ref="D192:P192"/>
    <mergeCell ref="J96:J97"/>
    <mergeCell ref="K96:K97"/>
    <mergeCell ref="L96:L97"/>
    <mergeCell ref="M96:M97"/>
    <mergeCell ref="N96:N97"/>
    <mergeCell ref="O96:O97"/>
    <mergeCell ref="O78:O79"/>
    <mergeCell ref="P78:P79"/>
    <mergeCell ref="A96:A97"/>
    <mergeCell ref="B96:B97"/>
    <mergeCell ref="C96:C97"/>
    <mergeCell ref="E96:E97"/>
    <mergeCell ref="F96:F97"/>
    <mergeCell ref="G96:G97"/>
    <mergeCell ref="H96:H97"/>
    <mergeCell ref="I96:I97"/>
    <mergeCell ref="I78:I79"/>
    <mergeCell ref="J78:J79"/>
    <mergeCell ref="K78:K79"/>
    <mergeCell ref="L78:L79"/>
    <mergeCell ref="M78:M79"/>
    <mergeCell ref="N78:N79"/>
    <mergeCell ref="G78:G79"/>
    <mergeCell ref="H78:H79"/>
    <mergeCell ref="H21:H22"/>
    <mergeCell ref="I21:I22"/>
    <mergeCell ref="J21:J22"/>
    <mergeCell ref="G21:G22"/>
    <mergeCell ref="A78:A79"/>
    <mergeCell ref="B78:B79"/>
    <mergeCell ref="C78:C79"/>
    <mergeCell ref="E78:E79"/>
    <mergeCell ref="F78:F79"/>
    <mergeCell ref="A21:A22"/>
    <mergeCell ref="B21:B22"/>
    <mergeCell ref="C21:C22"/>
    <mergeCell ref="E21:E22"/>
    <mergeCell ref="F21:F22"/>
    <mergeCell ref="P8:P10"/>
    <mergeCell ref="E9:E10"/>
    <mergeCell ref="F9:F10"/>
    <mergeCell ref="G9:H9"/>
    <mergeCell ref="I9:I10"/>
    <mergeCell ref="J9:J10"/>
    <mergeCell ref="K9:K10"/>
    <mergeCell ref="L9:M9"/>
    <mergeCell ref="N9:N10"/>
    <mergeCell ref="N21:N22"/>
    <mergeCell ref="O21:O22"/>
    <mergeCell ref="P21:P22"/>
    <mergeCell ref="K21:K22"/>
    <mergeCell ref="L21:L22"/>
    <mergeCell ref="M21:M22"/>
    <mergeCell ref="N1:P1"/>
    <mergeCell ref="N2:P2"/>
    <mergeCell ref="N3:P3"/>
    <mergeCell ref="A5:P5"/>
    <mergeCell ref="A6:P6"/>
    <mergeCell ref="A8:A10"/>
    <mergeCell ref="B8:B10"/>
    <mergeCell ref="D8:D10"/>
    <mergeCell ref="E8:I8"/>
    <mergeCell ref="J8:N8"/>
  </mergeCells>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6" manualBreakCount="6">
    <brk id="26" max="15" man="1"/>
    <brk id="47" max="15" man="1"/>
    <brk id="65" max="15" man="1"/>
    <brk id="84" max="15" man="1"/>
    <brk id="125" max="15" man="1"/>
    <brk id="147"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V220"/>
  <sheetViews>
    <sheetView view="pageBreakPreview" zoomScale="25" zoomScaleNormal="25" zoomScaleSheetLayoutView="25" zoomScalePageLayoutView="10" workbookViewId="0">
      <pane ySplit="11" topLeftCell="A42" activePane="bottomLeft" state="frozen"/>
      <selection pane="bottomLeft" activeCell="A41" sqref="A41:D41"/>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40.140625" bestFit="1" customWidth="1"/>
    <col min="20" max="20" width="24.7109375" bestFit="1" customWidth="1"/>
  </cols>
  <sheetData>
    <row r="1" spans="1:18" ht="45.75" x14ac:dyDescent="0.2">
      <c r="D1" s="564"/>
      <c r="E1" s="565"/>
      <c r="F1" s="17"/>
      <c r="G1" s="18"/>
      <c r="H1" s="18"/>
      <c r="I1" s="18"/>
      <c r="J1" s="565"/>
      <c r="K1" s="18"/>
      <c r="L1" s="18"/>
      <c r="M1" s="18"/>
      <c r="N1" s="711"/>
      <c r="O1" s="711"/>
      <c r="P1" s="711"/>
    </row>
    <row r="2" spans="1:18" ht="45.75" x14ac:dyDescent="0.2">
      <c r="A2" s="564"/>
      <c r="B2" s="564"/>
      <c r="C2" s="564"/>
      <c r="D2" s="564"/>
      <c r="E2" s="565"/>
      <c r="F2" s="17"/>
      <c r="G2" s="18"/>
      <c r="H2" s="18"/>
      <c r="I2" s="18"/>
      <c r="J2" s="565"/>
      <c r="K2" s="18"/>
      <c r="L2" s="18"/>
      <c r="M2" s="18"/>
      <c r="N2" s="711"/>
      <c r="O2" s="712"/>
      <c r="P2" s="712"/>
    </row>
    <row r="3" spans="1:18" ht="40.5" customHeight="1" x14ac:dyDescent="0.2">
      <c r="A3" s="564"/>
      <c r="B3" s="564"/>
      <c r="C3" s="564"/>
      <c r="D3" s="564"/>
      <c r="E3" s="565"/>
      <c r="F3" s="17"/>
      <c r="G3" s="18"/>
      <c r="H3" s="18"/>
      <c r="I3" s="18"/>
      <c r="J3" s="565"/>
      <c r="K3" s="18"/>
      <c r="L3" s="18"/>
      <c r="M3" s="18"/>
      <c r="N3" s="711"/>
      <c r="O3" s="712"/>
      <c r="P3" s="712"/>
    </row>
    <row r="4" spans="1:18" ht="45.75" hidden="1" x14ac:dyDescent="0.2">
      <c r="A4" s="564"/>
      <c r="B4" s="564"/>
      <c r="C4" s="564"/>
      <c r="D4" s="564"/>
      <c r="E4" s="565"/>
      <c r="F4" s="17"/>
      <c r="G4" s="18"/>
      <c r="H4" s="18"/>
      <c r="I4" s="18"/>
      <c r="J4" s="565"/>
      <c r="K4" s="18"/>
      <c r="L4" s="18"/>
      <c r="M4" s="18"/>
      <c r="N4" s="204"/>
      <c r="O4" s="564"/>
      <c r="P4" s="563"/>
    </row>
    <row r="5" spans="1:18" ht="45" x14ac:dyDescent="0.2">
      <c r="A5" s="713" t="s">
        <v>1024</v>
      </c>
      <c r="B5" s="713"/>
      <c r="C5" s="713"/>
      <c r="D5" s="713"/>
      <c r="E5" s="713"/>
      <c r="F5" s="713"/>
      <c r="G5" s="713"/>
      <c r="H5" s="713"/>
      <c r="I5" s="713"/>
      <c r="J5" s="713"/>
      <c r="K5" s="713"/>
      <c r="L5" s="713"/>
      <c r="M5" s="713"/>
      <c r="N5" s="713"/>
      <c r="O5" s="713"/>
      <c r="P5" s="713"/>
    </row>
    <row r="6" spans="1:18" ht="45" x14ac:dyDescent="0.2">
      <c r="A6" s="713" t="s">
        <v>641</v>
      </c>
      <c r="B6" s="713"/>
      <c r="C6" s="713"/>
      <c r="D6" s="713"/>
      <c r="E6" s="713"/>
      <c r="F6" s="713"/>
      <c r="G6" s="713"/>
      <c r="H6" s="713"/>
      <c r="I6" s="713"/>
      <c r="J6" s="713"/>
      <c r="K6" s="713"/>
      <c r="L6" s="713"/>
      <c r="M6" s="713"/>
      <c r="N6" s="713"/>
      <c r="O6" s="713"/>
      <c r="P6" s="713"/>
    </row>
    <row r="7" spans="1:18" ht="53.25" customHeight="1" x14ac:dyDescent="0.2">
      <c r="A7" s="565"/>
      <c r="B7" s="565"/>
      <c r="C7" s="565"/>
      <c r="D7" s="565"/>
      <c r="E7" s="565"/>
      <c r="F7" s="17"/>
      <c r="G7" s="565"/>
      <c r="H7" s="565"/>
      <c r="I7" s="18"/>
      <c r="J7" s="565"/>
      <c r="K7" s="18"/>
      <c r="L7" s="565"/>
      <c r="M7" s="565"/>
      <c r="N7" s="18"/>
      <c r="O7" s="565"/>
      <c r="P7" s="20" t="s">
        <v>134</v>
      </c>
    </row>
    <row r="8" spans="1:18" ht="62.25" customHeight="1" x14ac:dyDescent="0.2">
      <c r="A8" s="705" t="s">
        <v>41</v>
      </c>
      <c r="B8" s="705" t="s">
        <v>42</v>
      </c>
      <c r="C8" s="709" t="s">
        <v>43</v>
      </c>
      <c r="D8" s="705" t="s">
        <v>45</v>
      </c>
      <c r="E8" s="710" t="s">
        <v>36</v>
      </c>
      <c r="F8" s="710"/>
      <c r="G8" s="710"/>
      <c r="H8" s="710"/>
      <c r="I8" s="710"/>
      <c r="J8" s="710" t="s">
        <v>124</v>
      </c>
      <c r="K8" s="710"/>
      <c r="L8" s="710"/>
      <c r="M8" s="710"/>
      <c r="N8" s="710"/>
      <c r="O8" s="21"/>
      <c r="P8" s="710" t="s">
        <v>35</v>
      </c>
    </row>
    <row r="9" spans="1:18" ht="255" customHeight="1" x14ac:dyDescent="0.2">
      <c r="A9" s="706"/>
      <c r="B9" s="708"/>
      <c r="C9" s="708"/>
      <c r="D9" s="706"/>
      <c r="E9" s="716" t="s">
        <v>7</v>
      </c>
      <c r="F9" s="717" t="s">
        <v>125</v>
      </c>
      <c r="G9" s="716" t="s">
        <v>37</v>
      </c>
      <c r="H9" s="716"/>
      <c r="I9" s="717" t="s">
        <v>127</v>
      </c>
      <c r="J9" s="716" t="s">
        <v>7</v>
      </c>
      <c r="K9" s="717" t="s">
        <v>125</v>
      </c>
      <c r="L9" s="716" t="s">
        <v>37</v>
      </c>
      <c r="M9" s="716"/>
      <c r="N9" s="717" t="s">
        <v>127</v>
      </c>
      <c r="O9" s="558" t="s">
        <v>37</v>
      </c>
      <c r="P9" s="710"/>
    </row>
    <row r="10" spans="1:18" ht="137.25" x14ac:dyDescent="0.2">
      <c r="A10" s="707"/>
      <c r="B10" s="707"/>
      <c r="C10" s="707"/>
      <c r="D10" s="707"/>
      <c r="E10" s="716"/>
      <c r="F10" s="717"/>
      <c r="G10" s="558" t="s">
        <v>126</v>
      </c>
      <c r="H10" s="558" t="s">
        <v>40</v>
      </c>
      <c r="I10" s="717"/>
      <c r="J10" s="716"/>
      <c r="K10" s="717"/>
      <c r="L10" s="558" t="s">
        <v>126</v>
      </c>
      <c r="M10" s="558" t="s">
        <v>40</v>
      </c>
      <c r="N10" s="717"/>
      <c r="O10" s="558" t="s">
        <v>32</v>
      </c>
      <c r="P10" s="710"/>
    </row>
    <row r="11" spans="1:18" s="3" customFormat="1" ht="45.75" x14ac:dyDescent="0.2">
      <c r="A11" s="22" t="s">
        <v>9</v>
      </c>
      <c r="B11" s="22" t="s">
        <v>10</v>
      </c>
      <c r="C11" s="22" t="s">
        <v>39</v>
      </c>
      <c r="D11" s="22" t="s">
        <v>12</v>
      </c>
      <c r="E11" s="23">
        <v>5</v>
      </c>
      <c r="F11" s="559">
        <v>6</v>
      </c>
      <c r="G11" s="23">
        <v>7</v>
      </c>
      <c r="H11" s="23">
        <v>8</v>
      </c>
      <c r="I11" s="201">
        <v>9</v>
      </c>
      <c r="J11" s="23">
        <v>10</v>
      </c>
      <c r="K11" s="201">
        <v>11</v>
      </c>
      <c r="L11" s="23">
        <v>12</v>
      </c>
      <c r="M11" s="23">
        <v>13</v>
      </c>
      <c r="N11" s="201">
        <v>14</v>
      </c>
      <c r="O11" s="23">
        <v>15</v>
      </c>
      <c r="P11" s="23">
        <v>16</v>
      </c>
    </row>
    <row r="12" spans="1:18" s="3" customFormat="1" ht="135" x14ac:dyDescent="0.2">
      <c r="A12" s="433" t="s">
        <v>302</v>
      </c>
      <c r="B12" s="433"/>
      <c r="C12" s="433"/>
      <c r="D12" s="434" t="s">
        <v>304</v>
      </c>
      <c r="E12" s="435">
        <f>E13</f>
        <v>0</v>
      </c>
      <c r="F12" s="435">
        <f t="shared" ref="F12:P12" si="0">F13</f>
        <v>0</v>
      </c>
      <c r="G12" s="435">
        <f t="shared" si="0"/>
        <v>0</v>
      </c>
      <c r="H12" s="435">
        <f t="shared" si="0"/>
        <v>0</v>
      </c>
      <c r="I12" s="435">
        <f t="shared" si="0"/>
        <v>0</v>
      </c>
      <c r="J12" s="435">
        <f t="shared" si="0"/>
        <v>660842</v>
      </c>
      <c r="K12" s="435">
        <f t="shared" si="0"/>
        <v>600000</v>
      </c>
      <c r="L12" s="435">
        <f t="shared" si="0"/>
        <v>0</v>
      </c>
      <c r="M12" s="435">
        <f t="shared" si="0"/>
        <v>0</v>
      </c>
      <c r="N12" s="435">
        <f t="shared" si="0"/>
        <v>60842</v>
      </c>
      <c r="O12" s="436">
        <f t="shared" si="0"/>
        <v>660842</v>
      </c>
      <c r="P12" s="435">
        <f t="shared" si="0"/>
        <v>660842</v>
      </c>
    </row>
    <row r="13" spans="1:18" s="3" customFormat="1" ht="135" x14ac:dyDescent="0.2">
      <c r="A13" s="437" t="s">
        <v>303</v>
      </c>
      <c r="B13" s="437"/>
      <c r="C13" s="437"/>
      <c r="D13" s="438" t="s">
        <v>305</v>
      </c>
      <c r="E13" s="439">
        <f>F13</f>
        <v>0</v>
      </c>
      <c r="F13" s="440">
        <f>F14+F15+F26+F20+F27+F16+F22+F21+F28+F17</f>
        <v>0</v>
      </c>
      <c r="G13" s="440">
        <f t="shared" ref="G13:H13" si="1">G14+G15+G26+G20+G27+G16+G22+G21+G28+G17</f>
        <v>0</v>
      </c>
      <c r="H13" s="440">
        <f t="shared" si="1"/>
        <v>0</v>
      </c>
      <c r="I13" s="440">
        <v>0</v>
      </c>
      <c r="J13" s="441">
        <f t="shared" ref="J13" si="2">K13+N13</f>
        <v>660842</v>
      </c>
      <c r="K13" s="440">
        <f>K14+K15+K26+K20+K27+K16+K23+K21+K28+K17+K18</f>
        <v>600000</v>
      </c>
      <c r="L13" s="440">
        <f>L14+L15+L26+L20+L27+L16</f>
        <v>0</v>
      </c>
      <c r="M13" s="440">
        <f>M14+M15+M26+M20+M27+M16</f>
        <v>0</v>
      </c>
      <c r="N13" s="440">
        <f>N14+N15+N26+N20+N27+N16+N23+N21+N28+N18</f>
        <v>60842</v>
      </c>
      <c r="O13" s="440">
        <f>O14+O15+O26+O20+O27+O16+O23+O21+O28+O18</f>
        <v>660842</v>
      </c>
      <c r="P13" s="439">
        <f>J13+E13</f>
        <v>660842</v>
      </c>
      <c r="Q13" s="240" t="b">
        <f>P14+P15+P16+P17+P18+P20+P21+P22+P23+P26+P27+P28=P13</f>
        <v>1</v>
      </c>
      <c r="R13" s="240"/>
    </row>
    <row r="14" spans="1:18" ht="320.25" x14ac:dyDescent="0.2">
      <c r="A14" s="556" t="s">
        <v>428</v>
      </c>
      <c r="B14" s="556" t="s">
        <v>429</v>
      </c>
      <c r="C14" s="556" t="s">
        <v>430</v>
      </c>
      <c r="D14" s="556" t="s">
        <v>427</v>
      </c>
      <c r="E14" s="567">
        <f>'dod3 Квітень+Комісії+Сесія'!E14-'dod3 квітень чистий'!E14</f>
        <v>0</v>
      </c>
      <c r="F14" s="567">
        <f>'dod3 Квітень+Комісії+Сесія'!F14-'dod3 квітень чистий'!F14</f>
        <v>0</v>
      </c>
      <c r="G14" s="567">
        <f>'dod3 Квітень+Комісії+Сесія'!G14-'dod3 квітень чистий'!G14</f>
        <v>0</v>
      </c>
      <c r="H14" s="567">
        <f>'dod3 Квітень+Комісії+Сесія'!H14-'dod3 квітень чистий'!H14</f>
        <v>0</v>
      </c>
      <c r="I14" s="567">
        <f>'dod3 Квітень+Комісії+Сесія'!I14-'dod3 квітень чистий'!I14</f>
        <v>0</v>
      </c>
      <c r="J14" s="567">
        <f>'dod3 Квітень+Комісії+Сесія'!J14-'dod3 квітень чистий'!J14</f>
        <v>0</v>
      </c>
      <c r="K14" s="567">
        <f>'dod3 Квітень+Комісії+Сесія'!K14-'dod3 квітень чистий'!K14</f>
        <v>0</v>
      </c>
      <c r="L14" s="567">
        <f>'dod3 Квітень+Комісії+Сесія'!L14-'dod3 квітень чистий'!L14</f>
        <v>0</v>
      </c>
      <c r="M14" s="567">
        <f>'dod3 Квітень+Комісії+Сесія'!M14-'dod3 квітень чистий'!M14</f>
        <v>0</v>
      </c>
      <c r="N14" s="567">
        <f>'dod3 Квітень+Комісії+Сесія'!N14-'dod3 квітень чистий'!N14</f>
        <v>0</v>
      </c>
      <c r="O14" s="567">
        <f>'dod3 Квітень+Комісії+Сесія'!O14-'dod3 квітень чистий'!O14</f>
        <v>0</v>
      </c>
      <c r="P14" s="567">
        <f>'dod3 Квітень+Комісії+Сесія'!P14-'dod3 квітень чистий'!P14</f>
        <v>0</v>
      </c>
    </row>
    <row r="15" spans="1:18" ht="228.75" x14ac:dyDescent="0.2">
      <c r="A15" s="556" t="s">
        <v>432</v>
      </c>
      <c r="B15" s="556" t="s">
        <v>433</v>
      </c>
      <c r="C15" s="556" t="s">
        <v>430</v>
      </c>
      <c r="D15" s="556" t="s">
        <v>431</v>
      </c>
      <c r="E15" s="567">
        <f>'dod3 Квітень+Комісії+Сесія'!E15-'dod3 квітень чистий'!E15</f>
        <v>0</v>
      </c>
      <c r="F15" s="567">
        <f>'dod3 Квітень+Комісії+Сесія'!F15-'dod3 квітень чистий'!F15</f>
        <v>0</v>
      </c>
      <c r="G15" s="567">
        <f>'dod3 Квітень+Комісії+Сесія'!G15-'dod3 квітень чистий'!G15</f>
        <v>0</v>
      </c>
      <c r="H15" s="567">
        <f>'dod3 Квітень+Комісії+Сесія'!H15-'dod3 квітень чистий'!H15</f>
        <v>0</v>
      </c>
      <c r="I15" s="567">
        <f>'dod3 Квітень+Комісії+Сесія'!I15-'dod3 квітень чистий'!I15</f>
        <v>0</v>
      </c>
      <c r="J15" s="567">
        <f>'dod3 Квітень+Комісії+Сесія'!J15-'dod3 квітень чистий'!J15</f>
        <v>0</v>
      </c>
      <c r="K15" s="567">
        <f>'dod3 Квітень+Комісії+Сесія'!K15-'dod3 квітень чистий'!K15</f>
        <v>0</v>
      </c>
      <c r="L15" s="567">
        <f>'dod3 Квітень+Комісії+Сесія'!L15-'dod3 квітень чистий'!L15</f>
        <v>0</v>
      </c>
      <c r="M15" s="567">
        <f>'dod3 Квітень+Комісії+Сесія'!M15-'dod3 квітень чистий'!M15</f>
        <v>0</v>
      </c>
      <c r="N15" s="567">
        <f>'dod3 Квітень+Комісії+Сесія'!N15-'dod3 квітень чистий'!N15</f>
        <v>0</v>
      </c>
      <c r="O15" s="567">
        <f>'dod3 Квітень+Комісії+Сесія'!O15-'dod3 квітень чистий'!O15</f>
        <v>0</v>
      </c>
      <c r="P15" s="567">
        <f>'dod3 Квітень+Комісії+Сесія'!P15-'dod3 квітень чистий'!P15</f>
        <v>0</v>
      </c>
    </row>
    <row r="16" spans="1:18" ht="91.5" x14ac:dyDescent="0.2">
      <c r="A16" s="556" t="s">
        <v>445</v>
      </c>
      <c r="B16" s="556" t="s">
        <v>103</v>
      </c>
      <c r="C16" s="556" t="s">
        <v>102</v>
      </c>
      <c r="D16" s="556" t="s">
        <v>446</v>
      </c>
      <c r="E16" s="567">
        <f>'dod3 Квітень+Комісії+Сесія'!E16-'dod3 квітень чистий'!E16</f>
        <v>0</v>
      </c>
      <c r="F16" s="567">
        <f>'dod3 Квітень+Комісії+Сесія'!F16-'dod3 квітень чистий'!F16</f>
        <v>0</v>
      </c>
      <c r="G16" s="567">
        <f>'dod3 Квітень+Комісії+Сесія'!G16-'dod3 квітень чистий'!G16</f>
        <v>0</v>
      </c>
      <c r="H16" s="567">
        <f>'dod3 Квітень+Комісії+Сесія'!H16-'dod3 квітень чистий'!H16</f>
        <v>0</v>
      </c>
      <c r="I16" s="567">
        <f>'dod3 Квітень+Комісії+Сесія'!I16-'dod3 квітень чистий'!I16</f>
        <v>0</v>
      </c>
      <c r="J16" s="567">
        <f>'dod3 Квітень+Комісії+Сесія'!J16-'dod3 квітень чистий'!J16</f>
        <v>0</v>
      </c>
      <c r="K16" s="567">
        <f>'dod3 Квітень+Комісії+Сесія'!K16-'dod3 квітень чистий'!K16</f>
        <v>0</v>
      </c>
      <c r="L16" s="567">
        <f>'dod3 Квітень+Комісії+Сесія'!L16-'dod3 квітень чистий'!L16</f>
        <v>0</v>
      </c>
      <c r="M16" s="567">
        <f>'dod3 Квітень+Комісії+Сесія'!M16-'dod3 квітень чистий'!M16</f>
        <v>0</v>
      </c>
      <c r="N16" s="567">
        <f>'dod3 Квітень+Комісії+Сесія'!N16-'dod3 квітень чистий'!N16</f>
        <v>0</v>
      </c>
      <c r="O16" s="567">
        <f>'dod3 Квітень+Комісії+Сесія'!O16-'dod3 квітень чистий'!O16</f>
        <v>0</v>
      </c>
      <c r="P16" s="567">
        <f>'dod3 Квітень+Комісії+Сесія'!P16-'dod3 квітень чистий'!P16</f>
        <v>0</v>
      </c>
    </row>
    <row r="17" spans="1:20" ht="91.5" x14ac:dyDescent="0.2">
      <c r="A17" s="556" t="s">
        <v>929</v>
      </c>
      <c r="B17" s="556" t="s">
        <v>930</v>
      </c>
      <c r="C17" s="556" t="s">
        <v>931</v>
      </c>
      <c r="D17" s="556" t="s">
        <v>928</v>
      </c>
      <c r="E17" s="567">
        <f>'dod3 Квітень+Комісії+Сесія'!E17-0</f>
        <v>0</v>
      </c>
      <c r="F17" s="567">
        <f>'dod3 Квітень+Комісії+Сесія'!F17-0</f>
        <v>0</v>
      </c>
      <c r="G17" s="567">
        <f>'dod3 Квітень+Комісії+Сесія'!G17-0</f>
        <v>0</v>
      </c>
      <c r="H17" s="567">
        <f>'dod3 Квітень+Комісії+Сесія'!H17-0</f>
        <v>0</v>
      </c>
      <c r="I17" s="567">
        <f>'dod3 Квітень+Комісії+Сесія'!I17-0</f>
        <v>0</v>
      </c>
      <c r="J17" s="567">
        <f>'dod3 Квітень+Комісії+Сесія'!J17-0</f>
        <v>0</v>
      </c>
      <c r="K17" s="567">
        <f>'dod3 Квітень+Комісії+Сесія'!K17-0</f>
        <v>0</v>
      </c>
      <c r="L17" s="567">
        <f>'dod3 Квітень+Комісії+Сесія'!L17-0</f>
        <v>0</v>
      </c>
      <c r="M17" s="567">
        <f>'dod3 Квітень+Комісії+Сесія'!M17-0</f>
        <v>0</v>
      </c>
      <c r="N17" s="567">
        <f>'dod3 Квітень+Комісії+Сесія'!N17-0</f>
        <v>0</v>
      </c>
      <c r="O17" s="567">
        <f>'dod3 Квітень+Комісії+Сесія'!O17-0</f>
        <v>0</v>
      </c>
      <c r="P17" s="567">
        <f>'dod3 Квітень+Комісії+Сесія'!P17-0</f>
        <v>0</v>
      </c>
    </row>
    <row r="18" spans="1:20" ht="91.5" x14ac:dyDescent="0.2">
      <c r="A18" s="556" t="s">
        <v>942</v>
      </c>
      <c r="B18" s="556" t="s">
        <v>706</v>
      </c>
      <c r="C18" s="556"/>
      <c r="D18" s="556" t="s">
        <v>833</v>
      </c>
      <c r="E18" s="567">
        <f>'dod3 Квітень+Комісії+Сесія'!E18-0</f>
        <v>0</v>
      </c>
      <c r="F18" s="567">
        <f>'dod3 Квітень+Комісії+Сесія'!F18-0</f>
        <v>0</v>
      </c>
      <c r="G18" s="567">
        <f>'dod3 Квітень+Комісії+Сесія'!G18-0</f>
        <v>0</v>
      </c>
      <c r="H18" s="567">
        <f>'dod3 Квітень+Комісії+Сесія'!H18-0</f>
        <v>0</v>
      </c>
      <c r="I18" s="567">
        <f>'dod3 Квітень+Комісії+Сесія'!I18-0</f>
        <v>0</v>
      </c>
      <c r="J18" s="567">
        <f>'dod3 Квітень+Комісії+Сесія'!J18-0</f>
        <v>660842</v>
      </c>
      <c r="K18" s="567">
        <f>'dod3 Квітень+Комісії+Сесія'!K18-0</f>
        <v>0</v>
      </c>
      <c r="L18" s="567">
        <f>'dod3 Квітень+Комісії+Сесія'!L18-0</f>
        <v>0</v>
      </c>
      <c r="M18" s="567">
        <f>'dod3 Квітень+Комісії+Сесія'!M18-0</f>
        <v>0</v>
      </c>
      <c r="N18" s="567">
        <f>'dod3 Квітень+Комісії+Сесія'!N18-0</f>
        <v>660842</v>
      </c>
      <c r="O18" s="567">
        <f>'dod3 Квітень+Комісії+Сесія'!O18-0</f>
        <v>660842</v>
      </c>
      <c r="P18" s="567">
        <f>'dod3 Квітень+Комісії+Сесія'!P18-0</f>
        <v>660842</v>
      </c>
    </row>
    <row r="19" spans="1:20" ht="366" x14ac:dyDescent="0.2">
      <c r="A19" s="553" t="s">
        <v>939</v>
      </c>
      <c r="B19" s="553" t="s">
        <v>940</v>
      </c>
      <c r="C19" s="553" t="s">
        <v>708</v>
      </c>
      <c r="D19" s="553" t="s">
        <v>941</v>
      </c>
      <c r="E19" s="567">
        <f>'dod3 Квітень+Комісії+Сесія'!E19-0</f>
        <v>0</v>
      </c>
      <c r="F19" s="567">
        <f>'dod3 Квітень+Комісії+Сесія'!F19-0</f>
        <v>0</v>
      </c>
      <c r="G19" s="567">
        <f>'dod3 Квітень+Комісії+Сесія'!G19-0</f>
        <v>0</v>
      </c>
      <c r="H19" s="567">
        <f>'dod3 Квітень+Комісії+Сесія'!H19-0</f>
        <v>0</v>
      </c>
      <c r="I19" s="567">
        <f>'dod3 Квітень+Комісії+Сесія'!I19-0</f>
        <v>0</v>
      </c>
      <c r="J19" s="567">
        <f>'dod3 Квітень+Комісії+Сесія'!J19-0</f>
        <v>660842</v>
      </c>
      <c r="K19" s="567">
        <f>'dod3 Квітень+Комісії+Сесія'!K19-0</f>
        <v>0</v>
      </c>
      <c r="L19" s="567">
        <f>'dod3 Квітень+Комісії+Сесія'!L19-0</f>
        <v>0</v>
      </c>
      <c r="M19" s="567">
        <f>'dod3 Квітень+Комісії+Сесія'!M19-0</f>
        <v>0</v>
      </c>
      <c r="N19" s="567">
        <f>'dod3 Квітень+Комісії+Сесія'!N19-0</f>
        <v>660842</v>
      </c>
      <c r="O19" s="567">
        <f>'dod3 Квітень+Комісії+Сесія'!O19-0</f>
        <v>660842</v>
      </c>
      <c r="P19" s="567">
        <f>'dod3 Квітень+Комісії+Сесія'!P19-0</f>
        <v>660842</v>
      </c>
    </row>
    <row r="20" spans="1:20" ht="91.5" x14ac:dyDescent="0.2">
      <c r="A20" s="556" t="s">
        <v>435</v>
      </c>
      <c r="B20" s="556" t="s">
        <v>436</v>
      </c>
      <c r="C20" s="556" t="s">
        <v>437</v>
      </c>
      <c r="D20" s="556" t="s">
        <v>434</v>
      </c>
      <c r="E20" s="567">
        <f>'dod3 Квітень+Комісії+Сесія'!E20-'dod3 квітень чистий'!E17</f>
        <v>0</v>
      </c>
      <c r="F20" s="567">
        <f>'dod3 Квітень+Комісії+Сесія'!F20-'dod3 квітень чистий'!F17</f>
        <v>0</v>
      </c>
      <c r="G20" s="567">
        <f>'dod3 Квітень+Комісії+Сесія'!G20-'dod3 квітень чистий'!G17</f>
        <v>0</v>
      </c>
      <c r="H20" s="567">
        <f>'dod3 Квітень+Комісії+Сесія'!H20-'dod3 квітень чистий'!H17</f>
        <v>0</v>
      </c>
      <c r="I20" s="567">
        <f>'dod3 Квітень+Комісії+Сесія'!I20-'dod3 квітень чистий'!I17</f>
        <v>0</v>
      </c>
      <c r="J20" s="567">
        <f>'dod3 Квітень+Комісії+Сесія'!J20-'dod3 квітень чистий'!J17</f>
        <v>0</v>
      </c>
      <c r="K20" s="567">
        <f>'dod3 Квітень+Комісії+Сесія'!K20-'dod3 квітень чистий'!K17</f>
        <v>0</v>
      </c>
      <c r="L20" s="567">
        <f>'dod3 Квітень+Комісії+Сесія'!L20-'dod3 квітень чистий'!L17</f>
        <v>0</v>
      </c>
      <c r="M20" s="567">
        <f>'dod3 Квітень+Комісії+Сесія'!M20-'dod3 квітень чистий'!M17</f>
        <v>0</v>
      </c>
      <c r="N20" s="567">
        <f>'dod3 Квітень+Комісії+Сесія'!N20-'dod3 квітень чистий'!N17</f>
        <v>0</v>
      </c>
      <c r="O20" s="567">
        <f>'dod3 Квітень+Комісії+Сесія'!O20-'dod3 квітень чистий'!O17</f>
        <v>0</v>
      </c>
      <c r="P20" s="567">
        <f>'dod3 Квітень+Комісії+Сесія'!P20-'dod3 квітень чистий'!P17</f>
        <v>0</v>
      </c>
    </row>
    <row r="21" spans="1:20" ht="91.5" x14ac:dyDescent="0.2">
      <c r="A21" s="556" t="s">
        <v>646</v>
      </c>
      <c r="B21" s="272" t="s">
        <v>373</v>
      </c>
      <c r="C21" s="272" t="s">
        <v>324</v>
      </c>
      <c r="D21" s="556" t="s">
        <v>89</v>
      </c>
      <c r="E21" s="567">
        <f>'dod3 Квітень+Комісії+Сесія'!E21-'dod3 квітень чистий'!E18</f>
        <v>0</v>
      </c>
      <c r="F21" s="567">
        <f>'dod3 Квітень+Комісії+Сесія'!F21-'dod3 квітень чистий'!F18</f>
        <v>0</v>
      </c>
      <c r="G21" s="567">
        <f>'dod3 Квітень+Комісії+Сесія'!G21-'dod3 квітень чистий'!G18</f>
        <v>0</v>
      </c>
      <c r="H21" s="567">
        <f>'dod3 Квітень+Комісії+Сесія'!H21-'dod3 квітень чистий'!H18</f>
        <v>0</v>
      </c>
      <c r="I21" s="567">
        <f>'dod3 Квітень+Комісії+Сесія'!I21-'dod3 квітень чистий'!I18</f>
        <v>0</v>
      </c>
      <c r="J21" s="567">
        <f>'dod3 Квітень+Комісії+Сесія'!J21-'dod3 квітень чистий'!J18</f>
        <v>0</v>
      </c>
      <c r="K21" s="567">
        <f>'dod3 Квітень+Комісії+Сесія'!K21-'dod3 квітень чистий'!K18</f>
        <v>0</v>
      </c>
      <c r="L21" s="567">
        <f>'dod3 Квітень+Комісії+Сесія'!L21-'dod3 квітень чистий'!L18</f>
        <v>0</v>
      </c>
      <c r="M21" s="567">
        <f>'dod3 Квітень+Комісії+Сесія'!M21-'dod3 квітень чистий'!M18</f>
        <v>0</v>
      </c>
      <c r="N21" s="567">
        <f>'dod3 Квітень+Комісії+Сесія'!N21-'dod3 квітень чистий'!N18</f>
        <v>0</v>
      </c>
      <c r="O21" s="567">
        <f>'dod3 Квітень+Комісії+Сесія'!O21-'dod3 квітень чистий'!O18</f>
        <v>0</v>
      </c>
      <c r="P21" s="567">
        <f>'dod3 Квітень+Комісії+Сесія'!P21-'dod3 квітень чистий'!P18</f>
        <v>0</v>
      </c>
    </row>
    <row r="22" spans="1:20" ht="137.25" x14ac:dyDescent="0.2">
      <c r="A22" s="556" t="s">
        <v>565</v>
      </c>
      <c r="B22" s="556" t="s">
        <v>566</v>
      </c>
      <c r="C22" s="556" t="s">
        <v>324</v>
      </c>
      <c r="D22" s="555" t="s">
        <v>564</v>
      </c>
      <c r="E22" s="567">
        <f>'dod3 Квітень+Комісії+Сесія'!E22-'dod3 квітень чистий'!E19</f>
        <v>0</v>
      </c>
      <c r="F22" s="567">
        <f>'dod3 Квітень+Комісії+Сесія'!F22-'dod3 квітень чистий'!F19</f>
        <v>0</v>
      </c>
      <c r="G22" s="567">
        <f>'dod3 Квітень+Комісії+Сесія'!G22-'dod3 квітень чистий'!G19</f>
        <v>0</v>
      </c>
      <c r="H22" s="567">
        <f>'dod3 Квітень+Комісії+Сесія'!H22-'dod3 квітень чистий'!H19</f>
        <v>0</v>
      </c>
      <c r="I22" s="567">
        <f>'dod3 Квітень+Комісії+Сесія'!I22-'dod3 квітень чистий'!I19</f>
        <v>0</v>
      </c>
      <c r="J22" s="567">
        <f>'dod3 Квітень+Комісії+Сесія'!J22-'dod3 квітень чистий'!J19</f>
        <v>0</v>
      </c>
      <c r="K22" s="567">
        <f>'dod3 Квітень+Комісії+Сесія'!K22-'dod3 квітень чистий'!K19</f>
        <v>0</v>
      </c>
      <c r="L22" s="567">
        <f>'dod3 Квітень+Комісії+Сесія'!L22-'dod3 квітень чистий'!L19</f>
        <v>0</v>
      </c>
      <c r="M22" s="567">
        <f>'dod3 Квітень+Комісії+Сесія'!M22-'dod3 квітень чистий'!M19</f>
        <v>0</v>
      </c>
      <c r="N22" s="567">
        <f>'dod3 Квітень+Комісії+Сесія'!N22-'dod3 квітень чистий'!N19</f>
        <v>0</v>
      </c>
      <c r="O22" s="567">
        <f>'dod3 Квітень+Комісії+Сесія'!O22-'dod3 квітень чистий'!O19</f>
        <v>0</v>
      </c>
      <c r="P22" s="567">
        <f>'dod3 Квітень+Комісії+Сесія'!P22-'dod3 квітень чистий'!P19</f>
        <v>0</v>
      </c>
    </row>
    <row r="23" spans="1:20" ht="46.5" x14ac:dyDescent="0.2">
      <c r="A23" s="556" t="s">
        <v>448</v>
      </c>
      <c r="B23" s="556" t="s">
        <v>449</v>
      </c>
      <c r="C23" s="556"/>
      <c r="D23" s="274" t="s">
        <v>447</v>
      </c>
      <c r="E23" s="567">
        <f>'dod3 Квітень+Комісії+Сесія'!E23-'dod3 квітень чистий'!E20</f>
        <v>0</v>
      </c>
      <c r="F23" s="567">
        <f>'dod3 Квітень+Комісії+Сесія'!F23-'dod3 квітень чистий'!F20</f>
        <v>0</v>
      </c>
      <c r="G23" s="567">
        <f>'dod3 Квітень+Комісії+Сесія'!G23-'dod3 квітень чистий'!G20</f>
        <v>0</v>
      </c>
      <c r="H23" s="567">
        <f>'dod3 Квітень+Комісії+Сесія'!H23-'dod3 квітень чистий'!H20</f>
        <v>0</v>
      </c>
      <c r="I23" s="567">
        <f>'dod3 Квітень+Комісії+Сесія'!I23-'dod3 квітень чистий'!I20</f>
        <v>0</v>
      </c>
      <c r="J23" s="567">
        <f>'dod3 Квітень+Комісії+Сесія'!J23-'dod3 квітень чистий'!J20</f>
        <v>0</v>
      </c>
      <c r="K23" s="567">
        <f>'dod3 Квітень+Комісії+Сесія'!K23-'dod3 квітень чистий'!K20</f>
        <v>600000</v>
      </c>
      <c r="L23" s="567">
        <f>'dod3 Квітень+Комісії+Сесія'!L23-'dod3 квітень чистий'!L20</f>
        <v>0</v>
      </c>
      <c r="M23" s="567">
        <f>'dod3 Квітень+Комісії+Сесія'!M23-'dod3 квітень чистий'!M20</f>
        <v>0</v>
      </c>
      <c r="N23" s="567">
        <f>'dod3 Квітень+Комісії+Сесія'!N23-'dod3 квітень чистий'!N20</f>
        <v>-600000</v>
      </c>
      <c r="O23" s="567">
        <f>'dod3 Квітень+Комісії+Сесія'!O23-'dod3 квітень чистий'!O20</f>
        <v>0</v>
      </c>
      <c r="P23" s="567">
        <f>'dod3 Квітень+Комісії+Сесія'!P23-'dod3 квітень чистий'!P20</f>
        <v>0</v>
      </c>
    </row>
    <row r="24" spans="1:20" s="203" customFormat="1" ht="409.5" x14ac:dyDescent="0.2">
      <c r="A24" s="718" t="s">
        <v>700</v>
      </c>
      <c r="B24" s="718" t="s">
        <v>699</v>
      </c>
      <c r="C24" s="718" t="s">
        <v>324</v>
      </c>
      <c r="D24" s="275" t="s">
        <v>728</v>
      </c>
      <c r="E24" s="738">
        <f>'dod3 Квітень+Комісії+Сесія'!E24-'dod3 квітень чистий'!E21</f>
        <v>0</v>
      </c>
      <c r="F24" s="738">
        <f>'dod3 Квітень+Комісії+Сесія'!F24-'dod3 квітень чистий'!F21</f>
        <v>0</v>
      </c>
      <c r="G24" s="738">
        <f>'dod3 Квітень+Комісії+Сесія'!G24-'dod3 квітень чистий'!G21</f>
        <v>0</v>
      </c>
      <c r="H24" s="738">
        <f>'dod3 Квітень+Комісії+Сесія'!H24-'dod3 квітень чистий'!H21</f>
        <v>0</v>
      </c>
      <c r="I24" s="738">
        <f>'dod3 Квітень+Комісії+Сесія'!I24-'dod3 квітень чистий'!I21</f>
        <v>0</v>
      </c>
      <c r="J24" s="738">
        <f>'dod3 Квітень+Комісії+Сесія'!J24-'dod3 квітень чистий'!J21</f>
        <v>0</v>
      </c>
      <c r="K24" s="738">
        <f>'dod3 Квітень+Комісії+Сесія'!K24-'dod3 квітень чистий'!K21</f>
        <v>600000</v>
      </c>
      <c r="L24" s="738">
        <f>'dod3 Квітень+Комісії+Сесія'!L24-'dod3 квітень чистий'!L21</f>
        <v>0</v>
      </c>
      <c r="M24" s="738">
        <f>'dod3 Квітень+Комісії+Сесія'!M24-'dod3 квітень чистий'!M21</f>
        <v>0</v>
      </c>
      <c r="N24" s="738">
        <f>'dod3 Квітень+Комісії+Сесія'!N24-'dod3 квітень чистий'!N21</f>
        <v>-600000</v>
      </c>
      <c r="O24" s="738">
        <f>'dod3 Квітень+Комісії+Сесія'!O24-'dod3 квітень чистий'!O21</f>
        <v>0</v>
      </c>
      <c r="P24" s="738">
        <f>'dod3 Квітень+Комісії+Сесія'!P24-'dod3 квітень чистий'!P21</f>
        <v>0</v>
      </c>
    </row>
    <row r="25" spans="1:20" s="203" customFormat="1" ht="137.25" x14ac:dyDescent="0.2">
      <c r="A25" s="719"/>
      <c r="B25" s="719"/>
      <c r="C25" s="719"/>
      <c r="D25" s="276" t="s">
        <v>729</v>
      </c>
      <c r="E25" s="743"/>
      <c r="F25" s="743"/>
      <c r="G25" s="743"/>
      <c r="H25" s="743"/>
      <c r="I25" s="743"/>
      <c r="J25" s="743"/>
      <c r="K25" s="743"/>
      <c r="L25" s="743"/>
      <c r="M25" s="743"/>
      <c r="N25" s="743"/>
      <c r="O25" s="743"/>
      <c r="P25" s="743"/>
    </row>
    <row r="26" spans="1:20" ht="91.5" x14ac:dyDescent="0.2">
      <c r="A26" s="556" t="s">
        <v>438</v>
      </c>
      <c r="B26" s="556" t="s">
        <v>439</v>
      </c>
      <c r="C26" s="556" t="s">
        <v>440</v>
      </c>
      <c r="D26" s="555" t="s">
        <v>441</v>
      </c>
      <c r="E26" s="567">
        <f>'dod3 Квітень+Комісії+Сесія'!E26-'dod3 квітень чистий'!E23</f>
        <v>0</v>
      </c>
      <c r="F26" s="567">
        <f>'dod3 Квітень+Комісії+Сесія'!F26-'dod3 квітень чистий'!F23</f>
        <v>0</v>
      </c>
      <c r="G26" s="567">
        <f>'dod3 Квітень+Комісії+Сесія'!G26-'dod3 квітень чистий'!G23</f>
        <v>0</v>
      </c>
      <c r="H26" s="567">
        <f>'dod3 Квітень+Комісії+Сесія'!H26-'dod3 квітень чистий'!H23</f>
        <v>0</v>
      </c>
      <c r="I26" s="567">
        <f>'dod3 Квітень+Комісії+Сесія'!I26-'dod3 квітень чистий'!I23</f>
        <v>0</v>
      </c>
      <c r="J26" s="567">
        <f>'dod3 Квітень+Комісії+Сесія'!J26-'dod3 квітень чистий'!J23</f>
        <v>0</v>
      </c>
      <c r="K26" s="567">
        <f>'dod3 Квітень+Комісії+Сесія'!K26-'dod3 квітень чистий'!K23</f>
        <v>0</v>
      </c>
      <c r="L26" s="567">
        <f>'dod3 Квітень+Комісії+Сесія'!L26-'dod3 квітень чистий'!L23</f>
        <v>0</v>
      </c>
      <c r="M26" s="567">
        <f>'dod3 Квітень+Комісії+Сесія'!M26-'dod3 квітень чистий'!M23</f>
        <v>0</v>
      </c>
      <c r="N26" s="567">
        <f>'dod3 Квітень+Комісії+Сесія'!N26-'dod3 квітень чистий'!N23</f>
        <v>0</v>
      </c>
      <c r="O26" s="567">
        <f>'dod3 Квітень+Комісії+Сесія'!O26-'dod3 квітень чистий'!O23</f>
        <v>0</v>
      </c>
      <c r="P26" s="567">
        <f>'dod3 Квітень+Комісії+Сесія'!P26-'dod3 квітень чистий'!P23</f>
        <v>0</v>
      </c>
    </row>
    <row r="27" spans="1:20" ht="274.5" x14ac:dyDescent="0.2">
      <c r="A27" s="556" t="s">
        <v>442</v>
      </c>
      <c r="B27" s="556" t="s">
        <v>443</v>
      </c>
      <c r="C27" s="556" t="s">
        <v>103</v>
      </c>
      <c r="D27" s="556" t="s">
        <v>444</v>
      </c>
      <c r="E27" s="567">
        <f>'dod3 Квітень+Комісії+Сесія'!E27-'dod3 квітень чистий'!E24</f>
        <v>0</v>
      </c>
      <c r="F27" s="567">
        <f>'dod3 Квітень+Комісії+Сесія'!F27-'dod3 квітень чистий'!F24</f>
        <v>0</v>
      </c>
      <c r="G27" s="567">
        <f>'dod3 Квітень+Комісії+Сесія'!G27-'dod3 квітень чистий'!G24</f>
        <v>0</v>
      </c>
      <c r="H27" s="567">
        <f>'dod3 Квітень+Комісії+Сесія'!H27-'dod3 квітень чистий'!H24</f>
        <v>0</v>
      </c>
      <c r="I27" s="567">
        <f>'dod3 Квітень+Комісії+Сесія'!I27-'dod3 квітень чистий'!I24</f>
        <v>0</v>
      </c>
      <c r="J27" s="567">
        <f>'dod3 Квітень+Комісії+Сесія'!J27-'dod3 квітень чистий'!J24</f>
        <v>0</v>
      </c>
      <c r="K27" s="567">
        <f>'dod3 Квітень+Комісії+Сесія'!K27-'dod3 квітень чистий'!K24</f>
        <v>0</v>
      </c>
      <c r="L27" s="567">
        <f>'dod3 Квітень+Комісії+Сесія'!L27-'dod3 квітень чистий'!L24</f>
        <v>0</v>
      </c>
      <c r="M27" s="567">
        <f>'dod3 Квітень+Комісії+Сесія'!M27-'dod3 квітень чистий'!M24</f>
        <v>0</v>
      </c>
      <c r="N27" s="567">
        <f>'dod3 Квітень+Комісії+Сесія'!N27-'dod3 квітень чистий'!N24</f>
        <v>0</v>
      </c>
      <c r="O27" s="567">
        <f>'dod3 Квітень+Комісії+Сесія'!O27-'dod3 квітень чистий'!O24</f>
        <v>0</v>
      </c>
      <c r="P27" s="567">
        <f>'dod3 Квітень+Комісії+Сесія'!P27-'dod3 квітень чистий'!P24</f>
        <v>0</v>
      </c>
    </row>
    <row r="28" spans="1:20" ht="183" x14ac:dyDescent="0.2">
      <c r="A28" s="556" t="s">
        <v>822</v>
      </c>
      <c r="B28" s="556" t="s">
        <v>823</v>
      </c>
      <c r="C28" s="556" t="s">
        <v>103</v>
      </c>
      <c r="D28" s="556" t="s">
        <v>824</v>
      </c>
      <c r="E28" s="567">
        <f>'dod3 Квітень+Комісії+Сесія'!E28-'dod3 квітень чистий'!E25</f>
        <v>0</v>
      </c>
      <c r="F28" s="567">
        <f>'dod3 Квітень+Комісії+Сесія'!F28-'dod3 квітень чистий'!F25</f>
        <v>0</v>
      </c>
      <c r="G28" s="567">
        <f>'dod3 Квітень+Комісії+Сесія'!G28-'dod3 квітень чистий'!G25</f>
        <v>0</v>
      </c>
      <c r="H28" s="567">
        <f>'dod3 Квітень+Комісії+Сесія'!H28-'dod3 квітень чистий'!H25</f>
        <v>0</v>
      </c>
      <c r="I28" s="567">
        <f>'dod3 Квітень+Комісії+Сесія'!I28-'dod3 квітень чистий'!I25</f>
        <v>0</v>
      </c>
      <c r="J28" s="567">
        <f>'dod3 Квітень+Комісії+Сесія'!J28-'dod3 квітень чистий'!J25</f>
        <v>0</v>
      </c>
      <c r="K28" s="567">
        <f>'dod3 Квітень+Комісії+Сесія'!K28-'dod3 квітень чистий'!K25</f>
        <v>0</v>
      </c>
      <c r="L28" s="567">
        <f>'dod3 Квітень+Комісії+Сесія'!L28-'dod3 квітень чистий'!L25</f>
        <v>0</v>
      </c>
      <c r="M28" s="567">
        <f>'dod3 Квітень+Комісії+Сесія'!M28-'dod3 квітень чистий'!M25</f>
        <v>0</v>
      </c>
      <c r="N28" s="567">
        <f>'dod3 Квітень+Комісії+Сесія'!N28-'dod3 квітень чистий'!N25</f>
        <v>0</v>
      </c>
      <c r="O28" s="567">
        <f>'dod3 Квітень+Комісії+Сесія'!O28-'dod3 квітень чистий'!O25</f>
        <v>0</v>
      </c>
      <c r="P28" s="567">
        <f>'dod3 Квітень+Комісії+Сесія'!P28-'dod3 квітень чистий'!P25</f>
        <v>0</v>
      </c>
    </row>
    <row r="29" spans="1:20" ht="135" x14ac:dyDescent="0.2">
      <c r="A29" s="433" t="s">
        <v>306</v>
      </c>
      <c r="B29" s="433"/>
      <c r="C29" s="433"/>
      <c r="D29" s="434" t="s">
        <v>1</v>
      </c>
      <c r="E29" s="440">
        <f>E30</f>
        <v>5263782</v>
      </c>
      <c r="F29" s="440">
        <f t="shared" ref="F29:P29" si="3">F30</f>
        <v>5263782</v>
      </c>
      <c r="G29" s="440">
        <f t="shared" si="3"/>
        <v>0</v>
      </c>
      <c r="H29" s="440">
        <f t="shared" si="3"/>
        <v>-319423</v>
      </c>
      <c r="I29" s="440">
        <f t="shared" si="3"/>
        <v>0</v>
      </c>
      <c r="J29" s="440">
        <f t="shared" si="3"/>
        <v>1908056</v>
      </c>
      <c r="K29" s="440">
        <f t="shared" si="3"/>
        <v>335560</v>
      </c>
      <c r="L29" s="440">
        <f t="shared" si="3"/>
        <v>0</v>
      </c>
      <c r="M29" s="440">
        <f t="shared" si="3"/>
        <v>1011312</v>
      </c>
      <c r="N29" s="440">
        <f t="shared" si="3"/>
        <v>1572496</v>
      </c>
      <c r="O29" s="439">
        <f t="shared" si="3"/>
        <v>1908056</v>
      </c>
      <c r="P29" s="440">
        <f t="shared" si="3"/>
        <v>7171838</v>
      </c>
    </row>
    <row r="30" spans="1:20" ht="135" x14ac:dyDescent="0.2">
      <c r="A30" s="437" t="s">
        <v>307</v>
      </c>
      <c r="B30" s="437"/>
      <c r="C30" s="437"/>
      <c r="D30" s="438" t="s">
        <v>2</v>
      </c>
      <c r="E30" s="439">
        <f>E31+E32+E33+E34+E35+E37+E38+E36+E42+E41</f>
        <v>5263782</v>
      </c>
      <c r="F30" s="439">
        <f t="shared" ref="F30:I30" si="4">F31+F32+F33+F34+F35+F37+F38+F36+F42+F41</f>
        <v>5263782</v>
      </c>
      <c r="G30" s="439">
        <f t="shared" si="4"/>
        <v>0</v>
      </c>
      <c r="H30" s="439">
        <f t="shared" si="4"/>
        <v>-319423</v>
      </c>
      <c r="I30" s="439">
        <f t="shared" si="4"/>
        <v>0</v>
      </c>
      <c r="J30" s="439">
        <f t="shared" ref="J30:O30" si="5">J31+J32+J33+J34+J35+J37+J38+J36+J42</f>
        <v>1908056</v>
      </c>
      <c r="K30" s="440">
        <f t="shared" si="5"/>
        <v>335560</v>
      </c>
      <c r="L30" s="439">
        <f t="shared" si="5"/>
        <v>0</v>
      </c>
      <c r="M30" s="439">
        <f t="shared" si="5"/>
        <v>1011312</v>
      </c>
      <c r="N30" s="440">
        <f t="shared" si="5"/>
        <v>1572496</v>
      </c>
      <c r="O30" s="439">
        <f t="shared" si="5"/>
        <v>1908056</v>
      </c>
      <c r="P30" s="439">
        <f t="shared" ref="P30" si="6">E30+J30</f>
        <v>7171838</v>
      </c>
      <c r="Q30" s="240" t="b">
        <f>P30=P31+P32+P33+P34+P35+P36+P37+P38+P42</f>
        <v>0</v>
      </c>
      <c r="R30" s="240"/>
    </row>
    <row r="31" spans="1:20" ht="67.5" customHeight="1" x14ac:dyDescent="0.55000000000000004">
      <c r="A31" s="556" t="s">
        <v>376</v>
      </c>
      <c r="B31" s="556" t="s">
        <v>377</v>
      </c>
      <c r="C31" s="556" t="s">
        <v>379</v>
      </c>
      <c r="D31" s="556" t="s">
        <v>380</v>
      </c>
      <c r="E31" s="567">
        <f>'dod3 Квітень+Комісії+Сесія'!E31-'dod3 квітень чистий'!E28</f>
        <v>0</v>
      </c>
      <c r="F31" s="567">
        <f>'dod3 Квітень+Комісії+Сесія'!F31-'dod3 квітень чистий'!F28</f>
        <v>0</v>
      </c>
      <c r="G31" s="567">
        <f>'dod3 Квітень+Комісії+Сесія'!G31-'dod3 квітень чистий'!G28</f>
        <v>0</v>
      </c>
      <c r="H31" s="567">
        <f>'dod3 Квітень+Комісії+Сесія'!H31-'dod3 квітень чистий'!H28</f>
        <v>-12000</v>
      </c>
      <c r="I31" s="567">
        <f>'dod3 Квітень+Комісії+Сесія'!I31-'dod3 квітень чистий'!I28</f>
        <v>0</v>
      </c>
      <c r="J31" s="567">
        <f>'dod3 Квітень+Комісії+Сесія'!J31-'dod3 квітень чистий'!J28</f>
        <v>322000</v>
      </c>
      <c r="K31" s="567">
        <f>'dod3 Квітень+Комісії+Сесія'!K31-'dod3 квітень чистий'!K28</f>
        <v>0</v>
      </c>
      <c r="L31" s="567">
        <f>'dod3 Квітень+Комісії+Сесія'!L31-'dod3 квітень чистий'!L28</f>
        <v>0</v>
      </c>
      <c r="M31" s="567">
        <f>'dod3 Квітень+Комісії+Сесія'!M31-'dod3 квітень чистий'!M28</f>
        <v>0</v>
      </c>
      <c r="N31" s="567">
        <f>'dod3 Квітень+Комісії+Сесія'!N31-'dod3 квітень чистий'!N28</f>
        <v>322000</v>
      </c>
      <c r="O31" s="567">
        <f>'dod3 Квітень+Комісії+Сесія'!O31-'dod3 квітень чистий'!O28</f>
        <v>442000</v>
      </c>
      <c r="P31" s="567">
        <f>'dod3 Квітень+Комісії+Сесія'!P31-'dod3 квітень чистий'!P28</f>
        <v>322000</v>
      </c>
      <c r="Q31" s="26"/>
      <c r="R31" s="26"/>
    </row>
    <row r="32" spans="1:20" ht="389.25" customHeight="1" x14ac:dyDescent="0.55000000000000004">
      <c r="A32" s="556" t="s">
        <v>382</v>
      </c>
      <c r="B32" s="556" t="s">
        <v>378</v>
      </c>
      <c r="C32" s="556" t="s">
        <v>383</v>
      </c>
      <c r="D32" s="556" t="s">
        <v>914</v>
      </c>
      <c r="E32" s="567">
        <f>'dod3 Квітень+Комісії+Сесія'!E32-'dod3 квітень чистий'!E29</f>
        <v>5263782</v>
      </c>
      <c r="F32" s="567">
        <f>'dod3 Квітень+Комісії+Сесія'!F32-'dod3 квітень чистий'!F29</f>
        <v>5263782</v>
      </c>
      <c r="G32" s="567">
        <f>'dod3 Квітень+Комісії+Сесія'!G32-'dod3 квітень чистий'!G29</f>
        <v>0</v>
      </c>
      <c r="H32" s="567">
        <f>'dod3 Квітень+Комісії+Сесія'!H32-'dod3 квітень чистий'!H29</f>
        <v>-20000</v>
      </c>
      <c r="I32" s="567">
        <f>'dod3 Квітень+Комісії+Сесія'!I32-'dod3 квітень чистий'!I29</f>
        <v>0</v>
      </c>
      <c r="J32" s="567">
        <f>'dod3 Квітень+Комісії+Сесія'!J32-'dod3 квітень чистий'!J29</f>
        <v>1101056</v>
      </c>
      <c r="K32" s="567">
        <f>'dod3 Квітень+Комісії+Сесія'!K32-'dod3 квітень чистий'!K29</f>
        <v>0</v>
      </c>
      <c r="L32" s="567">
        <f>'dod3 Квітень+Комісії+Сесія'!L32-'dod3 квітень чистий'!L29</f>
        <v>0</v>
      </c>
      <c r="M32" s="567">
        <f>'dod3 Квітень+Комісії+Сесія'!M32-'dod3 квітень чистий'!M29</f>
        <v>0</v>
      </c>
      <c r="N32" s="567">
        <f>'dod3 Квітень+Комісії+Сесія'!N32-'dod3 квітень чистий'!N29</f>
        <v>1101056</v>
      </c>
      <c r="O32" s="567">
        <f>'dod3 Квітень+Комісії+Сесія'!O32-'dod3 квітень чистий'!O29</f>
        <v>1281056</v>
      </c>
      <c r="P32" s="567">
        <f>'dod3 Квітень+Комісії+Сесія'!P32-'dod3 квітень чистий'!P29</f>
        <v>6364838</v>
      </c>
      <c r="Q32" s="26"/>
      <c r="R32" s="26"/>
      <c r="T32" s="181"/>
    </row>
    <row r="33" spans="1:18" ht="137.25" x14ac:dyDescent="0.2">
      <c r="A33" s="556" t="s">
        <v>384</v>
      </c>
      <c r="B33" s="556" t="s">
        <v>385</v>
      </c>
      <c r="C33" s="556" t="s">
        <v>383</v>
      </c>
      <c r="D33" s="556" t="s">
        <v>46</v>
      </c>
      <c r="E33" s="567">
        <f>'dod3 Квітень+Комісії+Сесія'!E33-'dod3 квітень чистий'!E30</f>
        <v>0</v>
      </c>
      <c r="F33" s="567">
        <f>'dod3 Квітень+Комісії+Сесія'!F33-'dod3 квітень чистий'!F30</f>
        <v>0</v>
      </c>
      <c r="G33" s="567">
        <f>'dod3 Квітень+Комісії+Сесія'!G33-'dod3 квітень чистий'!G30</f>
        <v>0</v>
      </c>
      <c r="H33" s="567">
        <f>'dod3 Квітень+Комісії+Сесія'!H33-'dod3 квітень чистий'!H30</f>
        <v>0</v>
      </c>
      <c r="I33" s="567">
        <f>'dod3 Квітень+Комісії+Сесія'!I33-'dod3 квітень чистий'!I30</f>
        <v>0</v>
      </c>
      <c r="J33" s="567">
        <f>'dod3 Квітень+Комісії+Сесія'!J33-'dod3 квітень чистий'!J30</f>
        <v>0</v>
      </c>
      <c r="K33" s="567">
        <f>'dod3 Квітень+Комісії+Сесія'!K33-'dod3 квітень чистий'!K30</f>
        <v>0</v>
      </c>
      <c r="L33" s="567">
        <f>'dod3 Квітень+Комісії+Сесія'!L33-'dod3 квітень чистий'!L30</f>
        <v>0</v>
      </c>
      <c r="M33" s="567">
        <f>'dod3 Квітень+Комісії+Сесія'!M33-'dod3 квітень чистий'!M30</f>
        <v>0</v>
      </c>
      <c r="N33" s="567">
        <f>'dod3 Квітень+Комісії+Сесія'!N33-'dod3 квітень чистий'!N30</f>
        <v>0</v>
      </c>
      <c r="O33" s="567">
        <f>'dod3 Квітень+Комісії+Сесія'!O33-'dod3 квітень чистий'!O30</f>
        <v>0</v>
      </c>
      <c r="P33" s="567">
        <f>'dod3 Квітень+Комісії+Сесія'!P33-'dod3 квітень чистий'!P30</f>
        <v>0</v>
      </c>
    </row>
    <row r="34" spans="1:18" ht="409.6" customHeight="1" x14ac:dyDescent="0.2">
      <c r="A34" s="556" t="s">
        <v>387</v>
      </c>
      <c r="B34" s="556" t="s">
        <v>386</v>
      </c>
      <c r="C34" s="556" t="s">
        <v>388</v>
      </c>
      <c r="D34" s="556" t="s">
        <v>47</v>
      </c>
      <c r="E34" s="567">
        <f>'dod3 Квітень+Комісії+Сесія'!E34-'dod3 квітень чистий'!E31</f>
        <v>0</v>
      </c>
      <c r="F34" s="567">
        <f>'dod3 Квітень+Комісії+Сесія'!F34-'dod3 квітень чистий'!F31</f>
        <v>0</v>
      </c>
      <c r="G34" s="567">
        <f>'dod3 Квітень+Комісії+Сесія'!G34-'dod3 квітень чистий'!G31</f>
        <v>0</v>
      </c>
      <c r="H34" s="567">
        <f>'dod3 Квітень+Комісії+Сесія'!H34-'dod3 квітень чистий'!H31</f>
        <v>0</v>
      </c>
      <c r="I34" s="567">
        <f>'dod3 Квітень+Комісії+Сесія'!I34-'dod3 квітень чистий'!I31</f>
        <v>0</v>
      </c>
      <c r="J34" s="567">
        <f>'dod3 Квітень+Комісії+Сесія'!J34-'dod3 квітень чистий'!J31</f>
        <v>0</v>
      </c>
      <c r="K34" s="567">
        <f>'dod3 Квітень+Комісії+Сесія'!K34-'dod3 квітень чистий'!K31</f>
        <v>0</v>
      </c>
      <c r="L34" s="567">
        <f>'dod3 Квітень+Комісії+Сесія'!L34-'dod3 квітень чистий'!L31</f>
        <v>0</v>
      </c>
      <c r="M34" s="567">
        <f>'dod3 Квітень+Комісії+Сесія'!M34-'dod3 квітень чистий'!M31</f>
        <v>0</v>
      </c>
      <c r="N34" s="567">
        <f>'dod3 Квітень+Комісії+Сесія'!N34-'dod3 квітень чистий'!N31</f>
        <v>0</v>
      </c>
      <c r="O34" s="567">
        <f>'dod3 Квітень+Комісії+Сесія'!O34-'dod3 квітень чистий'!O31</f>
        <v>0</v>
      </c>
      <c r="P34" s="567">
        <f>'dod3 Квітень+Комісії+Сесія'!P34-'dod3 квітень чистий'!P31</f>
        <v>0</v>
      </c>
    </row>
    <row r="35" spans="1:18" ht="183" x14ac:dyDescent="0.2">
      <c r="A35" s="556" t="s">
        <v>389</v>
      </c>
      <c r="B35" s="556" t="s">
        <v>363</v>
      </c>
      <c r="C35" s="556" t="s">
        <v>344</v>
      </c>
      <c r="D35" s="556" t="s">
        <v>48</v>
      </c>
      <c r="E35" s="567">
        <f>'dod3 Квітень+Комісії+Сесія'!E35-'dod3 квітень чистий'!E32</f>
        <v>0</v>
      </c>
      <c r="F35" s="567">
        <f>'dod3 Квітень+Комісії+Сесія'!F35-'dod3 квітень чистий'!F32</f>
        <v>0</v>
      </c>
      <c r="G35" s="567">
        <f>'dod3 Квітень+Комісії+Сесія'!G35-'dod3 квітень чистий'!G32</f>
        <v>0</v>
      </c>
      <c r="H35" s="567">
        <f>'dod3 Квітень+Комісії+Сесія'!H35-'dod3 квітень чистий'!H32</f>
        <v>-260000</v>
      </c>
      <c r="I35" s="567">
        <f>'dod3 Квітень+Комісії+Сесія'!I35-'dod3 квітень чистий'!I32</f>
        <v>0</v>
      </c>
      <c r="J35" s="567">
        <f>'dod3 Квітень+Комісії+Сесія'!J35-'dod3 квітень чистий'!J32</f>
        <v>485000</v>
      </c>
      <c r="K35" s="567">
        <f>'dod3 Квітень+Комісії+Сесія'!K35-'dod3 квітень чистий'!K32</f>
        <v>0</v>
      </c>
      <c r="L35" s="567">
        <f>'dod3 Квітень+Комісії+Сесія'!L35-'dod3 квітень чистий'!L32</f>
        <v>0</v>
      </c>
      <c r="M35" s="567">
        <f>'dod3 Квітень+Комісії+Сесія'!M35-'dod3 квітень чистий'!M32</f>
        <v>0</v>
      </c>
      <c r="N35" s="567">
        <f>'dod3 Квітень+Комісії+Сесія'!N35-'dod3 квітень чистий'!N32</f>
        <v>485000</v>
      </c>
      <c r="O35" s="567">
        <f>'dod3 Квітень+Комісії+Сесія'!O35-'dod3 квітень чистий'!O32</f>
        <v>185000</v>
      </c>
      <c r="P35" s="567">
        <f>'dod3 Квітень+Комісії+Сесія'!P35-'dod3 квітень чистий'!P32</f>
        <v>485000</v>
      </c>
    </row>
    <row r="36" spans="1:18" ht="155.25" customHeight="1" x14ac:dyDescent="0.2">
      <c r="A36" s="556" t="s">
        <v>390</v>
      </c>
      <c r="B36" s="556" t="s">
        <v>391</v>
      </c>
      <c r="C36" s="556" t="s">
        <v>392</v>
      </c>
      <c r="D36" s="556" t="s">
        <v>393</v>
      </c>
      <c r="E36" s="567">
        <f>'dod3 Квітень+Комісії+Сесія'!E36-'dod3 квітень чистий'!E33</f>
        <v>0</v>
      </c>
      <c r="F36" s="567">
        <f>'dod3 Квітень+Комісії+Сесія'!F36-'dod3 квітень чистий'!F33</f>
        <v>0</v>
      </c>
      <c r="G36" s="567">
        <f>'dod3 Квітень+Комісії+Сесія'!G36-'dod3 квітень чистий'!G33</f>
        <v>0</v>
      </c>
      <c r="H36" s="567">
        <f>'dod3 Квітень+Комісії+Сесія'!H36-'dod3 квітень чистий'!H33</f>
        <v>0</v>
      </c>
      <c r="I36" s="567">
        <f>'dod3 Квітень+Комісії+Сесія'!I36-'dod3 квітень чистий'!I33</f>
        <v>0</v>
      </c>
      <c r="J36" s="567">
        <f>'dod3 Квітень+Комісії+Сесія'!J36-'dod3 квітень чистий'!J33</f>
        <v>0</v>
      </c>
      <c r="K36" s="567">
        <f>'dod3 Квітень+Комісії+Сесія'!K36-'dod3 квітень чистий'!K33</f>
        <v>335560</v>
      </c>
      <c r="L36" s="567">
        <f>'dod3 Квітень+Комісії+Сесія'!L36-'dod3 квітень чистий'!L33</f>
        <v>0</v>
      </c>
      <c r="M36" s="567">
        <f>'dod3 Квітень+Комісії+Сесія'!M36-'dod3 квітень чистий'!M33</f>
        <v>1011312</v>
      </c>
      <c r="N36" s="567">
        <f>'dod3 Квітень+Комісії+Сесія'!N36-'dod3 квітень чистий'!N33</f>
        <v>-335560</v>
      </c>
      <c r="O36" s="567">
        <f>'dod3 Квітень+Комісії+Сесія'!O36-'dod3 квітень чистий'!O33</f>
        <v>0</v>
      </c>
      <c r="P36" s="567">
        <f>'dod3 Квітень+Комісії+Сесія'!P36-'dod3 квітень чистий'!P33</f>
        <v>0</v>
      </c>
    </row>
    <row r="37" spans="1:18" ht="130.5" customHeight="1" x14ac:dyDescent="0.2">
      <c r="A37" s="556" t="s">
        <v>395</v>
      </c>
      <c r="B37" s="556" t="s">
        <v>396</v>
      </c>
      <c r="C37" s="556" t="s">
        <v>397</v>
      </c>
      <c r="D37" s="556" t="s">
        <v>394</v>
      </c>
      <c r="E37" s="567">
        <f>'dod3 Квітень+Комісії+Сесія'!E37-'dod3 квітень чистий'!E34</f>
        <v>0</v>
      </c>
      <c r="F37" s="567">
        <f>'dod3 Квітень+Комісії+Сесія'!F37-'dod3 квітень чистий'!F34</f>
        <v>0</v>
      </c>
      <c r="G37" s="567">
        <f>'dod3 Квітень+Комісії+Сесія'!G37-'dod3 квітень чистий'!G34</f>
        <v>0</v>
      </c>
      <c r="H37" s="567">
        <f>'dod3 Квітень+Комісії+Сесія'!H37-'dod3 квітень чистий'!H34</f>
        <v>0</v>
      </c>
      <c r="I37" s="567">
        <f>'dod3 Квітень+Комісії+Сесія'!I37-'dod3 квітень чистий'!I34</f>
        <v>0</v>
      </c>
      <c r="J37" s="567">
        <f>'dod3 Квітень+Комісії+Сесія'!J37-'dod3 квітень чистий'!J34</f>
        <v>0</v>
      </c>
      <c r="K37" s="567">
        <f>'dod3 Квітень+Комісії+Сесія'!K37-'dod3 квітень чистий'!K34</f>
        <v>0</v>
      </c>
      <c r="L37" s="567">
        <f>'dod3 Квітень+Комісії+Сесія'!L37-'dod3 квітень чистий'!L34</f>
        <v>0</v>
      </c>
      <c r="M37" s="567">
        <f>'dod3 Квітень+Комісії+Сесія'!M37-'dod3 квітень чистий'!M34</f>
        <v>0</v>
      </c>
      <c r="N37" s="567">
        <f>'dod3 Квітень+Комісії+Сесія'!N37-'dod3 квітень чистий'!N34</f>
        <v>0</v>
      </c>
      <c r="O37" s="567">
        <f>'dod3 Квітень+Комісії+Сесія'!O37-'dod3 квітень чистий'!O34</f>
        <v>0</v>
      </c>
      <c r="P37" s="567">
        <f>'dod3 Квітень+Комісії+Сесія'!P37-'dod3 квітень чистий'!P34</f>
        <v>0</v>
      </c>
    </row>
    <row r="38" spans="1:18" ht="112.5" customHeight="1" x14ac:dyDescent="0.2">
      <c r="A38" s="556" t="s">
        <v>399</v>
      </c>
      <c r="B38" s="556" t="s">
        <v>400</v>
      </c>
      <c r="C38" s="556"/>
      <c r="D38" s="555" t="s">
        <v>398</v>
      </c>
      <c r="E38" s="567">
        <f>'dod3 Квітень+Комісії+Сесія'!E38-'dod3 квітень чистий'!E35</f>
        <v>27200</v>
      </c>
      <c r="F38" s="567">
        <f>'dod3 Квітень+Комісії+Сесія'!F38-'dod3 квітень чистий'!F35</f>
        <v>27200</v>
      </c>
      <c r="G38" s="567">
        <f>'dod3 Квітень+Комісії+Сесія'!G38-'dod3 квітень чистий'!G35</f>
        <v>0</v>
      </c>
      <c r="H38" s="567">
        <f>'dod3 Квітень+Комісії+Сесія'!H38-'dod3 квітень чистий'!H35</f>
        <v>-27423</v>
      </c>
      <c r="I38" s="567">
        <f>'dod3 Квітень+Комісії+Сесія'!I38-'dod3 квітень чистий'!I35</f>
        <v>0</v>
      </c>
      <c r="J38" s="567">
        <f>'dod3 Квітень+Комісії+Сесія'!J38-'dod3 квітень чистий'!J35</f>
        <v>0</v>
      </c>
      <c r="K38" s="567">
        <f>'dod3 Квітень+Комісії+Сесія'!K38-'dod3 квітень чистий'!K35</f>
        <v>0</v>
      </c>
      <c r="L38" s="567">
        <f>'dod3 Квітень+Комісії+Сесія'!L38-'dod3 квітень чистий'!L35</f>
        <v>0</v>
      </c>
      <c r="M38" s="567">
        <f>'dod3 Квітень+Комісії+Сесія'!M38-'dod3 квітень чистий'!M35</f>
        <v>0</v>
      </c>
      <c r="N38" s="567">
        <f>'dod3 Квітень+Комісії+Сесія'!N38-'dod3 квітень чистий'!N35</f>
        <v>0</v>
      </c>
      <c r="O38" s="567">
        <f>'dod3 Квітень+Комісії+Сесія'!O38-'dod3 квітень чистий'!O35</f>
        <v>0</v>
      </c>
      <c r="P38" s="567">
        <f>'dod3 Квітень+Комісії+Сесія'!P38-'dod3 квітень чистий'!P35</f>
        <v>27200</v>
      </c>
    </row>
    <row r="39" spans="1:18" s="203" customFormat="1" ht="139.5" customHeight="1" x14ac:dyDescent="0.2">
      <c r="A39" s="552" t="s">
        <v>656</v>
      </c>
      <c r="B39" s="552" t="s">
        <v>657</v>
      </c>
      <c r="C39" s="552" t="s">
        <v>397</v>
      </c>
      <c r="D39" s="552" t="s">
        <v>655</v>
      </c>
      <c r="E39" s="567">
        <f>'dod3 Квітень+Комісії+Сесія'!E39-'dod3 квітень чистий'!E36</f>
        <v>0</v>
      </c>
      <c r="F39" s="567">
        <f>'dod3 Квітень+Комісії+Сесія'!F39-'dod3 квітень чистий'!F36</f>
        <v>0</v>
      </c>
      <c r="G39" s="567">
        <f>'dod3 Квітень+Комісії+Сесія'!G39-'dod3 квітень чистий'!G36</f>
        <v>0</v>
      </c>
      <c r="H39" s="567">
        <f>'dod3 Квітень+Комісії+Сесія'!H39-'dod3 квітень чистий'!H36</f>
        <v>-27423</v>
      </c>
      <c r="I39" s="567">
        <f>'dod3 Квітень+Комісії+Сесія'!I39-'dod3 квітень чистий'!I36</f>
        <v>0</v>
      </c>
      <c r="J39" s="567">
        <f>'dod3 Квітень+Комісії+Сесія'!J39-'dod3 квітень чистий'!J36</f>
        <v>0</v>
      </c>
      <c r="K39" s="567">
        <f>'dod3 Квітень+Комісії+Сесія'!K39-'dod3 квітень чистий'!K36</f>
        <v>0</v>
      </c>
      <c r="L39" s="567">
        <f>'dod3 Квітень+Комісії+Сесія'!L39-'dod3 квітень чистий'!L36</f>
        <v>0</v>
      </c>
      <c r="M39" s="567">
        <f>'dod3 Квітень+Комісії+Сесія'!M39-'dod3 квітень чистий'!M36</f>
        <v>0</v>
      </c>
      <c r="N39" s="567">
        <f>'dod3 Квітень+Комісії+Сесія'!N39-'dod3 квітень чистий'!N36</f>
        <v>0</v>
      </c>
      <c r="O39" s="567">
        <f>'dod3 Квітень+Комісії+Сесія'!O39-'dod3 квітень чистий'!O36</f>
        <v>0</v>
      </c>
      <c r="P39" s="567">
        <f>'dod3 Квітень+Комісії+Сесія'!P39-'dod3 квітень чистий'!P36</f>
        <v>0</v>
      </c>
    </row>
    <row r="40" spans="1:18" s="203" customFormat="1" ht="124.5" customHeight="1" x14ac:dyDescent="0.2">
      <c r="A40" s="552" t="s">
        <v>697</v>
      </c>
      <c r="B40" s="552" t="s">
        <v>698</v>
      </c>
      <c r="C40" s="552" t="s">
        <v>397</v>
      </c>
      <c r="D40" s="553" t="s">
        <v>696</v>
      </c>
      <c r="E40" s="567">
        <f>'dod3 Квітень+Комісії+Сесія'!E40-'dod3 квітень чистий'!E37</f>
        <v>27200</v>
      </c>
      <c r="F40" s="567">
        <f>'dod3 Квітень+Комісії+Сесія'!F40-'dod3 квітень чистий'!F37</f>
        <v>27200</v>
      </c>
      <c r="G40" s="567">
        <f>'dod3 Квітень+Комісії+Сесія'!G40-'dod3 квітень чистий'!G37</f>
        <v>0</v>
      </c>
      <c r="H40" s="567">
        <f>'dod3 Квітень+Комісії+Сесія'!H40-'dod3 квітень чистий'!H37</f>
        <v>0</v>
      </c>
      <c r="I40" s="567">
        <f>'dod3 Квітень+Комісії+Сесія'!I40-'dod3 квітень чистий'!I37</f>
        <v>0</v>
      </c>
      <c r="J40" s="567">
        <f>'dod3 Квітень+Комісії+Сесія'!J40-'dod3 квітень чистий'!J37</f>
        <v>0</v>
      </c>
      <c r="K40" s="567">
        <f>'dod3 Квітень+Комісії+Сесія'!K40-'dod3 квітень чистий'!K37</f>
        <v>0</v>
      </c>
      <c r="L40" s="567">
        <f>'dod3 Квітень+Комісії+Сесія'!L40-'dod3 квітень чистий'!L37</f>
        <v>0</v>
      </c>
      <c r="M40" s="567">
        <f>'dod3 Квітень+Комісії+Сесія'!M40-'dod3 квітень чистий'!M37</f>
        <v>0</v>
      </c>
      <c r="N40" s="567">
        <f>'dod3 Квітень+Комісії+Сесія'!N40-'dod3 квітень чистий'!N37</f>
        <v>0</v>
      </c>
      <c r="O40" s="567">
        <f>'dod3 Квітень+Комісії+Сесія'!O40-'dod3 квітень чистий'!O37</f>
        <v>0</v>
      </c>
      <c r="P40" s="567">
        <f>'dod3 Квітень+Комісії+Сесія'!P40-'dod3 квітень чистий'!P37</f>
        <v>27200</v>
      </c>
    </row>
    <row r="41" spans="1:18" s="203" customFormat="1" ht="183" x14ac:dyDescent="0.2">
      <c r="A41" s="555" t="s">
        <v>1018</v>
      </c>
      <c r="B41" s="555" t="s">
        <v>1019</v>
      </c>
      <c r="C41" s="555" t="s">
        <v>397</v>
      </c>
      <c r="D41" s="556" t="s">
        <v>1020</v>
      </c>
      <c r="E41" s="567">
        <f>0-'dod3 квітень чистий'!E38</f>
        <v>-27200</v>
      </c>
      <c r="F41" s="567">
        <f>0-'dod3 квітень чистий'!F38</f>
        <v>-27200</v>
      </c>
      <c r="G41" s="567">
        <f>0-'dod3 квітень чистий'!G38</f>
        <v>0</v>
      </c>
      <c r="H41" s="567">
        <f>0-'dod3 квітень чистий'!H38</f>
        <v>0</v>
      </c>
      <c r="I41" s="567">
        <f>0-'dod3 квітень чистий'!I38</f>
        <v>0</v>
      </c>
      <c r="J41" s="567">
        <f>0-'dod3 квітень чистий'!J38</f>
        <v>0</v>
      </c>
      <c r="K41" s="567">
        <f>0-'dod3 квітень чистий'!K38</f>
        <v>0</v>
      </c>
      <c r="L41" s="567">
        <f>0-'dod3 квітень чистий'!L38</f>
        <v>0</v>
      </c>
      <c r="M41" s="567">
        <f>0-'dod3 квітень чистий'!M38</f>
        <v>0</v>
      </c>
      <c r="N41" s="567">
        <f>0-'dod3 квітень чистий'!N38</f>
        <v>0</v>
      </c>
      <c r="O41" s="567">
        <f>0-'dod3 квітень чистий'!O38</f>
        <v>0</v>
      </c>
      <c r="P41" s="567">
        <f>0-'dod3 квітень чистий'!P38</f>
        <v>-27200</v>
      </c>
    </row>
    <row r="42" spans="1:18" ht="46.5" x14ac:dyDescent="0.2">
      <c r="A42" s="556" t="s">
        <v>402</v>
      </c>
      <c r="B42" s="556" t="s">
        <v>403</v>
      </c>
      <c r="C42" s="556" t="s">
        <v>404</v>
      </c>
      <c r="D42" s="556" t="s">
        <v>99</v>
      </c>
      <c r="E42" s="567">
        <f>'dod3 Квітень+Комісії+Сесія'!E41-'dod3 квітень чистий'!E39</f>
        <v>0</v>
      </c>
      <c r="F42" s="567">
        <f>'dod3 Квітень+Комісії+Сесія'!F41-'dod3 квітень чистий'!F39</f>
        <v>0</v>
      </c>
      <c r="G42" s="567">
        <f>'dod3 Квітень+Комісії+Сесія'!G41-'dod3 квітень чистий'!G39</f>
        <v>0</v>
      </c>
      <c r="H42" s="567">
        <f>'dod3 Квітень+Комісії+Сесія'!H41-'dod3 квітень чистий'!H39</f>
        <v>0</v>
      </c>
      <c r="I42" s="567">
        <f>'dod3 Квітень+Комісії+Сесія'!I41-'dod3 квітень чистий'!I39</f>
        <v>0</v>
      </c>
      <c r="J42" s="567">
        <f>'dod3 Квітень+Комісії+Сесія'!J41-'dod3 квітень чистий'!J39</f>
        <v>0</v>
      </c>
      <c r="K42" s="567">
        <f>'dod3 Квітень+Комісії+Сесія'!K41-'dod3 квітень чистий'!K39</f>
        <v>0</v>
      </c>
      <c r="L42" s="567">
        <f>'dod3 Квітень+Комісії+Сесія'!L41-'dod3 квітень чистий'!L39</f>
        <v>0</v>
      </c>
      <c r="M42" s="567">
        <f>'dod3 Квітень+Комісії+Сесія'!M41-'dod3 квітень чистий'!M39</f>
        <v>0</v>
      </c>
      <c r="N42" s="567">
        <f>'dod3 Квітень+Комісії+Сесія'!N41-'dod3 квітень чистий'!N39</f>
        <v>0</v>
      </c>
      <c r="O42" s="567">
        <f>'dod3 Квітень+Комісії+Сесія'!O41-'dod3 квітень чистий'!O39</f>
        <v>0</v>
      </c>
      <c r="P42" s="567">
        <f>'dod3 Квітень+Комісії+Сесія'!P41-'dod3 квітень чистий'!P39</f>
        <v>0</v>
      </c>
    </row>
    <row r="43" spans="1:18" ht="135" x14ac:dyDescent="0.2">
      <c r="A43" s="442" t="s">
        <v>308</v>
      </c>
      <c r="B43" s="443"/>
      <c r="C43" s="443"/>
      <c r="D43" s="434" t="s">
        <v>53</v>
      </c>
      <c r="E43" s="441">
        <f>E44</f>
        <v>3490200</v>
      </c>
      <c r="F43" s="444">
        <f t="shared" ref="F43:P43" si="7">F44</f>
        <v>3490200</v>
      </c>
      <c r="G43" s="441">
        <f t="shared" si="7"/>
        <v>0</v>
      </c>
      <c r="H43" s="441">
        <f t="shared" si="7"/>
        <v>0</v>
      </c>
      <c r="I43" s="444">
        <f t="shared" si="7"/>
        <v>0</v>
      </c>
      <c r="J43" s="441">
        <f t="shared" si="7"/>
        <v>0</v>
      </c>
      <c r="K43" s="444">
        <f t="shared" si="7"/>
        <v>0</v>
      </c>
      <c r="L43" s="441">
        <f t="shared" si="7"/>
        <v>0</v>
      </c>
      <c r="M43" s="441">
        <f t="shared" si="7"/>
        <v>0</v>
      </c>
      <c r="N43" s="444">
        <f t="shared" si="7"/>
        <v>0</v>
      </c>
      <c r="O43" s="441">
        <f t="shared" si="7"/>
        <v>0</v>
      </c>
      <c r="P43" s="441">
        <f t="shared" si="7"/>
        <v>3490200</v>
      </c>
    </row>
    <row r="44" spans="1:18" ht="135" x14ac:dyDescent="0.2">
      <c r="A44" s="433" t="s">
        <v>309</v>
      </c>
      <c r="B44" s="433"/>
      <c r="C44" s="433"/>
      <c r="D44" s="438" t="s">
        <v>91</v>
      </c>
      <c r="E44" s="439">
        <f>E45+E46+E47+E48+E54+E49+E51+E57</f>
        <v>3490200</v>
      </c>
      <c r="F44" s="440">
        <f>F45+F46+F47+F48+F54+F49+F51</f>
        <v>3490200</v>
      </c>
      <c r="G44" s="439">
        <f>G45+G46+G47+G48+G54+G49+G51</f>
        <v>0</v>
      </c>
      <c r="H44" s="439">
        <f>H45+H46+H47+H48+H54+H49+H51</f>
        <v>0</v>
      </c>
      <c r="I44" s="440">
        <v>0</v>
      </c>
      <c r="J44" s="439">
        <f t="shared" ref="J44" si="8">K44+N44</f>
        <v>0</v>
      </c>
      <c r="K44" s="440">
        <f>K45+K46+K47+K48+K54+K49+K51+K57</f>
        <v>0</v>
      </c>
      <c r="L44" s="439">
        <f>L45+L46+L47+L48+L54+L49+L51</f>
        <v>0</v>
      </c>
      <c r="M44" s="439">
        <f>M45+M46+M47+M48+M54+M49+M51</f>
        <v>0</v>
      </c>
      <c r="N44" s="440">
        <f>N45+N46+N47+N48+N54+N49+N51+N57</f>
        <v>0</v>
      </c>
      <c r="O44" s="439">
        <f>O45+O46+O47+O48+O54+O49+O57</f>
        <v>0</v>
      </c>
      <c r="P44" s="439">
        <f t="shared" ref="P44" si="9">E44+J44</f>
        <v>3490200</v>
      </c>
      <c r="Q44" s="240" t="b">
        <f>P44=P45+P46+P47+P48+P50+P52+P53+P55+P56+P57</f>
        <v>1</v>
      </c>
      <c r="R44" s="240"/>
    </row>
    <row r="45" spans="1:18" ht="91.5" x14ac:dyDescent="0.2">
      <c r="A45" s="556" t="s">
        <v>405</v>
      </c>
      <c r="B45" s="556" t="s">
        <v>401</v>
      </c>
      <c r="C45" s="556" t="s">
        <v>406</v>
      </c>
      <c r="D45" s="556" t="s">
        <v>55</v>
      </c>
      <c r="E45" s="567">
        <f>'dod3 Квітень+Комісії+Сесія'!E44-'dod3 квітень чистий'!E42</f>
        <v>-3120000</v>
      </c>
      <c r="F45" s="567">
        <f>'dod3 Квітень+Комісії+Сесія'!F44-'dod3 квітень чистий'!F42</f>
        <v>-3120000</v>
      </c>
      <c r="G45" s="567">
        <f>'dod3 Квітень+Комісії+Сесія'!G44-'dod3 квітень чистий'!G42</f>
        <v>0</v>
      </c>
      <c r="H45" s="567">
        <f>'dod3 Квітень+Комісії+Сесія'!H44-'dod3 квітень чистий'!H42</f>
        <v>0</v>
      </c>
      <c r="I45" s="567">
        <f>'dod3 Квітень+Комісії+Сесія'!I44-'dod3 квітень чистий'!I42</f>
        <v>0</v>
      </c>
      <c r="J45" s="567">
        <f>'dod3 Квітень+Комісії+Сесія'!J44-'dod3 квітень чистий'!J42</f>
        <v>0</v>
      </c>
      <c r="K45" s="567">
        <f>'dod3 Квітень+Комісії+Сесія'!K44-'dod3 квітень чистий'!K42</f>
        <v>0</v>
      </c>
      <c r="L45" s="567">
        <f>'dod3 Квітень+Комісії+Сесія'!L44-'dod3 квітень чистий'!L42</f>
        <v>0</v>
      </c>
      <c r="M45" s="567">
        <f>'dod3 Квітень+Комісії+Сесія'!M44-'dod3 квітень чистий'!M42</f>
        <v>0</v>
      </c>
      <c r="N45" s="567">
        <f>'dod3 Квітень+Комісії+Сесія'!N44-'dod3 квітень чистий'!N42</f>
        <v>0</v>
      </c>
      <c r="O45" s="567">
        <f>'dod3 Квітень+Комісії+Сесія'!O44-'dod3 квітень чистий'!O42</f>
        <v>0</v>
      </c>
      <c r="P45" s="567">
        <f>'dod3 Квітень+Комісії+Сесія'!P44-'dod3 квітень чистий'!P42</f>
        <v>-3120000</v>
      </c>
    </row>
    <row r="46" spans="1:18" ht="137.25" x14ac:dyDescent="0.2">
      <c r="A46" s="556" t="s">
        <v>407</v>
      </c>
      <c r="B46" s="556" t="s">
        <v>408</v>
      </c>
      <c r="C46" s="556" t="s">
        <v>409</v>
      </c>
      <c r="D46" s="556" t="s">
        <v>410</v>
      </c>
      <c r="E46" s="567">
        <f>'dod3 Квітень+Комісії+Сесія'!E45-'dod3 квітень чистий'!E43</f>
        <v>0</v>
      </c>
      <c r="F46" s="567">
        <f>'dod3 Квітень+Комісії+Сесія'!F45-'dod3 квітень чистий'!F43</f>
        <v>0</v>
      </c>
      <c r="G46" s="567">
        <f>'dod3 Квітень+Комісії+Сесія'!G45-'dod3 квітень чистий'!G43</f>
        <v>0</v>
      </c>
      <c r="H46" s="567">
        <f>'dod3 Квітень+Комісії+Сесія'!H45-'dod3 квітень чистий'!H43</f>
        <v>0</v>
      </c>
      <c r="I46" s="567">
        <f>'dod3 Квітень+Комісії+Сесія'!I45-'dod3 квітень чистий'!I43</f>
        <v>0</v>
      </c>
      <c r="J46" s="567">
        <f>'dod3 Квітень+Комісії+Сесія'!J45-'dod3 квітень чистий'!J43</f>
        <v>0</v>
      </c>
      <c r="K46" s="567">
        <f>'dod3 Квітень+Комісії+Сесія'!K45-'dod3 квітень чистий'!K43</f>
        <v>0</v>
      </c>
      <c r="L46" s="567">
        <f>'dod3 Квітень+Комісії+Сесія'!L45-'dod3 квітень чистий'!L43</f>
        <v>0</v>
      </c>
      <c r="M46" s="567">
        <f>'dod3 Квітень+Комісії+Сесія'!M45-'dod3 квітень чистий'!M43</f>
        <v>0</v>
      </c>
      <c r="N46" s="567">
        <f>'dod3 Квітень+Комісії+Сесія'!N45-'dod3 квітень чистий'!N43</f>
        <v>0</v>
      </c>
      <c r="O46" s="567">
        <f>'dod3 Квітень+Комісії+Сесія'!O45-'dod3 квітень чистий'!O43</f>
        <v>0</v>
      </c>
      <c r="P46" s="567">
        <f>'dod3 Квітень+Комісії+Сесія'!P45-'dod3 квітень чистий'!P43</f>
        <v>0</v>
      </c>
    </row>
    <row r="47" spans="1:18" ht="137.25" x14ac:dyDescent="0.2">
      <c r="A47" s="556" t="s">
        <v>411</v>
      </c>
      <c r="B47" s="556" t="s">
        <v>412</v>
      </c>
      <c r="C47" s="556" t="s">
        <v>413</v>
      </c>
      <c r="D47" s="556" t="s">
        <v>730</v>
      </c>
      <c r="E47" s="567">
        <f>'dod3 Квітень+Комісії+Сесія'!E46-'dod3 квітень чистий'!E44</f>
        <v>0</v>
      </c>
      <c r="F47" s="567">
        <f>'dod3 Квітень+Комісії+Сесія'!F46-'dod3 квітень чистий'!F44</f>
        <v>0</v>
      </c>
      <c r="G47" s="567">
        <f>'dod3 Квітень+Комісії+Сесія'!G46-'dod3 квітень чистий'!G44</f>
        <v>0</v>
      </c>
      <c r="H47" s="567">
        <f>'dod3 Квітень+Комісії+Сесія'!H46-'dod3 квітень чистий'!H44</f>
        <v>0</v>
      </c>
      <c r="I47" s="567">
        <f>'dod3 Квітень+Комісії+Сесія'!I46-'dod3 квітень чистий'!I44</f>
        <v>0</v>
      </c>
      <c r="J47" s="567">
        <f>'dod3 Квітень+Комісії+Сесія'!J46-'dod3 квітень чистий'!J44</f>
        <v>0</v>
      </c>
      <c r="K47" s="567">
        <f>'dod3 Квітень+Комісії+Сесія'!K46-'dod3 квітень чистий'!K44</f>
        <v>0</v>
      </c>
      <c r="L47" s="567">
        <f>'dod3 Квітень+Комісії+Сесія'!L46-'dod3 квітень чистий'!L44</f>
        <v>0</v>
      </c>
      <c r="M47" s="567">
        <f>'dod3 Квітень+Комісії+Сесія'!M46-'dod3 квітень чистий'!M44</f>
        <v>0</v>
      </c>
      <c r="N47" s="567">
        <f>'dod3 Квітень+Комісії+Сесія'!N46-'dod3 квітень чистий'!N44</f>
        <v>0</v>
      </c>
      <c r="O47" s="567">
        <f>'dod3 Квітень+Комісії+Сесія'!O46-'dod3 квітень чистий'!O44</f>
        <v>0</v>
      </c>
      <c r="P47" s="567">
        <f>'dod3 Квітень+Комісії+Сесія'!P46-'dod3 квітень чистий'!P44</f>
        <v>0</v>
      </c>
    </row>
    <row r="48" spans="1:18" ht="91.5" x14ac:dyDescent="0.2">
      <c r="A48" s="556" t="s">
        <v>414</v>
      </c>
      <c r="B48" s="556" t="s">
        <v>415</v>
      </c>
      <c r="C48" s="556" t="s">
        <v>416</v>
      </c>
      <c r="D48" s="556" t="s">
        <v>417</v>
      </c>
      <c r="E48" s="567">
        <f>'dod3 Квітень+Комісії+Сесія'!E47-'dod3 квітень чистий'!E45</f>
        <v>0</v>
      </c>
      <c r="F48" s="567">
        <f>'dod3 Квітень+Комісії+Сесія'!F47-'dod3 квітень чистий'!F45</f>
        <v>0</v>
      </c>
      <c r="G48" s="567">
        <f>'dod3 Квітень+Комісії+Сесія'!G47-'dod3 квітень чистий'!G45</f>
        <v>0</v>
      </c>
      <c r="H48" s="567">
        <f>'dod3 Квітень+Комісії+Сесія'!H47-'dod3 квітень чистий'!H45</f>
        <v>0</v>
      </c>
      <c r="I48" s="567">
        <f>'dod3 Квітень+Комісії+Сесія'!I47-'dod3 квітень чистий'!I45</f>
        <v>0</v>
      </c>
      <c r="J48" s="567">
        <f>'dod3 Квітень+Комісії+Сесія'!J47-'dod3 квітень чистий'!J45</f>
        <v>0</v>
      </c>
      <c r="K48" s="567">
        <f>'dod3 Квітень+Комісії+Сесія'!K47-'dod3 квітень чистий'!K45</f>
        <v>0</v>
      </c>
      <c r="L48" s="567">
        <f>'dod3 Квітень+Комісії+Сесія'!L47-'dod3 квітень чистий'!L45</f>
        <v>0</v>
      </c>
      <c r="M48" s="567">
        <f>'dod3 Квітень+Комісії+Сесія'!M47-'dod3 квітень чистий'!M45</f>
        <v>0</v>
      </c>
      <c r="N48" s="567">
        <f>'dod3 Квітень+Комісії+Сесія'!N47-'dod3 квітень чистий'!N45</f>
        <v>0</v>
      </c>
      <c r="O48" s="567">
        <f>'dod3 Квітень+Комісії+Сесія'!O47-'dod3 квітень чистий'!O45</f>
        <v>0</v>
      </c>
      <c r="P48" s="567">
        <f>'dod3 Квітень+Комісії+Сесія'!P47-'dod3 квітень чистий'!P45</f>
        <v>0</v>
      </c>
    </row>
    <row r="49" spans="1:22" ht="91.5" x14ac:dyDescent="0.2">
      <c r="A49" s="556" t="s">
        <v>418</v>
      </c>
      <c r="B49" s="556" t="s">
        <v>419</v>
      </c>
      <c r="C49" s="556"/>
      <c r="D49" s="556" t="s">
        <v>731</v>
      </c>
      <c r="E49" s="567">
        <f>'dod3 Квітень+Комісії+Сесія'!E48-'dod3 квітень чистий'!E46</f>
        <v>1780000</v>
      </c>
      <c r="F49" s="567">
        <f>'dod3 Квітень+Комісії+Сесія'!F48-'dod3 квітень чистий'!F46</f>
        <v>1780000</v>
      </c>
      <c r="G49" s="567">
        <f>'dod3 Квітень+Комісії+Сесія'!G48-'dod3 квітень чистий'!G46</f>
        <v>0</v>
      </c>
      <c r="H49" s="567">
        <f>'dod3 Квітень+Комісії+Сесія'!H48-'dod3 квітень чистий'!H46</f>
        <v>0</v>
      </c>
      <c r="I49" s="567">
        <f>'dod3 Квітень+Комісії+Сесія'!I48-'dod3 квітень чистий'!I46</f>
        <v>0</v>
      </c>
      <c r="J49" s="567">
        <f>'dod3 Квітень+Комісії+Сесія'!J48-'dod3 квітень чистий'!J46</f>
        <v>0</v>
      </c>
      <c r="K49" s="567">
        <f>'dod3 Квітень+Комісії+Сесія'!K48-'dod3 квітень чистий'!K46</f>
        <v>0</v>
      </c>
      <c r="L49" s="567">
        <f>'dod3 Квітень+Комісії+Сесія'!L48-'dod3 квітень чистий'!L46</f>
        <v>0</v>
      </c>
      <c r="M49" s="567">
        <f>'dod3 Квітень+Комісії+Сесія'!M48-'dod3 квітень чистий'!M46</f>
        <v>0</v>
      </c>
      <c r="N49" s="567">
        <f>'dod3 Квітень+Комісії+Сесія'!N48-'dod3 квітень чистий'!N46</f>
        <v>0</v>
      </c>
      <c r="O49" s="567">
        <f>'dod3 Квітень+Комісії+Сесія'!O48-'dod3 квітень чистий'!O46</f>
        <v>0</v>
      </c>
      <c r="P49" s="567">
        <f>'dod3 Квітень+Комісії+Сесія'!P48-'dod3 квітень чистий'!P46</f>
        <v>1780000</v>
      </c>
    </row>
    <row r="50" spans="1:22" ht="183" x14ac:dyDescent="0.2">
      <c r="A50" s="553" t="s">
        <v>420</v>
      </c>
      <c r="B50" s="552" t="s">
        <v>421</v>
      </c>
      <c r="C50" s="552" t="s">
        <v>732</v>
      </c>
      <c r="D50" s="553" t="s">
        <v>422</v>
      </c>
      <c r="E50" s="567">
        <f>'dod3 Квітень+Комісії+Сесія'!E49-'dod3 квітень чистий'!E47</f>
        <v>1780000</v>
      </c>
      <c r="F50" s="567">
        <f>'dod3 Квітень+Комісії+Сесія'!F49-'dod3 квітень чистий'!F47</f>
        <v>1780000</v>
      </c>
      <c r="G50" s="567">
        <f>'dod3 Квітень+Комісії+Сесія'!G49-'dod3 квітень чистий'!G47</f>
        <v>0</v>
      </c>
      <c r="H50" s="567">
        <f>'dod3 Квітень+Комісії+Сесія'!H49-'dod3 квітень чистий'!H47</f>
        <v>0</v>
      </c>
      <c r="I50" s="567">
        <f>'dod3 Квітень+Комісії+Сесія'!I49-'dod3 квітень чистий'!I47</f>
        <v>0</v>
      </c>
      <c r="J50" s="567">
        <f>'dod3 Квітень+Комісії+Сесія'!J49-'dod3 квітень чистий'!J47</f>
        <v>0</v>
      </c>
      <c r="K50" s="567">
        <f>'dod3 Квітень+Комісії+Сесія'!K49-'dod3 квітень чистий'!K47</f>
        <v>0</v>
      </c>
      <c r="L50" s="567">
        <f>'dod3 Квітень+Комісії+Сесія'!L49-'dod3 квітень чистий'!L47</f>
        <v>0</v>
      </c>
      <c r="M50" s="567">
        <f>'dod3 Квітень+Комісії+Сесія'!M49-'dod3 квітень чистий'!M47</f>
        <v>0</v>
      </c>
      <c r="N50" s="567">
        <f>'dod3 Квітень+Комісії+Сесія'!N49-'dod3 квітень чистий'!N47</f>
        <v>0</v>
      </c>
      <c r="O50" s="567">
        <f>'dod3 Квітень+Комісії+Сесія'!O49-'dod3 квітень чистий'!O47</f>
        <v>0</v>
      </c>
      <c r="P50" s="567">
        <f>'dod3 Квітень+Комісії+Сесія'!P49-'dod3 квітень чистий'!P47</f>
        <v>1780000</v>
      </c>
    </row>
    <row r="51" spans="1:22" ht="137.25" x14ac:dyDescent="0.2">
      <c r="A51" s="556" t="s">
        <v>783</v>
      </c>
      <c r="B51" s="555" t="s">
        <v>784</v>
      </c>
      <c r="C51" s="555"/>
      <c r="D51" s="555" t="s">
        <v>785</v>
      </c>
      <c r="E51" s="567">
        <f>'dod3 Квітень+Комісії+Сесія'!E50-'dod3 квітень чистий'!E48</f>
        <v>4830200</v>
      </c>
      <c r="F51" s="567">
        <f>'dod3 Квітень+Комісії+Сесія'!F50-'dod3 квітень чистий'!F48</f>
        <v>4830200</v>
      </c>
      <c r="G51" s="567">
        <f>'dod3 Квітень+Комісії+Сесія'!G50-'dod3 квітень чистий'!G48</f>
        <v>0</v>
      </c>
      <c r="H51" s="567">
        <f>'dod3 Квітень+Комісії+Сесія'!H50-'dod3 квітень чистий'!H48</f>
        <v>0</v>
      </c>
      <c r="I51" s="567">
        <f>'dod3 Квітень+Комісії+Сесія'!I50-'dod3 квітень чистий'!I48</f>
        <v>0</v>
      </c>
      <c r="J51" s="567">
        <f>'dod3 Квітень+Комісії+Сесія'!J50-'dod3 квітень чистий'!J48</f>
        <v>0</v>
      </c>
      <c r="K51" s="567">
        <f>'dod3 Квітень+Комісії+Сесія'!K50-'dod3 квітень чистий'!K48</f>
        <v>0</v>
      </c>
      <c r="L51" s="567">
        <f>'dod3 Квітень+Комісії+Сесія'!L50-'dod3 квітень чистий'!L48</f>
        <v>0</v>
      </c>
      <c r="M51" s="567">
        <f>'dod3 Квітень+Комісії+Сесія'!M50-'dod3 квітень чистий'!M48</f>
        <v>0</v>
      </c>
      <c r="N51" s="567">
        <f>'dod3 Квітень+Комісії+Сесія'!N50-'dod3 квітень чистий'!N48</f>
        <v>0</v>
      </c>
      <c r="O51" s="567">
        <f>'dod3 Квітень+Комісії+Сесія'!O50-'dod3 квітень чистий'!O48</f>
        <v>0</v>
      </c>
      <c r="P51" s="567">
        <f>'dod3 Квітень+Комісії+Сесія'!P50-'dod3 квітень чистий'!P48</f>
        <v>4830200</v>
      </c>
    </row>
    <row r="52" spans="1:22" ht="183" x14ac:dyDescent="0.2">
      <c r="A52" s="553" t="s">
        <v>786</v>
      </c>
      <c r="B52" s="553" t="s">
        <v>787</v>
      </c>
      <c r="C52" s="555" t="s">
        <v>425</v>
      </c>
      <c r="D52" s="298" t="s">
        <v>788</v>
      </c>
      <c r="E52" s="567">
        <f>'dod3 Квітень+Комісії+Сесія'!E51-'dod3 квітень чистий'!E49</f>
        <v>1340000</v>
      </c>
      <c r="F52" s="567">
        <f>'dod3 Квітень+Комісії+Сесія'!F51-'dod3 квітень чистий'!F49</f>
        <v>1340000</v>
      </c>
      <c r="G52" s="567">
        <f>'dod3 Квітень+Комісії+Сесія'!G51-'dod3 квітень чистий'!G49</f>
        <v>0</v>
      </c>
      <c r="H52" s="567">
        <f>'dod3 Квітень+Комісії+Сесія'!H51-'dod3 квітень чистий'!H49</f>
        <v>0</v>
      </c>
      <c r="I52" s="567">
        <f>'dod3 Квітень+Комісії+Сесія'!I51-'dod3 квітень чистий'!I49</f>
        <v>0</v>
      </c>
      <c r="J52" s="567">
        <f>'dod3 Квітень+Комісії+Сесія'!J51-'dod3 квітень чистий'!J49</f>
        <v>0</v>
      </c>
      <c r="K52" s="567">
        <f>'dod3 Квітень+Комісії+Сесія'!K51-'dod3 квітень чистий'!K49</f>
        <v>0</v>
      </c>
      <c r="L52" s="567">
        <f>'dod3 Квітень+Комісії+Сесія'!L51-'dod3 квітень чистий'!L49</f>
        <v>0</v>
      </c>
      <c r="M52" s="567">
        <f>'dod3 Квітень+Комісії+Сесія'!M51-'dod3 квітень чистий'!M49</f>
        <v>0</v>
      </c>
      <c r="N52" s="567">
        <f>'dod3 Квітень+Комісії+Сесія'!N51-'dod3 квітень чистий'!N49</f>
        <v>0</v>
      </c>
      <c r="O52" s="567">
        <f>'dod3 Квітень+Комісії+Сесія'!O51-'dod3 квітень чистий'!O49</f>
        <v>0</v>
      </c>
      <c r="P52" s="567">
        <f>'dod3 Квітень+Комісії+Сесія'!P51-'dod3 квітень чистий'!P49</f>
        <v>1340000</v>
      </c>
    </row>
    <row r="53" spans="1:22" ht="183" x14ac:dyDescent="0.2">
      <c r="A53" s="553" t="s">
        <v>791</v>
      </c>
      <c r="B53" s="553" t="s">
        <v>790</v>
      </c>
      <c r="C53" s="555" t="s">
        <v>425</v>
      </c>
      <c r="D53" s="298" t="s">
        <v>789</v>
      </c>
      <c r="E53" s="567">
        <f>'dod3 Квітень+Комісії+Сесія'!E52-'dod3 квітень чистий'!E50</f>
        <v>3490200</v>
      </c>
      <c r="F53" s="567">
        <f>'dod3 Квітень+Комісії+Сесія'!F52-'dod3 квітень чистий'!F50</f>
        <v>3490200</v>
      </c>
      <c r="G53" s="567">
        <f>'dod3 Квітень+Комісії+Сесія'!G52-'dod3 квітень чистий'!G50</f>
        <v>0</v>
      </c>
      <c r="H53" s="567">
        <f>'dod3 Квітень+Комісії+Сесія'!H52-'dod3 квітень чистий'!H50</f>
        <v>0</v>
      </c>
      <c r="I53" s="567">
        <f>'dod3 Квітень+Комісії+Сесія'!I52-'dod3 квітень чистий'!I50</f>
        <v>0</v>
      </c>
      <c r="J53" s="567">
        <f>'dod3 Квітень+Комісії+Сесія'!J52-'dod3 квітень чистий'!J50</f>
        <v>0</v>
      </c>
      <c r="K53" s="567">
        <f>'dod3 Квітень+Комісії+Сесія'!K52-'dod3 квітень чистий'!K50</f>
        <v>0</v>
      </c>
      <c r="L53" s="567">
        <f>'dod3 Квітень+Комісії+Сесія'!L52-'dod3 квітень чистий'!L50</f>
        <v>0</v>
      </c>
      <c r="M53" s="567">
        <f>'dod3 Квітень+Комісії+Сесія'!M52-'dod3 квітень чистий'!M50</f>
        <v>0</v>
      </c>
      <c r="N53" s="567">
        <f>'dod3 Квітень+Комісії+Сесія'!N52-'dod3 квітень чистий'!N50</f>
        <v>0</v>
      </c>
      <c r="O53" s="567">
        <f>'dod3 Квітень+Комісії+Сесія'!O52-'dod3 квітень чистий'!O50</f>
        <v>0</v>
      </c>
      <c r="P53" s="567">
        <f>'dod3 Квітень+Комісії+Сесія'!P52-'dod3 квітень чистий'!P50</f>
        <v>3490200</v>
      </c>
    </row>
    <row r="54" spans="1:22" ht="91.5" customHeight="1" x14ac:dyDescent="0.2">
      <c r="A54" s="556" t="s">
        <v>423</v>
      </c>
      <c r="B54" s="555" t="s">
        <v>424</v>
      </c>
      <c r="C54" s="555"/>
      <c r="D54" s="555" t="s">
        <v>426</v>
      </c>
      <c r="E54" s="567">
        <f>'dod3 Квітень+Комісії+Сесія'!E53-'dod3 квітень чистий'!E51</f>
        <v>0</v>
      </c>
      <c r="F54" s="567">
        <f>'dod3 Квітень+Комісії+Сесія'!F53-'dod3 квітень чистий'!F51</f>
        <v>0</v>
      </c>
      <c r="G54" s="567">
        <f>'dod3 Квітень+Комісії+Сесія'!G53-'dod3 квітень чистий'!G51</f>
        <v>0</v>
      </c>
      <c r="H54" s="567">
        <f>'dod3 Квітень+Комісії+Сесія'!H53-'dod3 квітень чистий'!H51</f>
        <v>0</v>
      </c>
      <c r="I54" s="567">
        <f>'dod3 Квітень+Комісії+Сесія'!I53-'dod3 квітень чистий'!I51</f>
        <v>0</v>
      </c>
      <c r="J54" s="567">
        <f>'dod3 Квітень+Комісії+Сесія'!J53-'dod3 квітень чистий'!J51</f>
        <v>0</v>
      </c>
      <c r="K54" s="567">
        <f>'dod3 Квітень+Комісії+Сесія'!K53-'dod3 квітень чистий'!K51</f>
        <v>0</v>
      </c>
      <c r="L54" s="567">
        <f>'dod3 Квітень+Комісії+Сесія'!L53-'dod3 квітень чистий'!L51</f>
        <v>0</v>
      </c>
      <c r="M54" s="567">
        <f>'dod3 Квітень+Комісії+Сесія'!M53-'dod3 квітень чистий'!M51</f>
        <v>0</v>
      </c>
      <c r="N54" s="567">
        <f>'dod3 Квітень+Комісії+Сесія'!N53-'dod3 квітень чистий'!N51</f>
        <v>0</v>
      </c>
      <c r="O54" s="567">
        <f>'dod3 Квітень+Комісії+Сесія'!O53-'dod3 квітень чистий'!O51</f>
        <v>0</v>
      </c>
      <c r="P54" s="567">
        <f>'dod3 Квітень+Комісії+Сесія'!P53-'dod3 квітень чистий'!P51</f>
        <v>0</v>
      </c>
    </row>
    <row r="55" spans="1:22" s="203" customFormat="1" ht="137.25" x14ac:dyDescent="0.2">
      <c r="A55" s="553" t="s">
        <v>660</v>
      </c>
      <c r="B55" s="553" t="s">
        <v>662</v>
      </c>
      <c r="C55" s="552" t="s">
        <v>425</v>
      </c>
      <c r="D55" s="298" t="s">
        <v>658</v>
      </c>
      <c r="E55" s="567">
        <f>'dod3 Квітень+Комісії+Сесія'!E54-'dod3 квітень чистий'!E52</f>
        <v>0</v>
      </c>
      <c r="F55" s="567">
        <f>'dod3 Квітень+Комісії+Сесія'!F54-'dod3 квітень чистий'!F52</f>
        <v>0</v>
      </c>
      <c r="G55" s="567">
        <f>'dod3 Квітень+Комісії+Сесія'!G54-'dod3 квітень чистий'!G52</f>
        <v>0</v>
      </c>
      <c r="H55" s="567">
        <f>'dod3 Квітень+Комісії+Сесія'!H54-'dod3 квітень чистий'!H52</f>
        <v>0</v>
      </c>
      <c r="I55" s="567">
        <f>'dod3 Квітень+Комісії+Сесія'!I54-'dod3 квітень чистий'!I52</f>
        <v>0</v>
      </c>
      <c r="J55" s="567">
        <f>'dod3 Квітень+Комісії+Сесія'!J54-'dod3 квітень чистий'!J52</f>
        <v>0</v>
      </c>
      <c r="K55" s="567">
        <f>'dod3 Квітень+Комісії+Сесія'!K54-'dod3 квітень чистий'!K52</f>
        <v>0</v>
      </c>
      <c r="L55" s="567">
        <f>'dod3 Квітень+Комісії+Сесія'!L54-'dod3 квітень чистий'!L52</f>
        <v>0</v>
      </c>
      <c r="M55" s="567">
        <f>'dod3 Квітень+Комісії+Сесія'!M54-'dod3 квітень чистий'!M52</f>
        <v>0</v>
      </c>
      <c r="N55" s="567">
        <f>'dod3 Квітень+Комісії+Сесія'!N54-'dod3 квітень чистий'!N52</f>
        <v>0</v>
      </c>
      <c r="O55" s="567">
        <f>'dod3 Квітень+Комісії+Сесія'!O54-'dod3 квітень чистий'!O52</f>
        <v>0</v>
      </c>
      <c r="P55" s="567">
        <f>'dod3 Квітень+Комісії+Сесія'!P54-'dod3 квітень чистий'!P52</f>
        <v>0</v>
      </c>
    </row>
    <row r="56" spans="1:22" s="203" customFormat="1" ht="91.5" x14ac:dyDescent="0.2">
      <c r="A56" s="553" t="s">
        <v>661</v>
      </c>
      <c r="B56" s="553" t="s">
        <v>663</v>
      </c>
      <c r="C56" s="552" t="s">
        <v>425</v>
      </c>
      <c r="D56" s="298" t="s">
        <v>659</v>
      </c>
      <c r="E56" s="567">
        <f>'dod3 Квітень+Комісії+Сесія'!E55-'dod3 квітень чистий'!E53</f>
        <v>0</v>
      </c>
      <c r="F56" s="567">
        <f>'dod3 Квітень+Комісії+Сесія'!F55-'dod3 квітень чистий'!F53</f>
        <v>0</v>
      </c>
      <c r="G56" s="567">
        <f>'dod3 Квітень+Комісії+Сесія'!G55-'dod3 квітень чистий'!G53</f>
        <v>0</v>
      </c>
      <c r="H56" s="567">
        <f>'dod3 Квітень+Комісії+Сесія'!H55-'dod3 квітень чистий'!H53</f>
        <v>0</v>
      </c>
      <c r="I56" s="567">
        <f>'dod3 Квітень+Комісії+Сесія'!I55-'dod3 квітень чистий'!I53</f>
        <v>0</v>
      </c>
      <c r="J56" s="567">
        <f>'dod3 Квітень+Комісії+Сесія'!J55-'dod3 квітень чистий'!J53</f>
        <v>0</v>
      </c>
      <c r="K56" s="567">
        <f>'dod3 Квітень+Комісії+Сесія'!K55-'dod3 квітень чистий'!K53</f>
        <v>0</v>
      </c>
      <c r="L56" s="567">
        <f>'dod3 Квітень+Комісії+Сесія'!L55-'dod3 квітень чистий'!L53</f>
        <v>0</v>
      </c>
      <c r="M56" s="567">
        <f>'dod3 Квітень+Комісії+Сесія'!M55-'dod3 квітень чистий'!M53</f>
        <v>0</v>
      </c>
      <c r="N56" s="567">
        <f>'dod3 Квітень+Комісії+Сесія'!N55-'dod3 квітень чистий'!N53</f>
        <v>0</v>
      </c>
      <c r="O56" s="567">
        <f>'dod3 Квітень+Комісії+Сесія'!O55-'dod3 квітень чистий'!O53</f>
        <v>0</v>
      </c>
      <c r="P56" s="567">
        <f>'dod3 Квітень+Комісії+Сесія'!P55-'dod3 квітень чистий'!P53</f>
        <v>0</v>
      </c>
    </row>
    <row r="57" spans="1:22" ht="91.5" x14ac:dyDescent="0.2">
      <c r="A57" s="556" t="s">
        <v>799</v>
      </c>
      <c r="B57" s="555" t="s">
        <v>800</v>
      </c>
      <c r="C57" s="555" t="s">
        <v>103</v>
      </c>
      <c r="D57" s="555" t="s">
        <v>801</v>
      </c>
      <c r="E57" s="567">
        <f>'dod3 Квітень+Комісії+Сесія'!E56-'dod3 квітень чистий'!E54</f>
        <v>0</v>
      </c>
      <c r="F57" s="567">
        <f>'dod3 Квітень+Комісії+Сесія'!F56-'dod3 квітень чистий'!F54</f>
        <v>0</v>
      </c>
      <c r="G57" s="567">
        <f>'dod3 Квітень+Комісії+Сесія'!G56-'dod3 квітень чистий'!G54</f>
        <v>0</v>
      </c>
      <c r="H57" s="567">
        <f>'dod3 Квітень+Комісії+Сесія'!H56-'dod3 квітень чистий'!H54</f>
        <v>0</v>
      </c>
      <c r="I57" s="567">
        <f>'dod3 Квітень+Комісії+Сесія'!I56-'dod3 квітень чистий'!I54</f>
        <v>0</v>
      </c>
      <c r="J57" s="567">
        <f>'dod3 Квітень+Комісії+Сесія'!J56-'dod3 квітень чистий'!J54</f>
        <v>0</v>
      </c>
      <c r="K57" s="567">
        <f>'dod3 Квітень+Комісії+Сесія'!K56-'dod3 квітень чистий'!K54</f>
        <v>0</v>
      </c>
      <c r="L57" s="567">
        <f>'dod3 Квітень+Комісії+Сесія'!L56-'dod3 квітень чистий'!L54</f>
        <v>0</v>
      </c>
      <c r="M57" s="567">
        <f>'dod3 Квітень+Комісії+Сесія'!M56-'dod3 квітень чистий'!M54</f>
        <v>0</v>
      </c>
      <c r="N57" s="567">
        <f>'dod3 Квітень+Комісії+Сесія'!N56-'dod3 квітень чистий'!N54</f>
        <v>0</v>
      </c>
      <c r="O57" s="567">
        <f>'dod3 Квітень+Комісії+Сесія'!O56-'dod3 квітень чистий'!O54</f>
        <v>0</v>
      </c>
      <c r="P57" s="567">
        <f>'dod3 Квітень+Комісії+Сесія'!P56-'dod3 квітень чистий'!P54</f>
        <v>0</v>
      </c>
    </row>
    <row r="58" spans="1:22" ht="225" x14ac:dyDescent="0.2">
      <c r="A58" s="433" t="s">
        <v>310</v>
      </c>
      <c r="B58" s="433"/>
      <c r="C58" s="433"/>
      <c r="D58" s="434" t="s">
        <v>92</v>
      </c>
      <c r="E58" s="440">
        <f>E59</f>
        <v>-6661180</v>
      </c>
      <c r="F58" s="440">
        <f>F59</f>
        <v>-6661180</v>
      </c>
      <c r="G58" s="440">
        <f>G59</f>
        <v>0</v>
      </c>
      <c r="H58" s="440">
        <f t="shared" ref="H58:O58" si="10">H59</f>
        <v>0</v>
      </c>
      <c r="I58" s="440">
        <f t="shared" si="10"/>
        <v>0</v>
      </c>
      <c r="J58" s="440">
        <f t="shared" si="10"/>
        <v>6864875.6299999999</v>
      </c>
      <c r="K58" s="440">
        <f t="shared" si="10"/>
        <v>0</v>
      </c>
      <c r="L58" s="440">
        <f t="shared" si="10"/>
        <v>0</v>
      </c>
      <c r="M58" s="440">
        <f t="shared" si="10"/>
        <v>0</v>
      </c>
      <c r="N58" s="440">
        <f t="shared" si="10"/>
        <v>6864875.6299999999</v>
      </c>
      <c r="O58" s="439">
        <f t="shared" si="10"/>
        <v>6864875.6299999999</v>
      </c>
      <c r="P58" s="439">
        <f>P59</f>
        <v>203695.62999999989</v>
      </c>
    </row>
    <row r="59" spans="1:22" ht="225" x14ac:dyDescent="0.2">
      <c r="A59" s="437" t="s">
        <v>311</v>
      </c>
      <c r="B59" s="437"/>
      <c r="C59" s="437"/>
      <c r="D59" s="438" t="s">
        <v>93</v>
      </c>
      <c r="E59" s="439">
        <f>E97+E89+E105+E92+E72+E81+E66+E60+E63+E103+E80+E88+E93+E96</f>
        <v>-6661180</v>
      </c>
      <c r="F59" s="440">
        <f>F97+F89+F105+F92+F72+F81+F66+F60+F63+F103+F80+F88+F93+F96</f>
        <v>-6661180</v>
      </c>
      <c r="G59" s="439">
        <f>G97+G89+G105+G92+G72+G81+G66+G60+G63+G103+G80+G88</f>
        <v>0</v>
      </c>
      <c r="H59" s="439">
        <f>H97+H89+H105+H92+H72+H81+H66+H60+H63+H103+H80+H88</f>
        <v>0</v>
      </c>
      <c r="I59" s="440">
        <v>0</v>
      </c>
      <c r="J59" s="439">
        <f t="shared" ref="J59" si="11">K59+N59</f>
        <v>6864875.6299999999</v>
      </c>
      <c r="K59" s="440">
        <f>K97+K89+K105+K92+K72+K81+K66+K60+K63+K103+K80+K88+K108+K99</f>
        <v>0</v>
      </c>
      <c r="L59" s="439">
        <f>L97+L89+L105+L92+L72+L81+L66+L60+L63+L103+L80+L88</f>
        <v>0</v>
      </c>
      <c r="M59" s="439">
        <f>M97+M89+M105+M92+M72+M81+M66+M60+M63+M103+M80+M88</f>
        <v>0</v>
      </c>
      <c r="N59" s="440">
        <f>N97+N89+N105+N92+N72+N81+N66+N60+N63+N103+N80+N88+N108+N99</f>
        <v>6864875.6299999999</v>
      </c>
      <c r="O59" s="439">
        <f>O97+O89+O105+O92+O72+O81+O66+O60+O63+O103+O80+O88+O108+O99</f>
        <v>6864875.6299999999</v>
      </c>
      <c r="P59" s="439">
        <f t="shared" ref="P59" si="12">E59+J59</f>
        <v>203695.62999999989</v>
      </c>
      <c r="Q59" s="311" t="b">
        <f>P59=P61+P62+P64+P65+P67+P68+P69+P70+P71+P73+P74+P75+P76+P77+P78+P79+P80+P83+P84+P85+P86+P87+P88+P90+P91+P92+P94+P95+P96+P98+P100+P103+P106+P107+P109</f>
        <v>0</v>
      </c>
      <c r="R59" s="325"/>
      <c r="S59" s="312"/>
      <c r="T59" s="311"/>
      <c r="U59" s="312"/>
      <c r="V59" s="312"/>
    </row>
    <row r="60" spans="1:22" ht="366" x14ac:dyDescent="0.2">
      <c r="A60" s="555" t="s">
        <v>451</v>
      </c>
      <c r="B60" s="555" t="s">
        <v>452</v>
      </c>
      <c r="C60" s="555"/>
      <c r="D60" s="555" t="s">
        <v>14</v>
      </c>
      <c r="E60" s="567">
        <f>'dod3 Квітень+Комісії+Сесія'!E59-'dod3 квітень чистий'!E57</f>
        <v>0</v>
      </c>
      <c r="F60" s="567">
        <f>'dod3 Квітень+Комісії+Сесія'!F59-'dod3 квітень чистий'!F57</f>
        <v>0</v>
      </c>
      <c r="G60" s="567">
        <f>'dod3 Квітень+Комісії+Сесія'!G59-'dod3 квітень чистий'!G57</f>
        <v>0</v>
      </c>
      <c r="H60" s="567">
        <f>'dod3 Квітень+Комісії+Сесія'!H59-'dod3 квітень чистий'!H57</f>
        <v>0</v>
      </c>
      <c r="I60" s="567">
        <f>'dod3 Квітень+Комісії+Сесія'!I59-'dod3 квітень чистий'!I57</f>
        <v>0</v>
      </c>
      <c r="J60" s="567">
        <f>'dod3 Квітень+Комісії+Сесія'!J59-'dod3 квітень чистий'!J57</f>
        <v>0</v>
      </c>
      <c r="K60" s="567">
        <f>'dod3 Квітень+Комісії+Сесія'!K59-'dod3 квітень чистий'!K57</f>
        <v>0</v>
      </c>
      <c r="L60" s="567">
        <f>'dod3 Квітень+Комісії+Сесія'!L59-'dod3 квітень чистий'!L57</f>
        <v>0</v>
      </c>
      <c r="M60" s="567">
        <f>'dod3 Квітень+Комісії+Сесія'!M59-'dod3 квітень чистий'!M57</f>
        <v>0</v>
      </c>
      <c r="N60" s="567">
        <f>'dod3 Квітень+Комісії+Сесія'!N59-'dod3 квітень чистий'!N57</f>
        <v>0</v>
      </c>
      <c r="O60" s="567">
        <f>'dod3 Квітень+Комісії+Сесія'!O59-'dod3 квітень чистий'!O57</f>
        <v>0</v>
      </c>
      <c r="P60" s="567">
        <f>'dod3 Квітень+Комісії+Сесія'!P59-'dod3 квітень чистий'!P57</f>
        <v>0</v>
      </c>
    </row>
    <row r="61" spans="1:22" ht="183" x14ac:dyDescent="0.2">
      <c r="A61" s="552" t="s">
        <v>453</v>
      </c>
      <c r="B61" s="552" t="s">
        <v>454</v>
      </c>
      <c r="C61" s="552" t="s">
        <v>385</v>
      </c>
      <c r="D61" s="301" t="s">
        <v>450</v>
      </c>
      <c r="E61" s="567">
        <f>'dod3 Квітень+Комісії+Сесія'!E60-'dod3 квітень чистий'!E58</f>
        <v>0</v>
      </c>
      <c r="F61" s="567">
        <f>'dod3 Квітень+Комісії+Сесія'!F60-'dod3 квітень чистий'!F58</f>
        <v>0</v>
      </c>
      <c r="G61" s="567">
        <f>'dod3 Квітень+Комісії+Сесія'!G60-'dod3 квітень чистий'!G58</f>
        <v>0</v>
      </c>
      <c r="H61" s="567">
        <f>'dod3 Квітень+Комісії+Сесія'!H60-'dod3 квітень чистий'!H58</f>
        <v>0</v>
      </c>
      <c r="I61" s="567">
        <f>'dod3 Квітень+Комісії+Сесія'!I60-'dod3 квітень чистий'!I58</f>
        <v>0</v>
      </c>
      <c r="J61" s="567">
        <f>'dod3 Квітень+Комісії+Сесія'!J60-'dod3 квітень чистий'!J58</f>
        <v>0</v>
      </c>
      <c r="K61" s="567">
        <f>'dod3 Квітень+Комісії+Сесія'!K60-'dod3 квітень чистий'!K58</f>
        <v>0</v>
      </c>
      <c r="L61" s="567">
        <f>'dod3 Квітень+Комісії+Сесія'!L60-'dod3 квітень чистий'!L58</f>
        <v>0</v>
      </c>
      <c r="M61" s="567">
        <f>'dod3 Квітень+Комісії+Сесія'!M60-'dod3 квітень чистий'!M58</f>
        <v>0</v>
      </c>
      <c r="N61" s="567">
        <f>'dod3 Квітень+Комісії+Сесія'!N60-'dod3 квітень чистий'!N58</f>
        <v>0</v>
      </c>
      <c r="O61" s="567">
        <f>'dod3 Квітень+Комісії+Сесія'!O60-'dod3 квітень чистий'!O58</f>
        <v>0</v>
      </c>
      <c r="P61" s="567">
        <f>'dod3 Квітень+Комісії+Сесія'!P60-'dod3 квітень чистий'!P58</f>
        <v>0</v>
      </c>
    </row>
    <row r="62" spans="1:22" ht="183" x14ac:dyDescent="0.2">
      <c r="A62" s="302" t="s">
        <v>476</v>
      </c>
      <c r="B62" s="552" t="s">
        <v>477</v>
      </c>
      <c r="C62" s="552" t="s">
        <v>117</v>
      </c>
      <c r="D62" s="553" t="s">
        <v>15</v>
      </c>
      <c r="E62" s="567">
        <f>'dod3 Квітень+Комісії+Сесія'!E61-'dod3 квітень чистий'!E59</f>
        <v>0</v>
      </c>
      <c r="F62" s="567">
        <f>'dod3 Квітень+Комісії+Сесія'!F61-'dod3 квітень чистий'!F59</f>
        <v>0</v>
      </c>
      <c r="G62" s="567">
        <f>'dod3 Квітень+Комісії+Сесія'!G61-'dod3 квітень чистий'!G59</f>
        <v>0</v>
      </c>
      <c r="H62" s="567">
        <f>'dod3 Квітень+Комісії+Сесія'!H61-'dod3 квітень чистий'!H59</f>
        <v>0</v>
      </c>
      <c r="I62" s="567">
        <f>'dod3 Квітень+Комісії+Сесія'!I61-'dod3 квітень чистий'!I59</f>
        <v>0</v>
      </c>
      <c r="J62" s="567">
        <f>'dod3 Квітень+Комісії+Сесія'!J61-'dod3 квітень чистий'!J59</f>
        <v>0</v>
      </c>
      <c r="K62" s="567">
        <f>'dod3 Квітень+Комісії+Сесія'!K61-'dod3 квітень чистий'!K59</f>
        <v>0</v>
      </c>
      <c r="L62" s="567">
        <f>'dod3 Квітень+Комісії+Сесія'!L61-'dod3 квітень чистий'!L59</f>
        <v>0</v>
      </c>
      <c r="M62" s="567">
        <f>'dod3 Квітень+Комісії+Сесія'!M61-'dod3 квітень чистий'!M59</f>
        <v>0</v>
      </c>
      <c r="N62" s="567">
        <f>'dod3 Квітень+Комісії+Сесія'!N61-'dod3 квітень чистий'!N59</f>
        <v>0</v>
      </c>
      <c r="O62" s="567">
        <f>'dod3 Квітень+Комісії+Сесія'!O61-'dod3 квітень чистий'!O59</f>
        <v>0</v>
      </c>
      <c r="P62" s="567">
        <f>'dod3 Квітень+Комісії+Сесія'!P61-'dod3 квітень чистий'!P59</f>
        <v>0</v>
      </c>
    </row>
    <row r="63" spans="1:22" ht="228.75" x14ac:dyDescent="0.2">
      <c r="A63" s="556" t="s">
        <v>478</v>
      </c>
      <c r="B63" s="556" t="s">
        <v>479</v>
      </c>
      <c r="C63" s="553"/>
      <c r="D63" s="556" t="s">
        <v>16</v>
      </c>
      <c r="E63" s="567">
        <f>'dod3 Квітень+Комісії+Сесія'!E62-'dod3 квітень чистий'!E60</f>
        <v>0</v>
      </c>
      <c r="F63" s="567">
        <f>'dod3 Квітень+Комісії+Сесія'!F62-'dod3 квітень чистий'!F60</f>
        <v>0</v>
      </c>
      <c r="G63" s="567">
        <f>'dod3 Квітень+Комісії+Сесія'!G62-'dod3 квітень чистий'!G60</f>
        <v>0</v>
      </c>
      <c r="H63" s="567">
        <f>'dod3 Квітень+Комісії+Сесія'!H62-'dod3 квітень чистий'!H60</f>
        <v>0</v>
      </c>
      <c r="I63" s="567">
        <f>'dod3 Квітень+Комісії+Сесія'!I62-'dod3 квітень чистий'!I60</f>
        <v>0</v>
      </c>
      <c r="J63" s="567">
        <f>'dod3 Квітень+Комісії+Сесія'!J62-'dod3 квітень чистий'!J60</f>
        <v>0</v>
      </c>
      <c r="K63" s="567">
        <f>'dod3 Квітень+Комісії+Сесія'!K62-'dod3 квітень чистий'!K60</f>
        <v>0</v>
      </c>
      <c r="L63" s="567">
        <f>'dod3 Квітень+Комісії+Сесія'!L62-'dod3 квітень чистий'!L60</f>
        <v>0</v>
      </c>
      <c r="M63" s="567">
        <f>'dod3 Квітень+Комісії+Сесія'!M62-'dod3 квітень чистий'!M60</f>
        <v>0</v>
      </c>
      <c r="N63" s="567">
        <f>'dod3 Квітень+Комісії+Сесія'!N62-'dod3 квітень чистий'!N60</f>
        <v>0</v>
      </c>
      <c r="O63" s="567">
        <f>'dod3 Квітень+Комісії+Сесія'!O62-'dod3 квітень чистий'!O60</f>
        <v>0</v>
      </c>
      <c r="P63" s="567">
        <f>'dod3 Квітень+Комісії+Сесія'!P62-'dod3 квітень чистий'!P60</f>
        <v>0</v>
      </c>
    </row>
    <row r="64" spans="1:22" ht="274.5" x14ac:dyDescent="0.2">
      <c r="A64" s="553" t="s">
        <v>481</v>
      </c>
      <c r="B64" s="553" t="s">
        <v>482</v>
      </c>
      <c r="C64" s="553" t="s">
        <v>385</v>
      </c>
      <c r="D64" s="303" t="s">
        <v>480</v>
      </c>
      <c r="E64" s="567">
        <f>'dod3 Квітень+Комісії+Сесія'!E63-'dod3 квітень чистий'!E61</f>
        <v>0</v>
      </c>
      <c r="F64" s="567">
        <f>'dod3 Квітень+Комісії+Сесія'!F63-'dod3 квітень чистий'!F61</f>
        <v>0</v>
      </c>
      <c r="G64" s="567">
        <f>'dod3 Квітень+Комісії+Сесія'!G63-'dod3 квітень чистий'!G61</f>
        <v>0</v>
      </c>
      <c r="H64" s="567">
        <f>'dod3 Квітень+Комісії+Сесія'!H63-'dod3 квітень чистий'!H61</f>
        <v>0</v>
      </c>
      <c r="I64" s="567">
        <f>'dod3 Квітень+Комісії+Сесія'!I63-'dod3 квітень чистий'!I61</f>
        <v>0</v>
      </c>
      <c r="J64" s="567">
        <f>'dod3 Квітень+Комісії+Сесія'!J63-'dod3 квітень чистий'!J61</f>
        <v>0</v>
      </c>
      <c r="K64" s="567">
        <f>'dod3 Квітень+Комісії+Сесія'!K63-'dod3 квітень чистий'!K61</f>
        <v>0</v>
      </c>
      <c r="L64" s="567">
        <f>'dod3 Квітень+Комісії+Сесія'!L63-'dod3 квітень чистий'!L61</f>
        <v>0</v>
      </c>
      <c r="M64" s="567">
        <f>'dod3 Квітень+Комісії+Сесія'!M63-'dod3 квітень чистий'!M61</f>
        <v>0</v>
      </c>
      <c r="N64" s="567">
        <f>'dod3 Квітень+Комісії+Сесія'!N63-'dod3 квітень чистий'!N61</f>
        <v>0</v>
      </c>
      <c r="O64" s="567">
        <f>'dod3 Квітень+Комісії+Сесія'!O63-'dod3 квітень чистий'!O61</f>
        <v>0</v>
      </c>
      <c r="P64" s="567">
        <f>'dod3 Квітень+Комісії+Сесія'!P63-'dod3 квітень чистий'!P61</f>
        <v>0</v>
      </c>
    </row>
    <row r="65" spans="1:16" ht="228.75" x14ac:dyDescent="0.2">
      <c r="A65" s="553" t="s">
        <v>483</v>
      </c>
      <c r="B65" s="553" t="s">
        <v>484</v>
      </c>
      <c r="C65" s="303">
        <v>1060</v>
      </c>
      <c r="D65" s="304" t="s">
        <v>27</v>
      </c>
      <c r="E65" s="567">
        <f>'dod3 Квітень+Комісії+Сесія'!E64-'dod3 квітень чистий'!E62</f>
        <v>0</v>
      </c>
      <c r="F65" s="567">
        <f>'dod3 Квітень+Комісії+Сесія'!F64-'dod3 квітень чистий'!F62</f>
        <v>0</v>
      </c>
      <c r="G65" s="567">
        <f>'dod3 Квітень+Комісії+Сесія'!G64-'dod3 квітень чистий'!G62</f>
        <v>0</v>
      </c>
      <c r="H65" s="567">
        <f>'dod3 Квітень+Комісії+Сесія'!H64-'dod3 квітень чистий'!H62</f>
        <v>0</v>
      </c>
      <c r="I65" s="567">
        <f>'dod3 Квітень+Комісії+Сесія'!I64-'dod3 квітень чистий'!I62</f>
        <v>0</v>
      </c>
      <c r="J65" s="567">
        <f>'dod3 Квітень+Комісії+Сесія'!J64-'dod3 квітень чистий'!J62</f>
        <v>0</v>
      </c>
      <c r="K65" s="567">
        <f>'dod3 Квітень+Комісії+Сесія'!K64-'dod3 квітень чистий'!K62</f>
        <v>0</v>
      </c>
      <c r="L65" s="567">
        <f>'dod3 Квітень+Комісії+Сесія'!L64-'dod3 квітень чистий'!L62</f>
        <v>0</v>
      </c>
      <c r="M65" s="567">
        <f>'dod3 Квітень+Комісії+Сесія'!M64-'dod3 квітень чистий'!M62</f>
        <v>0</v>
      </c>
      <c r="N65" s="567">
        <f>'dod3 Квітень+Комісії+Сесія'!N64-'dod3 квітень чистий'!N62</f>
        <v>0</v>
      </c>
      <c r="O65" s="567">
        <f>'dod3 Квітень+Комісії+Сесія'!O64-'dod3 квітень чистий'!O62</f>
        <v>0</v>
      </c>
      <c r="P65" s="567">
        <f>'dod3 Квітень+Комісії+Сесія'!P64-'dod3 квітень чистий'!P62</f>
        <v>0</v>
      </c>
    </row>
    <row r="66" spans="1:16" ht="320.25" x14ac:dyDescent="0.2">
      <c r="A66" s="555" t="s">
        <v>514</v>
      </c>
      <c r="B66" s="555" t="s">
        <v>515</v>
      </c>
      <c r="C66" s="555"/>
      <c r="D66" s="305" t="s">
        <v>513</v>
      </c>
      <c r="E66" s="567">
        <f>'dod3 Квітень+Комісії+Сесія'!E65-'dod3 квітень чистий'!E63</f>
        <v>0</v>
      </c>
      <c r="F66" s="567">
        <f>'dod3 Квітень+Комісії+Сесія'!F65-'dod3 квітень чистий'!F63</f>
        <v>0</v>
      </c>
      <c r="G66" s="567">
        <f>'dod3 Квітень+Комісії+Сесія'!G65-'dod3 квітень чистий'!G63</f>
        <v>0</v>
      </c>
      <c r="H66" s="567">
        <f>'dod3 Квітень+Комісії+Сесія'!H65-'dod3 квітень чистий'!H63</f>
        <v>0</v>
      </c>
      <c r="I66" s="567">
        <f>'dod3 Квітень+Комісії+Сесія'!I65-'dod3 квітень чистий'!I63</f>
        <v>0</v>
      </c>
      <c r="J66" s="567">
        <f>'dod3 Квітень+Комісії+Сесія'!J65-'dod3 квітень чистий'!J63</f>
        <v>0</v>
      </c>
      <c r="K66" s="567">
        <f>'dod3 Квітень+Комісії+Сесія'!K65-'dod3 квітень чистий'!K63</f>
        <v>0</v>
      </c>
      <c r="L66" s="567">
        <f>'dod3 Квітень+Комісії+Сесія'!L65-'dod3 квітень чистий'!L63</f>
        <v>0</v>
      </c>
      <c r="M66" s="567">
        <f>'dod3 Квітень+Комісії+Сесія'!M65-'dod3 квітень чистий'!M63</f>
        <v>0</v>
      </c>
      <c r="N66" s="567">
        <f>'dod3 Квітень+Комісії+Сесія'!N65-'dod3 квітень чистий'!N63</f>
        <v>0</v>
      </c>
      <c r="O66" s="567">
        <f>'dod3 Квітень+Комісії+Сесія'!O65-'dod3 квітень чистий'!O63</f>
        <v>0</v>
      </c>
      <c r="P66" s="567">
        <f>'dod3 Квітень+Комісії+Сесія'!P65-'dod3 квітень чистий'!P63</f>
        <v>0</v>
      </c>
    </row>
    <row r="67" spans="1:16" s="203" customFormat="1" ht="137.25" x14ac:dyDescent="0.2">
      <c r="A67" s="552" t="s">
        <v>516</v>
      </c>
      <c r="B67" s="552" t="s">
        <v>517</v>
      </c>
      <c r="C67" s="552" t="s">
        <v>385</v>
      </c>
      <c r="D67" s="306" t="s">
        <v>518</v>
      </c>
      <c r="E67" s="567">
        <f>'dod3 Квітень+Комісії+Сесія'!E66-'dod3 квітень чистий'!E64</f>
        <v>0</v>
      </c>
      <c r="F67" s="567">
        <f>'dod3 Квітень+Комісії+Сесія'!F66-'dod3 квітень чистий'!F64</f>
        <v>0</v>
      </c>
      <c r="G67" s="567">
        <f>'dod3 Квітень+Комісії+Сесія'!G66-'dod3 квітень чистий'!G64</f>
        <v>0</v>
      </c>
      <c r="H67" s="567">
        <f>'dod3 Квітень+Комісії+Сесія'!H66-'dod3 квітень чистий'!H64</f>
        <v>0</v>
      </c>
      <c r="I67" s="567">
        <f>'dod3 Квітень+Комісії+Сесія'!I66-'dod3 квітень чистий'!I64</f>
        <v>0</v>
      </c>
      <c r="J67" s="567">
        <f>'dod3 Квітень+Комісії+Сесія'!J66-'dod3 квітень чистий'!J64</f>
        <v>0</v>
      </c>
      <c r="K67" s="567">
        <f>'dod3 Квітень+Комісії+Сесія'!K66-'dod3 квітень чистий'!K64</f>
        <v>0</v>
      </c>
      <c r="L67" s="567">
        <f>'dod3 Квітень+Комісії+Сесія'!L66-'dod3 квітень чистий'!L64</f>
        <v>0</v>
      </c>
      <c r="M67" s="567">
        <f>'dod3 Квітень+Комісії+Сесія'!M66-'dod3 квітень чистий'!M64</f>
        <v>0</v>
      </c>
      <c r="N67" s="567">
        <f>'dod3 Квітень+Комісії+Сесія'!N66-'dod3 квітень чистий'!N64</f>
        <v>0</v>
      </c>
      <c r="O67" s="567">
        <f>'dod3 Квітень+Комісії+Сесія'!O66-'dod3 квітень чистий'!O64</f>
        <v>0</v>
      </c>
      <c r="P67" s="567">
        <f>'dod3 Квітень+Комісії+Сесія'!P66-'dod3 квітень чистий'!P64</f>
        <v>0</v>
      </c>
    </row>
    <row r="68" spans="1:16" s="203" customFormat="1" ht="137.25" x14ac:dyDescent="0.2">
      <c r="A68" s="553" t="s">
        <v>519</v>
      </c>
      <c r="B68" s="553" t="s">
        <v>520</v>
      </c>
      <c r="C68" s="553" t="s">
        <v>386</v>
      </c>
      <c r="D68" s="553" t="s">
        <v>24</v>
      </c>
      <c r="E68" s="567">
        <f>'dod3 Квітень+Комісії+Сесія'!E67-'dod3 квітень чистий'!E65</f>
        <v>0</v>
      </c>
      <c r="F68" s="567">
        <f>'dod3 Квітень+Комісії+Сесія'!F67-'dod3 квітень чистий'!F65</f>
        <v>0</v>
      </c>
      <c r="G68" s="567">
        <f>'dod3 Квітень+Комісії+Сесія'!G67-'dod3 квітень чистий'!G65</f>
        <v>0</v>
      </c>
      <c r="H68" s="567">
        <f>'dod3 Квітень+Комісії+Сесія'!H67-'dod3 квітень чистий'!H65</f>
        <v>0</v>
      </c>
      <c r="I68" s="567">
        <f>'dod3 Квітень+Комісії+Сесія'!I67-'dod3 квітень чистий'!I65</f>
        <v>0</v>
      </c>
      <c r="J68" s="567">
        <f>'dod3 Квітень+Комісії+Сесія'!J67-'dod3 квітень чистий'!J65</f>
        <v>0</v>
      </c>
      <c r="K68" s="567">
        <f>'dod3 Квітень+Комісії+Сесія'!K67-'dod3 квітень чистий'!K65</f>
        <v>0</v>
      </c>
      <c r="L68" s="567">
        <f>'dod3 Квітень+Комісії+Сесія'!L67-'dod3 квітень чистий'!L65</f>
        <v>0</v>
      </c>
      <c r="M68" s="567">
        <f>'dod3 Квітень+Комісії+Сесія'!M67-'dod3 квітень чистий'!M65</f>
        <v>0</v>
      </c>
      <c r="N68" s="567">
        <f>'dod3 Квітень+Комісії+Сесія'!N67-'dod3 квітень чистий'!N65</f>
        <v>0</v>
      </c>
      <c r="O68" s="567">
        <f>'dod3 Квітень+Комісії+Сесія'!O67-'dod3 квітень чистий'!O65</f>
        <v>0</v>
      </c>
      <c r="P68" s="567">
        <f>'dod3 Квітень+Комісії+Сесія'!P67-'dod3 квітень чистий'!P65</f>
        <v>0</v>
      </c>
    </row>
    <row r="69" spans="1:16" s="203" customFormat="1" ht="183" x14ac:dyDescent="0.2">
      <c r="A69" s="553" t="s">
        <v>522</v>
      </c>
      <c r="B69" s="553" t="s">
        <v>523</v>
      </c>
      <c r="C69" s="553" t="s">
        <v>386</v>
      </c>
      <c r="D69" s="552" t="s">
        <v>25</v>
      </c>
      <c r="E69" s="567">
        <f>'dod3 Квітень+Комісії+Сесія'!E68-'dod3 квітень чистий'!E66</f>
        <v>0</v>
      </c>
      <c r="F69" s="567">
        <f>'dod3 Квітень+Комісії+Сесія'!F68-'dod3 квітень чистий'!F66</f>
        <v>0</v>
      </c>
      <c r="G69" s="567">
        <f>'dod3 Квітень+Комісії+Сесія'!G68-'dod3 квітень чистий'!G66</f>
        <v>0</v>
      </c>
      <c r="H69" s="567">
        <f>'dod3 Квітень+Комісії+Сесія'!H68-'dod3 квітень чистий'!H66</f>
        <v>0</v>
      </c>
      <c r="I69" s="567">
        <f>'dod3 Квітень+Комісії+Сесія'!I68-'dod3 квітень чистий'!I66</f>
        <v>0</v>
      </c>
      <c r="J69" s="567">
        <f>'dod3 Квітень+Комісії+Сесія'!J68-'dod3 квітень чистий'!J66</f>
        <v>0</v>
      </c>
      <c r="K69" s="567">
        <f>'dod3 Квітень+Комісії+Сесія'!K68-'dod3 квітень чистий'!K66</f>
        <v>0</v>
      </c>
      <c r="L69" s="567">
        <f>'dod3 Квітень+Комісії+Сесія'!L68-'dod3 квітень чистий'!L66</f>
        <v>0</v>
      </c>
      <c r="M69" s="567">
        <f>'dod3 Квітень+Комісії+Сесія'!M68-'dod3 квітень чистий'!M66</f>
        <v>0</v>
      </c>
      <c r="N69" s="567">
        <f>'dod3 Квітень+Комісії+Сесія'!N68-'dod3 квітень чистий'!N66</f>
        <v>0</v>
      </c>
      <c r="O69" s="567">
        <f>'dod3 Квітень+Комісії+Сесія'!O68-'dod3 квітень чистий'!O66</f>
        <v>0</v>
      </c>
      <c r="P69" s="567">
        <f>'dod3 Квітень+Комісії+Сесія'!P68-'dod3 квітень чистий'!P66</f>
        <v>0</v>
      </c>
    </row>
    <row r="70" spans="1:16" s="203" customFormat="1" ht="183" x14ac:dyDescent="0.2">
      <c r="A70" s="552" t="s">
        <v>524</v>
      </c>
      <c r="B70" s="552" t="s">
        <v>521</v>
      </c>
      <c r="C70" s="552" t="s">
        <v>386</v>
      </c>
      <c r="D70" s="552" t="s">
        <v>26</v>
      </c>
      <c r="E70" s="567">
        <f>'dod3 Квітень+Комісії+Сесія'!E69-'dod3 квітень чистий'!E67</f>
        <v>0</v>
      </c>
      <c r="F70" s="567">
        <f>'dod3 Квітень+Комісії+Сесія'!F69-'dod3 квітень чистий'!F67</f>
        <v>0</v>
      </c>
      <c r="G70" s="567">
        <f>'dod3 Квітень+Комісії+Сесія'!G69-'dod3 квітень чистий'!G67</f>
        <v>0</v>
      </c>
      <c r="H70" s="567">
        <f>'dod3 Квітень+Комісії+Сесія'!H69-'dod3 квітень чистий'!H67</f>
        <v>0</v>
      </c>
      <c r="I70" s="567">
        <f>'dod3 Квітень+Комісії+Сесія'!I69-'dod3 квітень чистий'!I67</f>
        <v>0</v>
      </c>
      <c r="J70" s="567">
        <f>'dod3 Квітень+Комісії+Сесія'!J69-'dod3 квітень чистий'!J67</f>
        <v>0</v>
      </c>
      <c r="K70" s="567">
        <f>'dod3 Квітень+Комісії+Сесія'!K69-'dod3 квітень чистий'!K67</f>
        <v>0</v>
      </c>
      <c r="L70" s="567">
        <f>'dod3 Квітень+Комісії+Сесія'!L69-'dod3 квітень чистий'!L67</f>
        <v>0</v>
      </c>
      <c r="M70" s="567">
        <f>'dod3 Квітень+Комісії+Сесія'!M69-'dod3 квітень чистий'!M67</f>
        <v>0</v>
      </c>
      <c r="N70" s="567">
        <f>'dod3 Квітень+Комісії+Сесія'!N69-'dod3 квітень чистий'!N67</f>
        <v>0</v>
      </c>
      <c r="O70" s="567">
        <f>'dod3 Квітень+Комісії+Сесія'!O69-'dod3 квітень чистий'!O67</f>
        <v>0</v>
      </c>
      <c r="P70" s="567">
        <f>'dod3 Квітень+Комісії+Сесія'!P69-'dod3 квітень чистий'!P67</f>
        <v>0</v>
      </c>
    </row>
    <row r="71" spans="1:16" s="203" customFormat="1" ht="183" x14ac:dyDescent="0.2">
      <c r="A71" s="552" t="s">
        <v>525</v>
      </c>
      <c r="B71" s="552" t="s">
        <v>526</v>
      </c>
      <c r="C71" s="552" t="s">
        <v>386</v>
      </c>
      <c r="D71" s="552" t="s">
        <v>31</v>
      </c>
      <c r="E71" s="567">
        <f>'dod3 Квітень+Комісії+Сесія'!E70-'dod3 квітень чистий'!E68</f>
        <v>0</v>
      </c>
      <c r="F71" s="567">
        <f>'dod3 Квітень+Комісії+Сесія'!F70-'dod3 квітень чистий'!F68</f>
        <v>0</v>
      </c>
      <c r="G71" s="567">
        <f>'dod3 Квітень+Комісії+Сесія'!G70-'dod3 квітень чистий'!G68</f>
        <v>0</v>
      </c>
      <c r="H71" s="567">
        <f>'dod3 Квітень+Комісії+Сесія'!H70-'dod3 квітень чистий'!H68</f>
        <v>0</v>
      </c>
      <c r="I71" s="567">
        <f>'dod3 Квітень+Комісії+Сесія'!I70-'dod3 квітень чистий'!I68</f>
        <v>0</v>
      </c>
      <c r="J71" s="567">
        <f>'dod3 Квітень+Комісії+Сесія'!J70-'dod3 квітень чистий'!J68</f>
        <v>0</v>
      </c>
      <c r="K71" s="567">
        <f>'dod3 Квітень+Комісії+Сесія'!K70-'dod3 квітень чистий'!K68</f>
        <v>0</v>
      </c>
      <c r="L71" s="567">
        <f>'dod3 Квітень+Комісії+Сесія'!L70-'dod3 квітень чистий'!L68</f>
        <v>0</v>
      </c>
      <c r="M71" s="567">
        <f>'dod3 Квітень+Комісії+Сесія'!M70-'dod3 квітень чистий'!M68</f>
        <v>0</v>
      </c>
      <c r="N71" s="567">
        <f>'dod3 Квітень+Комісії+Сесія'!N70-'dod3 квітень чистий'!N68</f>
        <v>0</v>
      </c>
      <c r="O71" s="567">
        <f>'dod3 Квітень+Комісії+Сесія'!O70-'dod3 квітень чистий'!O68</f>
        <v>0</v>
      </c>
      <c r="P71" s="567">
        <f>'dod3 Квітень+Комісії+Сесія'!P70-'dod3 квітень чистий'!P68</f>
        <v>0</v>
      </c>
    </row>
    <row r="72" spans="1:16" ht="183" x14ac:dyDescent="0.2">
      <c r="A72" s="556" t="s">
        <v>455</v>
      </c>
      <c r="B72" s="556" t="s">
        <v>456</v>
      </c>
      <c r="C72" s="556"/>
      <c r="D72" s="556" t="s">
        <v>733</v>
      </c>
      <c r="E72" s="567">
        <f>'dod3 Квітень+Комісії+Сесія'!E71-'dod3 квітень чистий'!E69</f>
        <v>-6661180</v>
      </c>
      <c r="F72" s="567">
        <f>'dod3 Квітень+Комісії+Сесія'!F71-'dod3 квітень чистий'!F69</f>
        <v>-6661180</v>
      </c>
      <c r="G72" s="567">
        <f>'dod3 Квітень+Комісії+Сесія'!G71-'dod3 квітень чистий'!G69</f>
        <v>0</v>
      </c>
      <c r="H72" s="567">
        <f>'dod3 Квітень+Комісії+Сесія'!H71-'dod3 квітень чистий'!H69</f>
        <v>0</v>
      </c>
      <c r="I72" s="567">
        <f>'dod3 Квітень+Комісії+Сесія'!I71-'dod3 квітень чистий'!I69</f>
        <v>0</v>
      </c>
      <c r="J72" s="567">
        <f>'dod3 Квітень+Комісії+Сесія'!J71-'dod3 квітень чистий'!J69</f>
        <v>0</v>
      </c>
      <c r="K72" s="567">
        <f>'dod3 Квітень+Комісії+Сесія'!K71-'dod3 квітень чистий'!K69</f>
        <v>0</v>
      </c>
      <c r="L72" s="567">
        <f>'dod3 Квітень+Комісії+Сесія'!L71-'dod3 квітень чистий'!L69</f>
        <v>0</v>
      </c>
      <c r="M72" s="567">
        <f>'dod3 Квітень+Комісії+Сесія'!M71-'dod3 квітень чистий'!M69</f>
        <v>0</v>
      </c>
      <c r="N72" s="567">
        <f>'dod3 Квітень+Комісії+Сесія'!N71-'dod3 квітень чистий'!N69</f>
        <v>0</v>
      </c>
      <c r="O72" s="567">
        <f>'dod3 Квітень+Комісії+Сесія'!O71-'dod3 квітень чистий'!O69</f>
        <v>0</v>
      </c>
      <c r="P72" s="567">
        <f>'dod3 Квітень+Комісії+Сесія'!P71-'dod3 квітень чистий'!P69</f>
        <v>-6661180</v>
      </c>
    </row>
    <row r="73" spans="1:16" s="203" customFormat="1" ht="91.5" x14ac:dyDescent="0.2">
      <c r="A73" s="553" t="s">
        <v>465</v>
      </c>
      <c r="B73" s="553" t="s">
        <v>457</v>
      </c>
      <c r="C73" s="553" t="s">
        <v>353</v>
      </c>
      <c r="D73" s="553" t="s">
        <v>18</v>
      </c>
      <c r="E73" s="567">
        <f>'dod3 Квітень+Комісії+Сесія'!E72-'dod3 квітень чистий'!E70</f>
        <v>0</v>
      </c>
      <c r="F73" s="567">
        <f>'dod3 Квітень+Комісії+Сесія'!F72-'dod3 квітень чистий'!F70</f>
        <v>0</v>
      </c>
      <c r="G73" s="567">
        <f>'dod3 Квітень+Комісії+Сесія'!G72-'dod3 квітень чистий'!G70</f>
        <v>0</v>
      </c>
      <c r="H73" s="567">
        <f>'dod3 Квітень+Комісії+Сесія'!H72-'dod3 квітень чистий'!H70</f>
        <v>0</v>
      </c>
      <c r="I73" s="567">
        <f>'dod3 Квітень+Комісії+Сесія'!I72-'dod3 квітень чистий'!I70</f>
        <v>0</v>
      </c>
      <c r="J73" s="567">
        <f>'dod3 Квітень+Комісії+Сесія'!J72-'dod3 квітень чистий'!J70</f>
        <v>0</v>
      </c>
      <c r="K73" s="567">
        <f>'dod3 Квітень+Комісії+Сесія'!K72-'dod3 квітень чистий'!K70</f>
        <v>0</v>
      </c>
      <c r="L73" s="567">
        <f>'dod3 Квітень+Комісії+Сесія'!L72-'dod3 квітень чистий'!L70</f>
        <v>0</v>
      </c>
      <c r="M73" s="567">
        <f>'dod3 Квітень+Комісії+Сесія'!M72-'dod3 квітень чистий'!M70</f>
        <v>0</v>
      </c>
      <c r="N73" s="567">
        <f>'dod3 Квітень+Комісії+Сесія'!N72-'dod3 квітень чистий'!N70</f>
        <v>0</v>
      </c>
      <c r="O73" s="567">
        <f>'dod3 Квітень+Комісії+Сесія'!O72-'dod3 квітень чистий'!O70</f>
        <v>0</v>
      </c>
      <c r="P73" s="567">
        <f>'dod3 Квітень+Комісії+Сесія'!P72-'dod3 квітень чистий'!P70</f>
        <v>0</v>
      </c>
    </row>
    <row r="74" spans="1:16" s="203" customFormat="1" ht="91.5" x14ac:dyDescent="0.2">
      <c r="A74" s="553" t="s">
        <v>466</v>
      </c>
      <c r="B74" s="553" t="s">
        <v>458</v>
      </c>
      <c r="C74" s="553" t="s">
        <v>353</v>
      </c>
      <c r="D74" s="553" t="s">
        <v>464</v>
      </c>
      <c r="E74" s="567">
        <f>'dod3 Квітень+Комісії+Сесія'!E73-'dod3 квітень чистий'!E71</f>
        <v>0</v>
      </c>
      <c r="F74" s="567">
        <f>'dod3 Квітень+Комісії+Сесія'!F73-'dod3 квітень чистий'!F71</f>
        <v>0</v>
      </c>
      <c r="G74" s="567">
        <f>'dod3 Квітень+Комісії+Сесія'!G73-'dod3 квітень чистий'!G71</f>
        <v>0</v>
      </c>
      <c r="H74" s="567">
        <f>'dod3 Квітень+Комісії+Сесія'!H73-'dod3 квітень чистий'!H71</f>
        <v>0</v>
      </c>
      <c r="I74" s="567">
        <f>'dod3 Квітень+Комісії+Сесія'!I73-'dod3 квітень чистий'!I71</f>
        <v>0</v>
      </c>
      <c r="J74" s="567">
        <f>'dod3 Квітень+Комісії+Сесія'!J73-'dod3 квітень чистий'!J71</f>
        <v>0</v>
      </c>
      <c r="K74" s="567">
        <f>'dod3 Квітень+Комісії+Сесія'!K73-'dod3 квітень чистий'!K71</f>
        <v>0</v>
      </c>
      <c r="L74" s="567">
        <f>'dod3 Квітень+Комісії+Сесія'!L73-'dod3 квітень чистий'!L71</f>
        <v>0</v>
      </c>
      <c r="M74" s="567">
        <f>'dod3 Квітень+Комісії+Сесія'!M73-'dod3 квітень чистий'!M71</f>
        <v>0</v>
      </c>
      <c r="N74" s="567">
        <f>'dod3 Квітень+Комісії+Сесія'!N73-'dod3 квітень чистий'!N71</f>
        <v>0</v>
      </c>
      <c r="O74" s="567">
        <f>'dod3 Квітень+Комісії+Сесія'!O73-'dod3 квітень чистий'!O71</f>
        <v>0</v>
      </c>
      <c r="P74" s="567">
        <f>'dod3 Квітень+Комісії+Сесія'!P73-'dod3 квітень чистий'!P71</f>
        <v>0</v>
      </c>
    </row>
    <row r="75" spans="1:16" s="203" customFormat="1" ht="91.5" x14ac:dyDescent="0.2">
      <c r="A75" s="553" t="s">
        <v>467</v>
      </c>
      <c r="B75" s="553" t="s">
        <v>459</v>
      </c>
      <c r="C75" s="553" t="s">
        <v>353</v>
      </c>
      <c r="D75" s="553" t="s">
        <v>19</v>
      </c>
      <c r="E75" s="567">
        <f>'dod3 Квітень+Комісії+Сесія'!E74-'dod3 квітень чистий'!E72</f>
        <v>-6661180</v>
      </c>
      <c r="F75" s="567">
        <f>'dod3 Квітень+Комісії+Сесія'!F74-'dod3 квітень чистий'!F72</f>
        <v>-6661180</v>
      </c>
      <c r="G75" s="567">
        <f>'dod3 Квітень+Комісії+Сесія'!G74-'dod3 квітень чистий'!G72</f>
        <v>0</v>
      </c>
      <c r="H75" s="567">
        <f>'dod3 Квітень+Комісії+Сесія'!H74-'dod3 квітень чистий'!H72</f>
        <v>0</v>
      </c>
      <c r="I75" s="567">
        <f>'dod3 Квітень+Комісії+Сесія'!I74-'dod3 квітень чистий'!I72</f>
        <v>0</v>
      </c>
      <c r="J75" s="567">
        <f>'dod3 Квітень+Комісії+Сесія'!J74-'dod3 квітень чистий'!J72</f>
        <v>0</v>
      </c>
      <c r="K75" s="567">
        <f>'dod3 Квітень+Комісії+Сесія'!K74-'dod3 квітень чистий'!K72</f>
        <v>0</v>
      </c>
      <c r="L75" s="567">
        <f>'dod3 Квітень+Комісії+Сесія'!L74-'dod3 квітень чистий'!L72</f>
        <v>0</v>
      </c>
      <c r="M75" s="567">
        <f>'dod3 Квітень+Комісії+Сесія'!M74-'dod3 квітень чистий'!M72</f>
        <v>0</v>
      </c>
      <c r="N75" s="567">
        <f>'dod3 Квітень+Комісії+Сесія'!N74-'dod3 квітень чистий'!N72</f>
        <v>0</v>
      </c>
      <c r="O75" s="567">
        <f>'dod3 Квітень+Комісії+Сесія'!O74-'dod3 квітень чистий'!O72</f>
        <v>0</v>
      </c>
      <c r="P75" s="567">
        <f>'dod3 Квітень+Комісії+Сесія'!P74-'dod3 квітень чистий'!P72</f>
        <v>-6661180</v>
      </c>
    </row>
    <row r="76" spans="1:16" s="203" customFormat="1" ht="137.25" x14ac:dyDescent="0.2">
      <c r="A76" s="553" t="s">
        <v>468</v>
      </c>
      <c r="B76" s="553" t="s">
        <v>460</v>
      </c>
      <c r="C76" s="553" t="s">
        <v>353</v>
      </c>
      <c r="D76" s="553" t="s">
        <v>20</v>
      </c>
      <c r="E76" s="567">
        <f>'dod3 Квітень+Комісії+Сесія'!E75-'dod3 квітень чистий'!E73</f>
        <v>0</v>
      </c>
      <c r="F76" s="567">
        <f>'dod3 Квітень+Комісії+Сесія'!F75-'dod3 квітень чистий'!F73</f>
        <v>0</v>
      </c>
      <c r="G76" s="567">
        <f>'dod3 Квітень+Комісії+Сесія'!G75-'dod3 квітень чистий'!G73</f>
        <v>0</v>
      </c>
      <c r="H76" s="567">
        <f>'dod3 Квітень+Комісії+Сесія'!H75-'dod3 квітень чистий'!H73</f>
        <v>0</v>
      </c>
      <c r="I76" s="567">
        <f>'dod3 Квітень+Комісії+Сесія'!I75-'dod3 квітень чистий'!I73</f>
        <v>0</v>
      </c>
      <c r="J76" s="567">
        <f>'dod3 Квітень+Комісії+Сесія'!J75-'dod3 квітень чистий'!J73</f>
        <v>0</v>
      </c>
      <c r="K76" s="567">
        <f>'dod3 Квітень+Комісії+Сесія'!K75-'dod3 квітень чистий'!K73</f>
        <v>0</v>
      </c>
      <c r="L76" s="567">
        <f>'dod3 Квітень+Комісії+Сесія'!L75-'dod3 квітень чистий'!L73</f>
        <v>0</v>
      </c>
      <c r="M76" s="567">
        <f>'dod3 Квітень+Комісії+Сесія'!M75-'dod3 квітень чистий'!M73</f>
        <v>0</v>
      </c>
      <c r="N76" s="567">
        <f>'dod3 Квітень+Комісії+Сесія'!N75-'dod3 квітень чистий'!N73</f>
        <v>0</v>
      </c>
      <c r="O76" s="567">
        <f>'dod3 Квітень+Комісії+Сесія'!O75-'dod3 квітень чистий'!O73</f>
        <v>0</v>
      </c>
      <c r="P76" s="567">
        <f>'dod3 Квітень+Комісії+Сесія'!P75-'dod3 квітень чистий'!P73</f>
        <v>0</v>
      </c>
    </row>
    <row r="77" spans="1:16" s="203" customFormat="1" ht="91.5" x14ac:dyDescent="0.2">
      <c r="A77" s="553" t="s">
        <v>469</v>
      </c>
      <c r="B77" s="553" t="s">
        <v>461</v>
      </c>
      <c r="C77" s="553" t="s">
        <v>353</v>
      </c>
      <c r="D77" s="553" t="s">
        <v>21</v>
      </c>
      <c r="E77" s="567">
        <f>'dod3 Квітень+Комісії+Сесія'!E76-'dod3 квітень чистий'!E74</f>
        <v>0</v>
      </c>
      <c r="F77" s="567">
        <f>'dod3 Квітень+Комісії+Сесія'!F76-'dod3 квітень чистий'!F74</f>
        <v>0</v>
      </c>
      <c r="G77" s="567">
        <f>'dod3 Квітень+Комісії+Сесія'!G76-'dod3 квітень чистий'!G74</f>
        <v>0</v>
      </c>
      <c r="H77" s="567">
        <f>'dod3 Квітень+Комісії+Сесія'!H76-'dod3 квітень чистий'!H74</f>
        <v>0</v>
      </c>
      <c r="I77" s="567">
        <f>'dod3 Квітень+Комісії+Сесія'!I76-'dod3 квітень чистий'!I74</f>
        <v>0</v>
      </c>
      <c r="J77" s="567">
        <f>'dod3 Квітень+Комісії+Сесія'!J76-'dod3 квітень чистий'!J74</f>
        <v>0</v>
      </c>
      <c r="K77" s="567">
        <f>'dod3 Квітень+Комісії+Сесія'!K76-'dod3 квітень чистий'!K74</f>
        <v>0</v>
      </c>
      <c r="L77" s="567">
        <f>'dod3 Квітень+Комісії+Сесія'!L76-'dod3 квітень чистий'!L74</f>
        <v>0</v>
      </c>
      <c r="M77" s="567">
        <f>'dod3 Квітень+Комісії+Сесія'!M76-'dod3 квітень чистий'!M74</f>
        <v>0</v>
      </c>
      <c r="N77" s="567">
        <f>'dod3 Квітень+Комісії+Сесія'!N76-'dod3 квітень чистий'!N74</f>
        <v>0</v>
      </c>
      <c r="O77" s="567">
        <f>'dod3 Квітень+Комісії+Сесія'!O76-'dod3 квітень чистий'!O74</f>
        <v>0</v>
      </c>
      <c r="P77" s="567">
        <f>'dod3 Квітень+Комісії+Сесія'!P76-'dod3 квітень чистий'!P74</f>
        <v>0</v>
      </c>
    </row>
    <row r="78" spans="1:16" s="203" customFormat="1" ht="91.5" x14ac:dyDescent="0.2">
      <c r="A78" s="553" t="s">
        <v>470</v>
      </c>
      <c r="B78" s="553" t="s">
        <v>462</v>
      </c>
      <c r="C78" s="553" t="s">
        <v>353</v>
      </c>
      <c r="D78" s="553" t="s">
        <v>22</v>
      </c>
      <c r="E78" s="567">
        <f>'dod3 Квітень+Комісії+Сесія'!E77-'dod3 квітень чистий'!E75</f>
        <v>0</v>
      </c>
      <c r="F78" s="567">
        <f>'dod3 Квітень+Комісії+Сесія'!F77-'dod3 квітень чистий'!F75</f>
        <v>0</v>
      </c>
      <c r="G78" s="567">
        <f>'dod3 Квітень+Комісії+Сесія'!G77-'dod3 квітень чистий'!G75</f>
        <v>0</v>
      </c>
      <c r="H78" s="567">
        <f>'dod3 Квітень+Комісії+Сесія'!H77-'dod3 квітень чистий'!H75</f>
        <v>0</v>
      </c>
      <c r="I78" s="567">
        <f>'dod3 Квітень+Комісії+Сесія'!I77-'dod3 квітень чистий'!I75</f>
        <v>0</v>
      </c>
      <c r="J78" s="567">
        <f>'dod3 Квітень+Комісії+Сесія'!J77-'dod3 квітень чистий'!J75</f>
        <v>0</v>
      </c>
      <c r="K78" s="567">
        <f>'dod3 Квітень+Комісії+Сесія'!K77-'dod3 квітень чистий'!K75</f>
        <v>0</v>
      </c>
      <c r="L78" s="567">
        <f>'dod3 Квітень+Комісії+Сесія'!L77-'dod3 квітень чистий'!L75</f>
        <v>0</v>
      </c>
      <c r="M78" s="567">
        <f>'dod3 Квітень+Комісії+Сесія'!M77-'dod3 квітень чистий'!M75</f>
        <v>0</v>
      </c>
      <c r="N78" s="567">
        <f>'dod3 Квітень+Комісії+Сесія'!N77-'dod3 квітень чистий'!N75</f>
        <v>0</v>
      </c>
      <c r="O78" s="567">
        <f>'dod3 Квітень+Комісії+Сесія'!O77-'dod3 квітень чистий'!O75</f>
        <v>0</v>
      </c>
      <c r="P78" s="567">
        <f>'dod3 Квітень+Комісії+Сесія'!P77-'dod3 квітень чистий'!P75</f>
        <v>0</v>
      </c>
    </row>
    <row r="79" spans="1:16" s="203" customFormat="1" ht="137.25" x14ac:dyDescent="0.2">
      <c r="A79" s="553" t="s">
        <v>471</v>
      </c>
      <c r="B79" s="553" t="s">
        <v>463</v>
      </c>
      <c r="C79" s="553" t="s">
        <v>353</v>
      </c>
      <c r="D79" s="553" t="s">
        <v>23</v>
      </c>
      <c r="E79" s="567">
        <f>'dod3 Квітень+Комісії+Сесія'!E78-'dod3 квітень чистий'!E76</f>
        <v>0</v>
      </c>
      <c r="F79" s="567">
        <f>'dod3 Квітень+Комісії+Сесія'!F78-'dod3 квітень чистий'!F76</f>
        <v>0</v>
      </c>
      <c r="G79" s="567">
        <f>'dod3 Квітень+Комісії+Сесія'!G78-'dod3 квітень чистий'!G76</f>
        <v>0</v>
      </c>
      <c r="H79" s="567">
        <f>'dod3 Квітень+Комісії+Сесія'!H78-'dod3 квітень чистий'!H76</f>
        <v>0</v>
      </c>
      <c r="I79" s="567">
        <f>'dod3 Квітень+Комісії+Сесія'!I78-'dod3 квітень чистий'!I76</f>
        <v>0</v>
      </c>
      <c r="J79" s="567">
        <f>'dod3 Квітень+Комісії+Сесія'!J78-'dod3 квітень чистий'!J76</f>
        <v>0</v>
      </c>
      <c r="K79" s="567">
        <f>'dod3 Квітень+Комісії+Сесія'!K78-'dod3 квітень чистий'!K76</f>
        <v>0</v>
      </c>
      <c r="L79" s="567">
        <f>'dod3 Квітень+Комісії+Сесія'!L78-'dod3 квітень чистий'!L76</f>
        <v>0</v>
      </c>
      <c r="M79" s="567">
        <f>'dod3 Квітень+Комісії+Сесія'!M78-'dod3 квітень чистий'!M76</f>
        <v>0</v>
      </c>
      <c r="N79" s="567">
        <f>'dod3 Квітень+Комісії+Сесія'!N78-'dod3 квітень чистий'!N76</f>
        <v>0</v>
      </c>
      <c r="O79" s="567">
        <f>'dod3 Квітень+Комісії+Сесія'!O78-'dod3 квітень чистий'!O76</f>
        <v>0</v>
      </c>
      <c r="P79" s="567">
        <f>'dod3 Квітень+Комісії+Сесія'!P78-'dod3 квітень чистий'!P76</f>
        <v>0</v>
      </c>
    </row>
    <row r="80" spans="1:16" ht="183" x14ac:dyDescent="0.2">
      <c r="A80" s="556" t="s">
        <v>485</v>
      </c>
      <c r="B80" s="556" t="s">
        <v>472</v>
      </c>
      <c r="C80" s="556" t="s">
        <v>386</v>
      </c>
      <c r="D80" s="556" t="s">
        <v>17</v>
      </c>
      <c r="E80" s="567">
        <f>'dod3 Квітень+Комісії+Сесія'!E79-'dod3 квітень чистий'!E77</f>
        <v>0</v>
      </c>
      <c r="F80" s="567">
        <f>'dod3 Квітень+Комісії+Сесія'!F79-'dod3 квітень чистий'!F77</f>
        <v>0</v>
      </c>
      <c r="G80" s="567">
        <f>'dod3 Квітень+Комісії+Сесія'!G79-'dod3 квітень чистий'!G77</f>
        <v>0</v>
      </c>
      <c r="H80" s="567">
        <f>'dod3 Квітень+Комісії+Сесія'!H79-'dod3 квітень чистий'!H77</f>
        <v>0</v>
      </c>
      <c r="I80" s="567">
        <f>'dod3 Квітень+Комісії+Сесія'!I79-'dod3 квітень чистий'!I77</f>
        <v>0</v>
      </c>
      <c r="J80" s="567">
        <f>'dod3 Квітень+Комісії+Сесія'!J79-'dod3 квітень чистий'!J77</f>
        <v>0</v>
      </c>
      <c r="K80" s="567">
        <f>'dod3 Квітень+Комісії+Сесія'!K79-'dod3 квітень чистий'!K77</f>
        <v>0</v>
      </c>
      <c r="L80" s="567">
        <f>'dod3 Квітень+Комісії+Сесія'!L79-'dod3 квітень чистий'!L77</f>
        <v>0</v>
      </c>
      <c r="M80" s="567">
        <f>'dod3 Квітень+Комісії+Сесія'!M79-'dod3 квітень чистий'!M77</f>
        <v>0</v>
      </c>
      <c r="N80" s="567">
        <f>'dod3 Квітень+Комісії+Сесія'!N79-'dod3 квітень чистий'!N77</f>
        <v>0</v>
      </c>
      <c r="O80" s="567">
        <f>'dod3 Квітень+Комісії+Сесія'!O79-'dod3 квітень чистий'!O77</f>
        <v>0</v>
      </c>
      <c r="P80" s="567">
        <f>'dod3 Квітень+Комісії+Сесія'!P79-'dod3 квітень чистий'!P77</f>
        <v>0</v>
      </c>
    </row>
    <row r="81" spans="1:16" ht="361.5" customHeight="1" x14ac:dyDescent="0.2">
      <c r="A81" s="720" t="s">
        <v>475</v>
      </c>
      <c r="B81" s="721" t="s">
        <v>473</v>
      </c>
      <c r="C81" s="721"/>
      <c r="D81" s="307" t="s">
        <v>737</v>
      </c>
      <c r="E81" s="738">
        <f>'dod3 Квітень+Комісії+Сесія'!E80-'dod3 квітень чистий'!E78</f>
        <v>0</v>
      </c>
      <c r="F81" s="738">
        <f>'dod3 Квітень+Комісії+Сесія'!F80-'dod3 квітень чистий'!F78</f>
        <v>0</v>
      </c>
      <c r="G81" s="738">
        <f>'dod3 Квітень+Комісії+Сесія'!G80-'dod3 квітень чистий'!G78</f>
        <v>0</v>
      </c>
      <c r="H81" s="738">
        <f>'dod3 Квітень+Комісії+Сесія'!H80-'dod3 квітень чистий'!H78</f>
        <v>0</v>
      </c>
      <c r="I81" s="738">
        <f>'dod3 Квітень+Комісії+Сесія'!I80-'dod3 квітень чистий'!I78</f>
        <v>0</v>
      </c>
      <c r="J81" s="738">
        <f>'dod3 Квітень+Комісії+Сесія'!J80-'dod3 квітень чистий'!J78</f>
        <v>0</v>
      </c>
      <c r="K81" s="738">
        <f>'dod3 Квітень+Комісії+Сесія'!K80-'dod3 квітень чистий'!K78</f>
        <v>0</v>
      </c>
      <c r="L81" s="738">
        <f>'dod3 Квітень+Комісії+Сесія'!L80-'dod3 квітень чистий'!L78</f>
        <v>0</v>
      </c>
      <c r="M81" s="738">
        <f>'dod3 Квітень+Комісії+Сесія'!M80-'dod3 квітень чистий'!M78</f>
        <v>0</v>
      </c>
      <c r="N81" s="738">
        <f>'dod3 Квітень+Комісії+Сесія'!N80-'dod3 квітень чистий'!N78</f>
        <v>0</v>
      </c>
      <c r="O81" s="738">
        <f>'dod3 Квітень+Комісії+Сесія'!O80-'dod3 квітень чистий'!O78</f>
        <v>0</v>
      </c>
      <c r="P81" s="738">
        <f>'dod3 Квітень+Комісії+Сесія'!P80-'dod3 квітень чистий'!P78</f>
        <v>0</v>
      </c>
    </row>
    <row r="82" spans="1:16" ht="336" customHeight="1" x14ac:dyDescent="0.2">
      <c r="A82" s="694"/>
      <c r="B82" s="722"/>
      <c r="C82" s="722"/>
      <c r="D82" s="308" t="s">
        <v>738</v>
      </c>
      <c r="E82" s="743"/>
      <c r="F82" s="743"/>
      <c r="G82" s="743"/>
      <c r="H82" s="743"/>
      <c r="I82" s="743"/>
      <c r="J82" s="743"/>
      <c r="K82" s="743"/>
      <c r="L82" s="743"/>
      <c r="M82" s="743"/>
      <c r="N82" s="743"/>
      <c r="O82" s="743"/>
      <c r="P82" s="743"/>
    </row>
    <row r="83" spans="1:16" s="203" customFormat="1" ht="183" x14ac:dyDescent="0.2">
      <c r="A83" s="553" t="s">
        <v>739</v>
      </c>
      <c r="B83" s="553" t="s">
        <v>740</v>
      </c>
      <c r="C83" s="553" t="s">
        <v>377</v>
      </c>
      <c r="D83" s="553" t="s">
        <v>736</v>
      </c>
      <c r="E83" s="567">
        <f>'dod3 Квітень+Комісії+Сесія'!E82-'dod3 квітень чистий'!E80</f>
        <v>0</v>
      </c>
      <c r="F83" s="567">
        <f>'dod3 Квітень+Комісії+Сесія'!F82-'dod3 квітень чистий'!F80</f>
        <v>0</v>
      </c>
      <c r="G83" s="567">
        <f>'dod3 Квітень+Комісії+Сесія'!G82-'dod3 квітень чистий'!G80</f>
        <v>0</v>
      </c>
      <c r="H83" s="567">
        <f>'dod3 Квітень+Комісії+Сесія'!H82-'dod3 квітень чистий'!H80</f>
        <v>0</v>
      </c>
      <c r="I83" s="567">
        <f>'dod3 Квітень+Комісії+Сесія'!I82-'dod3 квітень чистий'!I80</f>
        <v>0</v>
      </c>
      <c r="J83" s="567">
        <f>'dod3 Квітень+Комісії+Сесія'!J82-'dod3 квітень чистий'!J80</f>
        <v>0</v>
      </c>
      <c r="K83" s="567">
        <f>'dod3 Квітень+Комісії+Сесія'!K82-'dod3 квітень чистий'!K80</f>
        <v>0</v>
      </c>
      <c r="L83" s="567">
        <f>'dod3 Квітень+Комісії+Сесія'!L82-'dod3 квітень чистий'!L80</f>
        <v>0</v>
      </c>
      <c r="M83" s="567">
        <f>'dod3 Квітень+Комісії+Сесія'!M82-'dod3 квітень чистий'!M80</f>
        <v>0</v>
      </c>
      <c r="N83" s="567">
        <f>'dod3 Квітень+Комісії+Сесія'!N82-'dod3 квітень чистий'!N80</f>
        <v>0</v>
      </c>
      <c r="O83" s="567">
        <f>'dod3 Квітень+Комісії+Сесія'!O82-'dod3 квітень чистий'!O80</f>
        <v>0</v>
      </c>
      <c r="P83" s="567">
        <f>'dod3 Квітень+Комісії+Сесія'!P82-'dod3 квітень чистий'!P80</f>
        <v>0</v>
      </c>
    </row>
    <row r="84" spans="1:16" s="203" customFormat="1" ht="274.5" x14ac:dyDescent="0.2">
      <c r="A84" s="553" t="s">
        <v>846</v>
      </c>
      <c r="B84" s="553" t="s">
        <v>847</v>
      </c>
      <c r="C84" s="553" t="s">
        <v>377</v>
      </c>
      <c r="D84" s="553" t="s">
        <v>848</v>
      </c>
      <c r="E84" s="567">
        <f>'dod3 Квітень+Комісії+Сесія'!E83-'dod3 квітень чистий'!E81</f>
        <v>963052.24000000022</v>
      </c>
      <c r="F84" s="567">
        <f>'dod3 Квітень+Комісії+Сесія'!F83-'dod3 квітень чистий'!F81</f>
        <v>963052.24000000022</v>
      </c>
      <c r="G84" s="567">
        <f>'dod3 Квітень+Комісії+Сесія'!G83-'dod3 квітень чистий'!G81</f>
        <v>0</v>
      </c>
      <c r="H84" s="567">
        <f>'dod3 Квітень+Комісії+Сесія'!H83-'dod3 квітень чистий'!H81</f>
        <v>0</v>
      </c>
      <c r="I84" s="567">
        <f>'dod3 Квітень+Комісії+Сесія'!I83-'dod3 квітень чистий'!I81</f>
        <v>0</v>
      </c>
      <c r="J84" s="567">
        <f>'dod3 Квітень+Комісії+Сесія'!J83-'dod3 квітень чистий'!J81</f>
        <v>0</v>
      </c>
      <c r="K84" s="567">
        <f>'dod3 Квітень+Комісії+Сесія'!K83-'dod3 квітень чистий'!K81</f>
        <v>0</v>
      </c>
      <c r="L84" s="567">
        <f>'dod3 Квітень+Комісії+Сесія'!L83-'dod3 квітень чистий'!L81</f>
        <v>0</v>
      </c>
      <c r="M84" s="567">
        <f>'dod3 Квітень+Комісії+Сесія'!M83-'dod3 квітень чистий'!M81</f>
        <v>0</v>
      </c>
      <c r="N84" s="567">
        <f>'dod3 Квітень+Комісії+Сесія'!N83-'dod3 квітень чистий'!N81</f>
        <v>0</v>
      </c>
      <c r="O84" s="567">
        <f>'dod3 Квітень+Комісії+Сесія'!O83-'dod3 квітень чистий'!O81</f>
        <v>0</v>
      </c>
      <c r="P84" s="567">
        <f>'dod3 Квітень+Комісії+Сесія'!P83-'dod3 квітень чистий'!P81</f>
        <v>963052.24000000022</v>
      </c>
    </row>
    <row r="85" spans="1:16" s="203" customFormat="1" ht="183" x14ac:dyDescent="0.2">
      <c r="A85" s="553" t="s">
        <v>734</v>
      </c>
      <c r="B85" s="553" t="s">
        <v>735</v>
      </c>
      <c r="C85" s="553" t="s">
        <v>377</v>
      </c>
      <c r="D85" s="553" t="s">
        <v>664</v>
      </c>
      <c r="E85" s="567">
        <f>'dod3 Квітень+Комісії+Сесія'!E84-'dod3 квітень чистий'!E82</f>
        <v>-963052.23999999836</v>
      </c>
      <c r="F85" s="567">
        <f>'dod3 Квітень+Комісії+Сесія'!F84-'dod3 квітень чистий'!F82</f>
        <v>-963052.23999999836</v>
      </c>
      <c r="G85" s="567">
        <f>'dod3 Квітень+Комісії+Сесія'!G84-'dod3 квітень чистий'!G82</f>
        <v>0</v>
      </c>
      <c r="H85" s="567">
        <f>'dod3 Квітень+Комісії+Сесія'!H84-'dod3 квітень чистий'!H82</f>
        <v>0</v>
      </c>
      <c r="I85" s="567">
        <f>'dod3 Квітень+Комісії+Сесія'!I84-'dod3 квітень чистий'!I82</f>
        <v>0</v>
      </c>
      <c r="J85" s="567">
        <f>'dod3 Квітень+Комісії+Сесія'!J84-'dod3 квітень чистий'!J82</f>
        <v>0</v>
      </c>
      <c r="K85" s="567">
        <f>'dod3 Квітень+Комісії+Сесія'!K84-'dod3 квітень чистий'!K82</f>
        <v>0</v>
      </c>
      <c r="L85" s="567">
        <f>'dod3 Квітень+Комісії+Сесія'!L84-'dod3 квітень чистий'!L82</f>
        <v>0</v>
      </c>
      <c r="M85" s="567">
        <f>'dod3 Квітень+Комісії+Сесія'!M84-'dod3 квітень чистий'!M82</f>
        <v>0</v>
      </c>
      <c r="N85" s="567">
        <f>'dod3 Квітень+Комісії+Сесія'!N84-'dod3 квітень чистий'!N82</f>
        <v>0</v>
      </c>
      <c r="O85" s="567">
        <f>'dod3 Квітень+Комісії+Сесія'!O84-'dod3 квітень чистий'!O82</f>
        <v>0</v>
      </c>
      <c r="P85" s="567">
        <f>'dod3 Квітень+Комісії+Сесія'!P84-'dod3 квітень чистий'!P82</f>
        <v>-963052.23999999836</v>
      </c>
    </row>
    <row r="86" spans="1:16" s="203" customFormat="1" ht="274.5" x14ac:dyDescent="0.2">
      <c r="A86" s="553" t="s">
        <v>743</v>
      </c>
      <c r="B86" s="553" t="s">
        <v>744</v>
      </c>
      <c r="C86" s="553" t="s">
        <v>377</v>
      </c>
      <c r="D86" s="553" t="s">
        <v>745</v>
      </c>
      <c r="E86" s="567">
        <f>'dod3 Квітень+Комісії+Сесія'!E85-'dod3 квітень чистий'!E83</f>
        <v>0</v>
      </c>
      <c r="F86" s="567">
        <f>'dod3 Квітень+Комісії+Сесія'!F85-'dod3 квітень чистий'!F83</f>
        <v>0</v>
      </c>
      <c r="G86" s="567">
        <f>'dod3 Квітень+Комісії+Сесія'!G85-'dod3 квітень чистий'!G83</f>
        <v>0</v>
      </c>
      <c r="H86" s="567">
        <f>'dod3 Квітень+Комісії+Сесія'!H85-'dod3 квітень чистий'!H83</f>
        <v>0</v>
      </c>
      <c r="I86" s="567">
        <f>'dod3 Квітень+Комісії+Сесія'!I85-'dod3 квітень чистий'!I83</f>
        <v>0</v>
      </c>
      <c r="J86" s="567">
        <f>'dod3 Квітень+Комісії+Сесія'!J85-'dod3 квітень чистий'!J83</f>
        <v>0</v>
      </c>
      <c r="K86" s="567">
        <f>'dod3 Квітень+Комісії+Сесія'!K85-'dod3 квітень чистий'!K83</f>
        <v>0</v>
      </c>
      <c r="L86" s="567">
        <f>'dod3 Квітень+Комісії+Сесія'!L85-'dod3 квітень чистий'!L83</f>
        <v>0</v>
      </c>
      <c r="M86" s="567">
        <f>'dod3 Квітень+Комісії+Сесія'!M85-'dod3 квітень чистий'!M83</f>
        <v>0</v>
      </c>
      <c r="N86" s="567">
        <f>'dod3 Квітень+Комісії+Сесія'!N85-'dod3 квітень чистий'!N83</f>
        <v>0</v>
      </c>
      <c r="O86" s="567">
        <f>'dod3 Квітень+Комісії+Сесія'!O85-'dod3 квітень чистий'!O83</f>
        <v>0</v>
      </c>
      <c r="P86" s="567">
        <f>'dod3 Квітень+Комісії+Сесія'!P85-'dod3 квітень чистий'!P83</f>
        <v>0</v>
      </c>
    </row>
    <row r="87" spans="1:16" s="203" customFormat="1" ht="320.25" x14ac:dyDescent="0.2">
      <c r="A87" s="553" t="s">
        <v>741</v>
      </c>
      <c r="B87" s="553" t="s">
        <v>742</v>
      </c>
      <c r="C87" s="553" t="s">
        <v>377</v>
      </c>
      <c r="D87" s="553" t="s">
        <v>746</v>
      </c>
      <c r="E87" s="567">
        <f>'dod3 Квітень+Комісії+Сесія'!E86-'dod3 квітень чистий'!E84</f>
        <v>0</v>
      </c>
      <c r="F87" s="567">
        <f>'dod3 Квітень+Комісії+Сесія'!F86-'dod3 квітень чистий'!F84</f>
        <v>0</v>
      </c>
      <c r="G87" s="567">
        <f>'dod3 Квітень+Комісії+Сесія'!G86-'dod3 квітень чистий'!G84</f>
        <v>0</v>
      </c>
      <c r="H87" s="567">
        <f>'dod3 Квітень+Комісії+Сесія'!H86-'dod3 квітень чистий'!H84</f>
        <v>0</v>
      </c>
      <c r="I87" s="567">
        <f>'dod3 Квітень+Комісії+Сесія'!I86-'dod3 квітень чистий'!I84</f>
        <v>0</v>
      </c>
      <c r="J87" s="567">
        <f>'dod3 Квітень+Комісії+Сесія'!J86-'dod3 квітень чистий'!J84</f>
        <v>0</v>
      </c>
      <c r="K87" s="567">
        <f>'dod3 Квітень+Комісії+Сесія'!K86-'dod3 квітень чистий'!K84</f>
        <v>0</v>
      </c>
      <c r="L87" s="567">
        <f>'dod3 Квітень+Комісії+Сесія'!L86-'dod3 квітень чистий'!L84</f>
        <v>0</v>
      </c>
      <c r="M87" s="567">
        <f>'dod3 Квітень+Комісії+Сесія'!M86-'dod3 квітень чистий'!M84</f>
        <v>0</v>
      </c>
      <c r="N87" s="567">
        <f>'dod3 Квітень+Комісії+Сесія'!N86-'dod3 квітень чистий'!N84</f>
        <v>0</v>
      </c>
      <c r="O87" s="567">
        <f>'dod3 Квітень+Комісії+Сесія'!O86-'dod3 квітень чистий'!O84</f>
        <v>0</v>
      </c>
      <c r="P87" s="567">
        <f>'dod3 Квітень+Комісії+Сесія'!P86-'dod3 квітень чистий'!P84</f>
        <v>0</v>
      </c>
    </row>
    <row r="88" spans="1:16" ht="163.5" customHeight="1" x14ac:dyDescent="0.2">
      <c r="A88" s="556" t="s">
        <v>486</v>
      </c>
      <c r="B88" s="556" t="s">
        <v>474</v>
      </c>
      <c r="C88" s="556" t="s">
        <v>385</v>
      </c>
      <c r="D88" s="556" t="s">
        <v>665</v>
      </c>
      <c r="E88" s="567">
        <f>'dod3 Квітень+Комісії+Сесія'!E87-'dod3 квітень чистий'!E85</f>
        <v>0</v>
      </c>
      <c r="F88" s="567">
        <f>'dod3 Квітень+Комісії+Сесія'!F87-'dod3 квітень чистий'!F85</f>
        <v>0</v>
      </c>
      <c r="G88" s="567">
        <f>'dod3 Квітень+Комісії+Сесія'!G87-'dod3 квітень чистий'!G85</f>
        <v>0</v>
      </c>
      <c r="H88" s="567">
        <f>'dod3 Квітень+Комісії+Сесія'!H87-'dod3 квітень чистий'!H85</f>
        <v>0</v>
      </c>
      <c r="I88" s="567">
        <f>'dod3 Квітень+Комісії+Сесія'!I87-'dod3 квітень чистий'!I85</f>
        <v>0</v>
      </c>
      <c r="J88" s="567">
        <f>'dod3 Квітень+Комісії+Сесія'!J87-'dod3 квітень чистий'!J85</f>
        <v>0</v>
      </c>
      <c r="K88" s="567">
        <f>'dod3 Квітень+Комісії+Сесія'!K87-'dod3 квітень чистий'!K85</f>
        <v>0</v>
      </c>
      <c r="L88" s="567">
        <f>'dod3 Квітень+Комісії+Сесія'!L87-'dod3 квітень чистий'!L85</f>
        <v>0</v>
      </c>
      <c r="M88" s="567">
        <f>'dod3 Квітень+Комісії+Сесія'!M87-'dod3 квітень чистий'!M85</f>
        <v>0</v>
      </c>
      <c r="N88" s="567">
        <f>'dod3 Квітень+Комісії+Сесія'!N87-'dod3 квітень чистий'!N85</f>
        <v>0</v>
      </c>
      <c r="O88" s="567">
        <f>'dod3 Квітень+Комісії+Сесія'!O87-'dod3 квітень чистий'!O85</f>
        <v>0</v>
      </c>
      <c r="P88" s="567">
        <f>'dod3 Квітень+Комісії+Сесія'!P87-'dod3 квітень чистий'!P85</f>
        <v>0</v>
      </c>
    </row>
    <row r="89" spans="1:16" ht="274.5" x14ac:dyDescent="0.2">
      <c r="A89" s="556" t="s">
        <v>507</v>
      </c>
      <c r="B89" s="556" t="s">
        <v>508</v>
      </c>
      <c r="C89" s="556"/>
      <c r="D89" s="556" t="s">
        <v>666</v>
      </c>
      <c r="E89" s="567">
        <f>'dod3 Квітень+Комісії+Сесія'!E88-'dod3 квітень чистий'!E86</f>
        <v>0</v>
      </c>
      <c r="F89" s="567">
        <f>'dod3 Квітень+Комісії+Сесія'!F88-'dod3 квітень чистий'!F86</f>
        <v>0</v>
      </c>
      <c r="G89" s="567">
        <f>'dod3 Квітень+Комісії+Сесія'!G88-'dod3 квітень чистий'!G86</f>
        <v>0</v>
      </c>
      <c r="H89" s="567">
        <f>'dod3 Квітень+Комісії+Сесія'!H88-'dod3 квітень чистий'!H86</f>
        <v>0</v>
      </c>
      <c r="I89" s="567">
        <f>'dod3 Квітень+Комісії+Сесія'!I88-'dod3 квітень чистий'!I86</f>
        <v>0</v>
      </c>
      <c r="J89" s="567">
        <f>'dod3 Квітень+Комісії+Сесія'!J88-'dod3 квітень чистий'!J86</f>
        <v>0</v>
      </c>
      <c r="K89" s="567">
        <f>'dod3 Квітень+Комісії+Сесія'!K88-'dod3 квітень чистий'!K86</f>
        <v>0</v>
      </c>
      <c r="L89" s="567">
        <f>'dod3 Квітень+Комісії+Сесія'!L88-'dod3 квітень чистий'!L86</f>
        <v>0</v>
      </c>
      <c r="M89" s="567">
        <f>'dod3 Квітень+Комісії+Сесія'!M88-'dod3 квітень чистий'!M86</f>
        <v>0</v>
      </c>
      <c r="N89" s="567">
        <f>'dod3 Квітень+Комісії+Сесія'!N88-'dod3 квітень чистий'!N86</f>
        <v>0</v>
      </c>
      <c r="O89" s="567">
        <f>'dod3 Квітень+Комісії+Сесія'!O88-'dod3 квітень чистий'!O86</f>
        <v>0</v>
      </c>
      <c r="P89" s="567">
        <f>'dod3 Квітень+Комісії+Сесія'!P88-'dod3 квітень чистий'!P86</f>
        <v>0</v>
      </c>
    </row>
    <row r="90" spans="1:16" ht="301.5" customHeight="1" x14ac:dyDescent="0.2">
      <c r="A90" s="553" t="s">
        <v>511</v>
      </c>
      <c r="B90" s="553" t="s">
        <v>509</v>
      </c>
      <c r="C90" s="553" t="s">
        <v>378</v>
      </c>
      <c r="D90" s="553" t="s">
        <v>52</v>
      </c>
      <c r="E90" s="567">
        <f>'dod3 Квітень+Комісії+Сесія'!E89-'dod3 квітень чистий'!E87</f>
        <v>0</v>
      </c>
      <c r="F90" s="567">
        <f>'dod3 Квітень+Комісії+Сесія'!F89-'dod3 квітень чистий'!F87</f>
        <v>0</v>
      </c>
      <c r="G90" s="567">
        <f>'dod3 Квітень+Комісії+Сесія'!G89-'dod3 квітень чистий'!G87</f>
        <v>0</v>
      </c>
      <c r="H90" s="567">
        <f>'dod3 Квітень+Комісії+Сесія'!H89-'dod3 квітень чистий'!H87</f>
        <v>0</v>
      </c>
      <c r="I90" s="567">
        <f>'dod3 Квітень+Комісії+Сесія'!I89-'dod3 квітень чистий'!I87</f>
        <v>0</v>
      </c>
      <c r="J90" s="567">
        <f>'dod3 Квітень+Комісії+Сесія'!J89-'dod3 квітень чистий'!J87</f>
        <v>0</v>
      </c>
      <c r="K90" s="567">
        <f>'dod3 Квітень+Комісії+Сесія'!K89-'dod3 квітень чистий'!K87</f>
        <v>0</v>
      </c>
      <c r="L90" s="567">
        <f>'dod3 Квітень+Комісії+Сесія'!L89-'dod3 квітень чистий'!L87</f>
        <v>0</v>
      </c>
      <c r="M90" s="567">
        <f>'dod3 Квітень+Комісії+Сесія'!M89-'dod3 квітень чистий'!M87</f>
        <v>0</v>
      </c>
      <c r="N90" s="567">
        <f>'dod3 Квітень+Комісії+Сесія'!N89-'dod3 квітень чистий'!N87</f>
        <v>0</v>
      </c>
      <c r="O90" s="567">
        <f>'dod3 Квітень+Комісії+Сесія'!O89-'dod3 квітень чистий'!O87</f>
        <v>0</v>
      </c>
      <c r="P90" s="567">
        <f>'dod3 Квітень+Комісії+Сесія'!P89-'dod3 квітень чистий'!P87</f>
        <v>0</v>
      </c>
    </row>
    <row r="91" spans="1:16" ht="137.25" x14ac:dyDescent="0.2">
      <c r="A91" s="553" t="s">
        <v>512</v>
      </c>
      <c r="B91" s="553" t="s">
        <v>510</v>
      </c>
      <c r="C91" s="553" t="s">
        <v>377</v>
      </c>
      <c r="D91" s="553" t="s">
        <v>667</v>
      </c>
      <c r="E91" s="567">
        <f>'dod3 Квітень+Комісії+Сесія'!E90-'dod3 квітень чистий'!E88</f>
        <v>0</v>
      </c>
      <c r="F91" s="567">
        <f>'dod3 Квітень+Комісії+Сесія'!F90-'dod3 квітень чистий'!F88</f>
        <v>0</v>
      </c>
      <c r="G91" s="567">
        <f>'dod3 Квітень+Комісії+Сесія'!G90-'dod3 квітень чистий'!G88</f>
        <v>0</v>
      </c>
      <c r="H91" s="567">
        <f>'dod3 Квітень+Комісії+Сесія'!H90-'dod3 квітень чистий'!H88</f>
        <v>0</v>
      </c>
      <c r="I91" s="567">
        <f>'dod3 Квітень+Комісії+Сесія'!I90-'dod3 квітень чистий'!I88</f>
        <v>0</v>
      </c>
      <c r="J91" s="567">
        <f>'dod3 Квітень+Комісії+Сесія'!J90-'dod3 квітень чистий'!J88</f>
        <v>0</v>
      </c>
      <c r="K91" s="567">
        <f>'dod3 Квітень+Комісії+Сесія'!K90-'dod3 квітень чистий'!K88</f>
        <v>0</v>
      </c>
      <c r="L91" s="567">
        <f>'dod3 Квітень+Комісії+Сесія'!L90-'dod3 квітень чистий'!L88</f>
        <v>0</v>
      </c>
      <c r="M91" s="567">
        <f>'dod3 Квітень+Комісії+Сесія'!M90-'dod3 квітень чистий'!M88</f>
        <v>0</v>
      </c>
      <c r="N91" s="567">
        <f>'dod3 Квітень+Комісії+Сесія'!N90-'dod3 квітень чистий'!N88</f>
        <v>0</v>
      </c>
      <c r="O91" s="567">
        <f>'dod3 Квітень+Комісії+Сесія'!O90-'dod3 квітень чистий'!O88</f>
        <v>0</v>
      </c>
      <c r="P91" s="567">
        <f>'dod3 Квітень+Комісії+Сесія'!P90-'dod3 квітень чистий'!P88</f>
        <v>0</v>
      </c>
    </row>
    <row r="92" spans="1:16" ht="409.5" x14ac:dyDescent="0.2">
      <c r="A92" s="556" t="s">
        <v>504</v>
      </c>
      <c r="B92" s="556" t="s">
        <v>505</v>
      </c>
      <c r="C92" s="556" t="s">
        <v>377</v>
      </c>
      <c r="D92" s="556" t="s">
        <v>668</v>
      </c>
      <c r="E92" s="567">
        <f>'dod3 Квітень+Комісії+Сесія'!E91-'dod3 квітень чистий'!E89</f>
        <v>0</v>
      </c>
      <c r="F92" s="567">
        <f>'dod3 Квітень+Комісії+Сесія'!F91-'dod3 квітень чистий'!F89</f>
        <v>0</v>
      </c>
      <c r="G92" s="567">
        <f>'dod3 Квітень+Комісії+Сесія'!G91-'dod3 квітень чистий'!G89</f>
        <v>0</v>
      </c>
      <c r="H92" s="567">
        <f>'dod3 Квітень+Комісії+Сесія'!H91-'dod3 квітень чистий'!H89</f>
        <v>0</v>
      </c>
      <c r="I92" s="567">
        <f>'dod3 Квітень+Комісії+Сесія'!I91-'dod3 квітень чистий'!I89</f>
        <v>0</v>
      </c>
      <c r="J92" s="567">
        <f>'dod3 Квітень+Комісії+Сесія'!J91-'dod3 квітень чистий'!J89</f>
        <v>0</v>
      </c>
      <c r="K92" s="567">
        <f>'dod3 Квітень+Комісії+Сесія'!K91-'dod3 квітень чистий'!K89</f>
        <v>0</v>
      </c>
      <c r="L92" s="567">
        <f>'dod3 Квітень+Комісії+Сесія'!L91-'dod3 квітень чистий'!L89</f>
        <v>0</v>
      </c>
      <c r="M92" s="567">
        <f>'dod3 Квітень+Комісії+Сесія'!M91-'dod3 квітень чистий'!M89</f>
        <v>0</v>
      </c>
      <c r="N92" s="567">
        <f>'dod3 Квітень+Комісії+Сесія'!N91-'dod3 квітень чистий'!N89</f>
        <v>0</v>
      </c>
      <c r="O92" s="567">
        <f>'dod3 Квітень+Комісії+Сесія'!O91-'dod3 квітень чистий'!O89</f>
        <v>0</v>
      </c>
      <c r="P92" s="567">
        <f>'dod3 Квітень+Комісії+Сесія'!P91-'dod3 квітень чистий'!P89</f>
        <v>0</v>
      </c>
    </row>
    <row r="93" spans="1:16" ht="137.25" x14ac:dyDescent="0.2">
      <c r="A93" s="556" t="s">
        <v>669</v>
      </c>
      <c r="B93" s="556" t="s">
        <v>670</v>
      </c>
      <c r="C93" s="556"/>
      <c r="D93" s="556" t="s">
        <v>671</v>
      </c>
      <c r="E93" s="567">
        <f>'dod3 Квітень+Комісії+Сесія'!E92-'dod3 квітень чистий'!E90</f>
        <v>0</v>
      </c>
      <c r="F93" s="567">
        <f>'dod3 Квітень+Комісії+Сесія'!F92-'dod3 квітень чистий'!F90</f>
        <v>0</v>
      </c>
      <c r="G93" s="567">
        <f>'dod3 Квітень+Комісії+Сесія'!G92-'dod3 квітень чистий'!G90</f>
        <v>0</v>
      </c>
      <c r="H93" s="567">
        <f>'dod3 Квітень+Комісії+Сесія'!H92-'dod3 квітень чистий'!H90</f>
        <v>0</v>
      </c>
      <c r="I93" s="567">
        <f>'dod3 Квітень+Комісії+Сесія'!I92-'dod3 квітень чистий'!I90</f>
        <v>0</v>
      </c>
      <c r="J93" s="567">
        <f>'dod3 Квітень+Комісії+Сесія'!J92-'dod3 квітень чистий'!J90</f>
        <v>0</v>
      </c>
      <c r="K93" s="567">
        <f>'dod3 Квітень+Комісії+Сесія'!K92-'dod3 квітень чистий'!K90</f>
        <v>0</v>
      </c>
      <c r="L93" s="567">
        <f>'dod3 Квітень+Комісії+Сесія'!L92-'dod3 квітень чистий'!L90</f>
        <v>0</v>
      </c>
      <c r="M93" s="567">
        <f>'dod3 Квітень+Комісії+Сесія'!M92-'dod3 квітень чистий'!M90</f>
        <v>0</v>
      </c>
      <c r="N93" s="567">
        <f>'dod3 Квітень+Комісії+Сесія'!N92-'dod3 квітень чистий'!N90</f>
        <v>0</v>
      </c>
      <c r="O93" s="567">
        <f>'dod3 Квітень+Комісії+Сесія'!O92-'dod3 квітень чистий'!O90</f>
        <v>0</v>
      </c>
      <c r="P93" s="567">
        <f>'dod3 Квітень+Комісії+Сесія'!P92-'dod3 квітень чистий'!P90</f>
        <v>0</v>
      </c>
    </row>
    <row r="94" spans="1:16" ht="274.5" x14ac:dyDescent="0.2">
      <c r="A94" s="553" t="s">
        <v>672</v>
      </c>
      <c r="B94" s="553" t="s">
        <v>673</v>
      </c>
      <c r="C94" s="553" t="s">
        <v>377</v>
      </c>
      <c r="D94" s="553" t="s">
        <v>747</v>
      </c>
      <c r="E94" s="567">
        <f>'dod3 Квітень+Комісії+Сесія'!E93-'dod3 квітень чистий'!E91</f>
        <v>0</v>
      </c>
      <c r="F94" s="567">
        <f>'dod3 Квітень+Комісії+Сесія'!F93-'dod3 квітень чистий'!F91</f>
        <v>0</v>
      </c>
      <c r="G94" s="567">
        <f>'dod3 Квітень+Комісії+Сесія'!G93-'dod3 квітень чистий'!G91</f>
        <v>0</v>
      </c>
      <c r="H94" s="567">
        <f>'dod3 Квітень+Комісії+Сесія'!H93-'dod3 квітень чистий'!H91</f>
        <v>0</v>
      </c>
      <c r="I94" s="567">
        <f>'dod3 Квітень+Комісії+Сесія'!I93-'dod3 квітень чистий'!I91</f>
        <v>0</v>
      </c>
      <c r="J94" s="567">
        <f>'dod3 Квітень+Комісії+Сесія'!J93-'dod3 квітень чистий'!J91</f>
        <v>0</v>
      </c>
      <c r="K94" s="567">
        <f>'dod3 Квітень+Комісії+Сесія'!K93-'dod3 квітень чистий'!K91</f>
        <v>0</v>
      </c>
      <c r="L94" s="567">
        <f>'dod3 Квітень+Комісії+Сесія'!L93-'dod3 квітень чистий'!L91</f>
        <v>0</v>
      </c>
      <c r="M94" s="567">
        <f>'dod3 Квітень+Комісії+Сесія'!M93-'dod3 квітень чистий'!M91</f>
        <v>0</v>
      </c>
      <c r="N94" s="567">
        <f>'dod3 Квітень+Комісії+Сесія'!N93-'dod3 квітень чистий'!N91</f>
        <v>0</v>
      </c>
      <c r="O94" s="567">
        <f>'dod3 Квітень+Комісії+Сесія'!O93-'dod3 квітень чистий'!O91</f>
        <v>0</v>
      </c>
      <c r="P94" s="567">
        <f>'dod3 Квітень+Комісії+Сесія'!P93-'dod3 квітень чистий'!P91</f>
        <v>0</v>
      </c>
    </row>
    <row r="95" spans="1:16" ht="112.5" customHeight="1" x14ac:dyDescent="0.2">
      <c r="A95" s="553" t="s">
        <v>674</v>
      </c>
      <c r="B95" s="553" t="s">
        <v>675</v>
      </c>
      <c r="C95" s="553" t="s">
        <v>377</v>
      </c>
      <c r="D95" s="553" t="s">
        <v>748</v>
      </c>
      <c r="E95" s="567">
        <f>'dod3 Квітень+Комісії+Сесія'!E94-'dod3 квітень чистий'!E92</f>
        <v>0</v>
      </c>
      <c r="F95" s="567">
        <f>'dod3 Квітень+Комісії+Сесія'!F94-'dod3 квітень чистий'!F92</f>
        <v>0</v>
      </c>
      <c r="G95" s="567">
        <f>'dod3 Квітень+Комісії+Сесія'!G94-'dod3 квітень чистий'!G92</f>
        <v>0</v>
      </c>
      <c r="H95" s="567">
        <f>'dod3 Квітень+Комісії+Сесія'!H94-'dod3 квітень чистий'!H92</f>
        <v>0</v>
      </c>
      <c r="I95" s="567">
        <f>'dod3 Квітень+Комісії+Сесія'!I94-'dod3 квітень чистий'!I92</f>
        <v>0</v>
      </c>
      <c r="J95" s="567">
        <f>'dod3 Квітень+Комісії+Сесія'!J94-'dod3 квітень чистий'!J92</f>
        <v>0</v>
      </c>
      <c r="K95" s="567">
        <f>'dod3 Квітень+Комісії+Сесія'!K94-'dod3 квітень чистий'!K92</f>
        <v>0</v>
      </c>
      <c r="L95" s="567">
        <f>'dod3 Квітень+Комісії+Сесія'!L94-'dod3 квітень чистий'!L92</f>
        <v>0</v>
      </c>
      <c r="M95" s="567">
        <f>'dod3 Квітень+Комісії+Сесія'!M94-'dod3 квітень чистий'!M92</f>
        <v>0</v>
      </c>
      <c r="N95" s="567">
        <f>'dod3 Квітень+Комісії+Сесія'!N94-'dod3 квітень чистий'!N92</f>
        <v>0</v>
      </c>
      <c r="O95" s="567">
        <f>'dod3 Квітень+Комісії+Сесія'!O94-'dod3 квітень чистий'!O92</f>
        <v>0</v>
      </c>
      <c r="P95" s="567">
        <f>'dod3 Квітень+Комісії+Сесія'!P94-'dod3 квітень чистий'!P92</f>
        <v>0</v>
      </c>
    </row>
    <row r="96" spans="1:16" ht="366" x14ac:dyDescent="0.2">
      <c r="A96" s="556" t="s">
        <v>751</v>
      </c>
      <c r="B96" s="556" t="s">
        <v>750</v>
      </c>
      <c r="C96" s="556" t="s">
        <v>117</v>
      </c>
      <c r="D96" s="556" t="s">
        <v>749</v>
      </c>
      <c r="E96" s="567">
        <f>'dod3 Квітень+Комісії+Сесія'!E95-'dod3 квітень чистий'!E93</f>
        <v>0</v>
      </c>
      <c r="F96" s="567">
        <f>'dod3 Квітень+Комісії+Сесія'!F95-'dod3 квітень чистий'!F93</f>
        <v>0</v>
      </c>
      <c r="G96" s="567">
        <f>'dod3 Квітень+Комісії+Сесія'!G95-'dod3 квітень чистий'!G93</f>
        <v>0</v>
      </c>
      <c r="H96" s="567">
        <f>'dod3 Квітень+Комісії+Сесія'!H95-'dod3 квітень чистий'!H93</f>
        <v>0</v>
      </c>
      <c r="I96" s="567">
        <f>'dod3 Квітень+Комісії+Сесія'!I95-'dod3 квітень чистий'!I93</f>
        <v>0</v>
      </c>
      <c r="J96" s="567">
        <f>'dod3 Квітень+Комісії+Сесія'!J95-'dod3 квітень чистий'!J93</f>
        <v>0</v>
      </c>
      <c r="K96" s="567">
        <f>'dod3 Квітень+Комісії+Сесія'!K95-'dod3 квітень чистий'!K93</f>
        <v>0</v>
      </c>
      <c r="L96" s="567">
        <f>'dod3 Квітень+Комісії+Сесія'!L95-'dod3 квітень чистий'!L93</f>
        <v>0</v>
      </c>
      <c r="M96" s="567">
        <f>'dod3 Квітень+Комісії+Сесія'!M95-'dod3 квітень чистий'!M93</f>
        <v>0</v>
      </c>
      <c r="N96" s="567">
        <f>'dod3 Квітень+Комісії+Сесія'!N95-'dod3 квітень чистий'!N93</f>
        <v>0</v>
      </c>
      <c r="O96" s="567">
        <f>'dod3 Квітень+Комісії+Сесія'!O95-'dod3 квітень чистий'!O93</f>
        <v>0</v>
      </c>
      <c r="P96" s="567">
        <f>'dod3 Квітень+Комісії+Сесія'!P95-'dod3 квітень чистий'!P93</f>
        <v>0</v>
      </c>
    </row>
    <row r="97" spans="1:18" ht="91.5" x14ac:dyDescent="0.2">
      <c r="A97" s="556" t="s">
        <v>676</v>
      </c>
      <c r="B97" s="556" t="s">
        <v>677</v>
      </c>
      <c r="C97" s="556"/>
      <c r="D97" s="309" t="s">
        <v>50</v>
      </c>
      <c r="E97" s="567">
        <f>'dod3 Квітень+Комісії+Сесія'!E96-'dod3 квітень чистий'!E94</f>
        <v>0</v>
      </c>
      <c r="F97" s="567">
        <f>'dod3 Квітень+Комісії+Сесія'!F96-'dod3 квітень чистий'!F94</f>
        <v>0</v>
      </c>
      <c r="G97" s="567">
        <f>'dod3 Квітень+Комісії+Сесія'!G96-'dod3 квітень чистий'!G94</f>
        <v>0</v>
      </c>
      <c r="H97" s="567">
        <f>'dod3 Квітень+Комісії+Сесія'!H96-'dod3 квітень чистий'!H94</f>
        <v>0</v>
      </c>
      <c r="I97" s="567">
        <f>'dod3 Квітень+Комісії+Сесія'!I96-'dod3 квітень чистий'!I94</f>
        <v>0</v>
      </c>
      <c r="J97" s="567">
        <f>'dod3 Квітень+Комісії+Сесія'!J96-'dod3 квітень чистий'!J94</f>
        <v>0</v>
      </c>
      <c r="K97" s="567">
        <f>'dod3 Квітень+Комісії+Сесія'!K96-'dod3 квітень чистий'!K94</f>
        <v>0</v>
      </c>
      <c r="L97" s="567">
        <f>'dod3 Квітень+Комісії+Сесія'!L96-'dod3 квітень чистий'!L94</f>
        <v>0</v>
      </c>
      <c r="M97" s="567">
        <f>'dod3 Квітень+Комісії+Сесія'!M96-'dod3 квітень чистий'!M94</f>
        <v>0</v>
      </c>
      <c r="N97" s="567">
        <f>'dod3 Квітень+Комісії+Сесія'!N96-'dod3 квітень чистий'!N94</f>
        <v>0</v>
      </c>
      <c r="O97" s="567">
        <f>'dod3 Квітень+Комісії+Сесія'!O96-'dod3 квітень чистий'!O94</f>
        <v>0</v>
      </c>
      <c r="P97" s="567">
        <f>'dod3 Квітень+Комісії+Сесія'!P96-'dod3 квітень чистий'!P94</f>
        <v>0</v>
      </c>
    </row>
    <row r="98" spans="1:18" ht="228.75" x14ac:dyDescent="0.2">
      <c r="A98" s="553" t="s">
        <v>678</v>
      </c>
      <c r="B98" s="553" t="s">
        <v>679</v>
      </c>
      <c r="C98" s="553" t="s">
        <v>385</v>
      </c>
      <c r="D98" s="553" t="s">
        <v>752</v>
      </c>
      <c r="E98" s="567">
        <f>'dod3 Квітень+Комісії+Сесія'!E97-'dod3 квітень чистий'!E95</f>
        <v>0</v>
      </c>
      <c r="F98" s="567">
        <f>'dod3 Квітень+Комісії+Сесія'!F97-'dod3 квітень чистий'!F95</f>
        <v>0</v>
      </c>
      <c r="G98" s="567">
        <f>'dod3 Квітень+Комісії+Сесія'!G97-'dod3 квітень чистий'!G95</f>
        <v>0</v>
      </c>
      <c r="H98" s="567">
        <f>'dod3 Квітень+Комісії+Сесія'!H97-'dod3 квітень чистий'!H95</f>
        <v>0</v>
      </c>
      <c r="I98" s="567">
        <f>'dod3 Квітень+Комісії+Сесія'!I97-'dod3 квітень чистий'!I95</f>
        <v>0</v>
      </c>
      <c r="J98" s="567">
        <f>'dod3 Квітень+Комісії+Сесія'!J97-'dod3 квітень чистий'!J95</f>
        <v>0</v>
      </c>
      <c r="K98" s="567">
        <f>'dod3 Квітень+Комісії+Сесія'!K97-'dod3 квітень чистий'!K95</f>
        <v>0</v>
      </c>
      <c r="L98" s="567">
        <f>'dod3 Квітень+Комісії+Сесія'!L97-'dod3 квітень чистий'!L95</f>
        <v>0</v>
      </c>
      <c r="M98" s="567">
        <f>'dod3 Квітень+Комісії+Сесія'!M97-'dod3 квітень чистий'!M95</f>
        <v>0</v>
      </c>
      <c r="N98" s="567">
        <f>'dod3 Квітень+Комісії+Сесія'!N97-'dod3 квітень чистий'!N95</f>
        <v>0</v>
      </c>
      <c r="O98" s="567">
        <f>'dod3 Квітень+Комісії+Сесія'!O97-'dod3 квітень чистий'!O95</f>
        <v>0</v>
      </c>
      <c r="P98" s="567">
        <f>'dod3 Квітень+Комісії+Сесія'!P97-'dod3 квітень чистий'!P95</f>
        <v>0</v>
      </c>
    </row>
    <row r="99" spans="1:18" ht="228.75" x14ac:dyDescent="0.2">
      <c r="A99" s="556" t="s">
        <v>947</v>
      </c>
      <c r="B99" s="556" t="s">
        <v>948</v>
      </c>
      <c r="C99" s="556"/>
      <c r="D99" s="309" t="s">
        <v>946</v>
      </c>
      <c r="E99" s="567">
        <f>'dod3 Квітень+Комісії+Сесія'!E98-0</f>
        <v>0</v>
      </c>
      <c r="F99" s="567">
        <f>'dod3 Квітень+Комісії+Сесія'!F98-0</f>
        <v>0</v>
      </c>
      <c r="G99" s="567">
        <f>'dod3 Квітень+Комісії+Сесія'!G98-0</f>
        <v>0</v>
      </c>
      <c r="H99" s="567">
        <f>'dod3 Квітень+Комісії+Сесія'!H98-0</f>
        <v>0</v>
      </c>
      <c r="I99" s="567">
        <f>'dod3 Квітень+Комісії+Сесія'!I98-0</f>
        <v>0</v>
      </c>
      <c r="J99" s="567">
        <f>'dod3 Квітень+Комісії+Сесія'!J98-0</f>
        <v>6864875.6299999999</v>
      </c>
      <c r="K99" s="567">
        <f>'dod3 Квітень+Комісії+Сесія'!K98-0</f>
        <v>0</v>
      </c>
      <c r="L99" s="567">
        <f>'dod3 Квітень+Комісії+Сесія'!L98-0</f>
        <v>0</v>
      </c>
      <c r="M99" s="567">
        <f>'dod3 Квітень+Комісії+Сесія'!M98-0</f>
        <v>0</v>
      </c>
      <c r="N99" s="567">
        <f>'dod3 Квітень+Комісії+Сесія'!N98-0</f>
        <v>6864875.6299999999</v>
      </c>
      <c r="O99" s="567">
        <f>'dod3 Квітень+Комісії+Сесія'!O98-0</f>
        <v>6864875.6299999999</v>
      </c>
      <c r="P99" s="567">
        <f>'dod3 Квітень+Комісії+Сесія'!P98-0</f>
        <v>6864875.6299999999</v>
      </c>
    </row>
    <row r="100" spans="1:18" s="203" customFormat="1" ht="409.5" x14ac:dyDescent="0.2">
      <c r="A100" s="718" t="s">
        <v>949</v>
      </c>
      <c r="B100" s="718" t="s">
        <v>950</v>
      </c>
      <c r="C100" s="728" t="s">
        <v>117</v>
      </c>
      <c r="D100" s="310" t="s">
        <v>951</v>
      </c>
      <c r="E100" s="730">
        <f>'dod3 Квітень+Комісії+Сесія'!E99:E101-0</f>
        <v>0</v>
      </c>
      <c r="F100" s="730">
        <f>'dod3 Квітень+Комісії+Сесія'!F99:F101-0</f>
        <v>0</v>
      </c>
      <c r="G100" s="730">
        <f>'dod3 Квітень+Комісії+Сесія'!G99:G101-0</f>
        <v>0</v>
      </c>
      <c r="H100" s="730">
        <f>'dod3 Квітень+Комісії+Сесія'!H99:H101-0</f>
        <v>0</v>
      </c>
      <c r="I100" s="730">
        <f>'dod3 Квітень+Комісії+Сесія'!I99:I101-0</f>
        <v>0</v>
      </c>
      <c r="J100" s="730">
        <f>'dod3 Квітень+Комісії+Сесія'!J99:J101-0</f>
        <v>0</v>
      </c>
      <c r="K100" s="730">
        <f>'dod3 Квітень+Комісії+Сесія'!K99:K101-0</f>
        <v>0</v>
      </c>
      <c r="L100" s="730">
        <f>'dod3 Квітень+Комісії+Сесія'!L99:L101-0</f>
        <v>0</v>
      </c>
      <c r="M100" s="730">
        <f>'dod3 Квітень+Комісії+Сесія'!M99:M101-0</f>
        <v>0</v>
      </c>
      <c r="N100" s="730">
        <f>'dod3 Квітень+Комісії+Сесія'!N99:N101-0</f>
        <v>0</v>
      </c>
      <c r="O100" s="730">
        <f>'dod3 Квітень+Комісії+Сесія'!O99:O101-0</f>
        <v>0</v>
      </c>
      <c r="P100" s="730">
        <f>'dod3 Квітень+Комісії+Сесія'!P99:P101-0</f>
        <v>0</v>
      </c>
    </row>
    <row r="101" spans="1:18" s="203" customFormat="1" ht="409.5" x14ac:dyDescent="0.2">
      <c r="A101" s="726"/>
      <c r="B101" s="726"/>
      <c r="C101" s="729"/>
      <c r="D101" s="310" t="s">
        <v>952</v>
      </c>
      <c r="E101" s="729"/>
      <c r="F101" s="729"/>
      <c r="G101" s="729"/>
      <c r="H101" s="729"/>
      <c r="I101" s="729"/>
      <c r="J101" s="729"/>
      <c r="K101" s="729"/>
      <c r="L101" s="729"/>
      <c r="M101" s="729"/>
      <c r="N101" s="729"/>
      <c r="O101" s="729"/>
      <c r="P101" s="729"/>
    </row>
    <row r="102" spans="1:18" s="203" customFormat="1" ht="91.5" x14ac:dyDescent="0.2">
      <c r="A102" s="727"/>
      <c r="B102" s="727"/>
      <c r="C102" s="729"/>
      <c r="D102" s="310" t="s">
        <v>953</v>
      </c>
      <c r="E102" s="729"/>
      <c r="F102" s="729"/>
      <c r="G102" s="729"/>
      <c r="H102" s="729"/>
      <c r="I102" s="729"/>
      <c r="J102" s="729"/>
      <c r="K102" s="729"/>
      <c r="L102" s="729"/>
      <c r="M102" s="729"/>
      <c r="N102" s="729"/>
      <c r="O102" s="729"/>
      <c r="P102" s="729"/>
    </row>
    <row r="103" spans="1:18" ht="409.5" x14ac:dyDescent="0.2">
      <c r="A103" s="720" t="s">
        <v>503</v>
      </c>
      <c r="B103" s="720" t="s">
        <v>362</v>
      </c>
      <c r="C103" s="721" t="s">
        <v>353</v>
      </c>
      <c r="D103" s="555" t="s">
        <v>680</v>
      </c>
      <c r="E103" s="738">
        <v>0</v>
      </c>
      <c r="F103" s="738">
        <v>0</v>
      </c>
      <c r="G103" s="738">
        <v>0</v>
      </c>
      <c r="H103" s="738">
        <v>0</v>
      </c>
      <c r="I103" s="738">
        <v>0</v>
      </c>
      <c r="J103" s="738">
        <v>0</v>
      </c>
      <c r="K103" s="738">
        <v>0</v>
      </c>
      <c r="L103" s="738">
        <v>0</v>
      </c>
      <c r="M103" s="738">
        <v>0</v>
      </c>
      <c r="N103" s="738">
        <v>0</v>
      </c>
      <c r="O103" s="738">
        <v>0</v>
      </c>
      <c r="P103" s="738">
        <v>0</v>
      </c>
      <c r="Q103">
        <v>0</v>
      </c>
    </row>
    <row r="104" spans="1:18" ht="327.75" customHeight="1" x14ac:dyDescent="0.2">
      <c r="A104" s="694"/>
      <c r="B104" s="694"/>
      <c r="C104" s="722"/>
      <c r="D104" s="321" t="s">
        <v>681</v>
      </c>
      <c r="E104" s="744"/>
      <c r="F104" s="744"/>
      <c r="G104" s="744"/>
      <c r="H104" s="744"/>
      <c r="I104" s="744"/>
      <c r="J104" s="744"/>
      <c r="K104" s="744"/>
      <c r="L104" s="744"/>
      <c r="M104" s="744"/>
      <c r="N104" s="744"/>
      <c r="O104" s="744"/>
      <c r="P104" s="744"/>
    </row>
    <row r="105" spans="1:18" ht="46.5" x14ac:dyDescent="0.2">
      <c r="A105" s="556" t="s">
        <v>684</v>
      </c>
      <c r="B105" s="556" t="s">
        <v>685</v>
      </c>
      <c r="C105" s="556"/>
      <c r="D105" s="556" t="s">
        <v>364</v>
      </c>
      <c r="E105" s="567">
        <f>'dod3 Квітень+Комісії+Сесія'!E104-'dod3 квітень чистий'!E98</f>
        <v>0</v>
      </c>
      <c r="F105" s="567">
        <f>'dod3 Квітень+Комісії+Сесія'!F104-'dod3 квітень чистий'!F98</f>
        <v>0</v>
      </c>
      <c r="G105" s="567">
        <f>'dod3 Квітень+Комісії+Сесія'!G104-'dod3 квітень чистий'!G98</f>
        <v>0</v>
      </c>
      <c r="H105" s="567">
        <f>'dod3 Квітень+Комісії+Сесія'!H104-'dod3 квітень чистий'!H98</f>
        <v>0</v>
      </c>
      <c r="I105" s="567">
        <f>'dod3 Квітень+Комісії+Сесія'!I104-'dod3 квітень чистий'!I98</f>
        <v>0</v>
      </c>
      <c r="J105" s="567">
        <f>'dod3 Квітень+Комісії+Сесія'!J104-'dod3 квітень чистий'!J98</f>
        <v>0</v>
      </c>
      <c r="K105" s="567">
        <f>'dod3 Квітень+Комісії+Сесія'!K104-'dod3 квітень чистий'!K98</f>
        <v>0</v>
      </c>
      <c r="L105" s="567">
        <f>'dod3 Квітень+Комісії+Сесія'!L104-'dod3 квітень чистий'!L98</f>
        <v>0</v>
      </c>
      <c r="M105" s="567">
        <f>'dod3 Квітень+Комісії+Сесія'!M104-'dod3 квітень чистий'!M98</f>
        <v>0</v>
      </c>
      <c r="N105" s="567">
        <f>'dod3 Квітень+Комісії+Сесія'!N104-'dod3 квітень чистий'!N98</f>
        <v>0</v>
      </c>
      <c r="O105" s="567">
        <f>'dod3 Квітень+Комісії+Сесія'!O104-'dod3 квітень чистий'!O98</f>
        <v>0</v>
      </c>
      <c r="P105" s="567">
        <f>'dod3 Квітень+Комісії+Сесія'!P104-'dod3 квітень чистий'!P98</f>
        <v>0</v>
      </c>
    </row>
    <row r="106" spans="1:18" ht="183" x14ac:dyDescent="0.2">
      <c r="A106" s="553" t="s">
        <v>682</v>
      </c>
      <c r="B106" s="553" t="s">
        <v>686</v>
      </c>
      <c r="C106" s="553" t="s">
        <v>363</v>
      </c>
      <c r="D106" s="298" t="s">
        <v>688</v>
      </c>
      <c r="E106" s="567">
        <f>'dod3 Квітень+Комісії+Сесія'!E105-'dod3 квітень чистий'!E99</f>
        <v>0</v>
      </c>
      <c r="F106" s="567">
        <f>'dod3 Квітень+Комісії+Сесія'!F105-'dod3 квітень чистий'!F99</f>
        <v>0</v>
      </c>
      <c r="G106" s="567">
        <f>'dod3 Квітень+Комісії+Сесія'!G105-'dod3 квітень чистий'!G99</f>
        <v>0</v>
      </c>
      <c r="H106" s="567">
        <f>'dod3 Квітень+Комісії+Сесія'!H105-'dod3 квітень чистий'!H99</f>
        <v>0</v>
      </c>
      <c r="I106" s="567">
        <f>'dod3 Квітень+Комісії+Сесія'!I105-'dod3 квітень чистий'!I99</f>
        <v>0</v>
      </c>
      <c r="J106" s="567">
        <f>'dod3 Квітень+Комісії+Сесія'!J105-'dod3 квітень чистий'!J99</f>
        <v>0</v>
      </c>
      <c r="K106" s="567">
        <f>'dod3 Квітень+Комісії+Сесія'!K105-'dod3 квітень чистий'!K99</f>
        <v>0</v>
      </c>
      <c r="L106" s="567">
        <f>'dod3 Квітень+Комісії+Сесія'!L105-'dod3 квітень чистий'!L99</f>
        <v>0</v>
      </c>
      <c r="M106" s="567">
        <f>'dod3 Квітень+Комісії+Сесія'!M105-'dod3 квітень чистий'!M99</f>
        <v>0</v>
      </c>
      <c r="N106" s="567">
        <f>'dod3 Квітень+Комісії+Сесія'!N105-'dod3 квітень чистий'!N99</f>
        <v>0</v>
      </c>
      <c r="O106" s="567">
        <f>'dod3 Квітень+Комісії+Сесія'!O105-'dod3 квітень чистий'!O99</f>
        <v>0</v>
      </c>
      <c r="P106" s="567">
        <f>'dod3 Квітень+Комісії+Сесія'!P105-'dod3 квітень чистий'!P99</f>
        <v>0</v>
      </c>
    </row>
    <row r="107" spans="1:18" ht="137.25" x14ac:dyDescent="0.2">
      <c r="A107" s="553" t="s">
        <v>683</v>
      </c>
      <c r="B107" s="553" t="s">
        <v>687</v>
      </c>
      <c r="C107" s="553" t="s">
        <v>363</v>
      </c>
      <c r="D107" s="298" t="s">
        <v>689</v>
      </c>
      <c r="E107" s="567">
        <f>'dod3 Квітень+Комісії+Сесія'!E106-'dod3 квітень чистий'!E100</f>
        <v>0</v>
      </c>
      <c r="F107" s="567">
        <f>'dod3 Квітень+Комісії+Сесія'!F106-'dod3 квітень чистий'!F100</f>
        <v>0</v>
      </c>
      <c r="G107" s="567">
        <f>'dod3 Квітень+Комісії+Сесія'!G106-'dod3 квітень чистий'!G100</f>
        <v>0</v>
      </c>
      <c r="H107" s="567">
        <f>'dod3 Квітень+Комісії+Сесія'!H106-'dod3 квітень чистий'!H100</f>
        <v>0</v>
      </c>
      <c r="I107" s="567">
        <f>'dod3 Квітень+Комісії+Сесія'!I106-'dod3 квітень чистий'!I100</f>
        <v>0</v>
      </c>
      <c r="J107" s="567">
        <f>'dod3 Квітень+Комісії+Сесія'!J106-'dod3 квітень чистий'!J100</f>
        <v>0</v>
      </c>
      <c r="K107" s="567">
        <f>'dod3 Квітень+Комісії+Сесія'!K106-'dod3 квітень чистий'!K100</f>
        <v>0</v>
      </c>
      <c r="L107" s="567">
        <f>'dod3 Квітень+Комісії+Сесія'!L106-'dod3 квітень чистий'!L100</f>
        <v>0</v>
      </c>
      <c r="M107" s="567">
        <f>'dod3 Квітень+Комісії+Сесія'!M106-'dod3 квітень чистий'!M100</f>
        <v>0</v>
      </c>
      <c r="N107" s="567">
        <f>'dod3 Квітень+Комісії+Сесія'!N106-'dod3 квітень чистий'!N100</f>
        <v>0</v>
      </c>
      <c r="O107" s="567">
        <f>'dod3 Квітень+Комісії+Сесія'!O106-'dod3 квітень чистий'!O100</f>
        <v>0</v>
      </c>
      <c r="P107" s="567">
        <f>'dod3 Квітень+Комісії+Сесія'!P106-'dod3 квітень чистий'!P100</f>
        <v>0</v>
      </c>
    </row>
    <row r="108" spans="1:18" ht="91.5" x14ac:dyDescent="0.2">
      <c r="A108" s="556" t="s">
        <v>832</v>
      </c>
      <c r="B108" s="556" t="s">
        <v>706</v>
      </c>
      <c r="C108" s="556"/>
      <c r="D108" s="556" t="s">
        <v>833</v>
      </c>
      <c r="E108" s="567">
        <f>'dod3 Квітень+Комісії+Сесія'!E107-'dod3 квітень чистий'!E101</f>
        <v>0</v>
      </c>
      <c r="F108" s="567">
        <f>'dod3 Квітень+Комісії+Сесія'!F107-'dod3 квітень чистий'!F101</f>
        <v>0</v>
      </c>
      <c r="G108" s="567">
        <f>'dod3 Квітень+Комісії+Сесія'!G107-'dod3 квітень чистий'!G101</f>
        <v>0</v>
      </c>
      <c r="H108" s="567">
        <f>'dod3 Квітень+Комісії+Сесія'!H107-'dod3 квітень чистий'!H101</f>
        <v>0</v>
      </c>
      <c r="I108" s="567">
        <f>'dod3 Квітень+Комісії+Сесія'!I107-'dod3 квітень чистий'!I101</f>
        <v>0</v>
      </c>
      <c r="J108" s="567">
        <f>'dod3 Квітень+Комісії+Сесія'!J107-'dod3 квітень чистий'!J101</f>
        <v>0</v>
      </c>
      <c r="K108" s="567">
        <f>'dod3 Квітень+Комісії+Сесія'!K107-'dod3 квітень чистий'!K101</f>
        <v>0</v>
      </c>
      <c r="L108" s="567">
        <f>'dod3 Квітень+Комісії+Сесія'!L107-'dod3 квітень чистий'!L101</f>
        <v>0</v>
      </c>
      <c r="M108" s="567">
        <f>'dod3 Квітень+Комісії+Сесія'!M107-'dod3 квітень чистий'!M101</f>
        <v>0</v>
      </c>
      <c r="N108" s="567">
        <f>'dod3 Квітень+Комісії+Сесія'!N107-'dod3 квітень чистий'!N101</f>
        <v>0</v>
      </c>
      <c r="O108" s="567">
        <f>'dod3 Квітень+Комісії+Сесія'!O107-'dod3 квітень чистий'!O101</f>
        <v>0</v>
      </c>
      <c r="P108" s="567">
        <f>'dod3 Квітень+Комісії+Сесія'!P107-'dod3 квітень чистий'!P101</f>
        <v>0</v>
      </c>
    </row>
    <row r="109" spans="1:18" ht="137.25" x14ac:dyDescent="0.2">
      <c r="A109" s="553" t="s">
        <v>836</v>
      </c>
      <c r="B109" s="553" t="s">
        <v>834</v>
      </c>
      <c r="C109" s="553" t="s">
        <v>708</v>
      </c>
      <c r="D109" s="298" t="s">
        <v>835</v>
      </c>
      <c r="E109" s="567">
        <f>'dod3 Квітень+Комісії+Сесія'!E108-'dod3 квітень чистий'!E102</f>
        <v>0</v>
      </c>
      <c r="F109" s="567">
        <f>'dod3 Квітень+Комісії+Сесія'!F108-'dod3 квітень чистий'!F102</f>
        <v>0</v>
      </c>
      <c r="G109" s="567">
        <f>'dod3 Квітень+Комісії+Сесія'!G108-'dod3 квітень чистий'!G102</f>
        <v>0</v>
      </c>
      <c r="H109" s="567">
        <f>'dod3 Квітень+Комісії+Сесія'!H108-'dod3 квітень чистий'!H102</f>
        <v>0</v>
      </c>
      <c r="I109" s="567">
        <f>'dod3 Квітень+Комісії+Сесія'!I108-'dod3 квітень чистий'!I102</f>
        <v>0</v>
      </c>
      <c r="J109" s="567">
        <f>'dod3 Квітень+Комісії+Сесія'!J108-'dod3 квітень чистий'!J102</f>
        <v>0</v>
      </c>
      <c r="K109" s="567">
        <f>'dod3 Квітень+Комісії+Сесія'!K108-'dod3 квітень чистий'!K102</f>
        <v>0</v>
      </c>
      <c r="L109" s="567">
        <f>'dod3 Квітень+Комісії+Сесія'!L108-'dod3 квітень чистий'!L102</f>
        <v>0</v>
      </c>
      <c r="M109" s="567">
        <f>'dod3 Квітень+Комісії+Сесія'!M108-'dod3 квітень чистий'!M102</f>
        <v>0</v>
      </c>
      <c r="N109" s="567">
        <f>'dod3 Квітень+Комісії+Сесія'!N108-'dod3 квітень чистий'!N102</f>
        <v>0</v>
      </c>
      <c r="O109" s="567">
        <f>'dod3 Квітень+Комісії+Сесія'!O108-'dod3 квітень чистий'!O102</f>
        <v>0</v>
      </c>
      <c r="P109" s="567">
        <f>'dod3 Квітень+Комісії+Сесія'!P108-'dod3 квітень чистий'!P102</f>
        <v>0</v>
      </c>
    </row>
    <row r="110" spans="1:18" ht="180" x14ac:dyDescent="0.2">
      <c r="A110" s="445">
        <v>1000000</v>
      </c>
      <c r="B110" s="445"/>
      <c r="C110" s="445"/>
      <c r="D110" s="433" t="s">
        <v>68</v>
      </c>
      <c r="E110" s="440">
        <f>E111</f>
        <v>0</v>
      </c>
      <c r="F110" s="440">
        <f t="shared" ref="F110:P110" si="13">F111</f>
        <v>0</v>
      </c>
      <c r="G110" s="440">
        <f t="shared" si="13"/>
        <v>0</v>
      </c>
      <c r="H110" s="440">
        <f t="shared" si="13"/>
        <v>0</v>
      </c>
      <c r="I110" s="440">
        <f t="shared" si="13"/>
        <v>0</v>
      </c>
      <c r="J110" s="440">
        <f t="shared" si="13"/>
        <v>0</v>
      </c>
      <c r="K110" s="440">
        <f t="shared" si="13"/>
        <v>0</v>
      </c>
      <c r="L110" s="440">
        <f t="shared" si="13"/>
        <v>0</v>
      </c>
      <c r="M110" s="440">
        <f t="shared" si="13"/>
        <v>0</v>
      </c>
      <c r="N110" s="440">
        <f t="shared" si="13"/>
        <v>0</v>
      </c>
      <c r="O110" s="439">
        <f t="shared" si="13"/>
        <v>0</v>
      </c>
      <c r="P110" s="440">
        <f t="shared" si="13"/>
        <v>0</v>
      </c>
    </row>
    <row r="111" spans="1:18" ht="180" x14ac:dyDescent="0.2">
      <c r="A111" s="446">
        <v>1010000</v>
      </c>
      <c r="B111" s="446"/>
      <c r="C111" s="446"/>
      <c r="D111" s="437" t="s">
        <v>94</v>
      </c>
      <c r="E111" s="439">
        <f>E113+E114+E115+E116+E112+E118+E117+E121</f>
        <v>0</v>
      </c>
      <c r="F111" s="440">
        <f>F113+F114+F115+F116+F112+F118+F117+F121</f>
        <v>0</v>
      </c>
      <c r="G111" s="439">
        <f>G113+G114+G115+G116+G112+G118+G117+G121</f>
        <v>0</v>
      </c>
      <c r="H111" s="439">
        <f>H113+H114+H115+H116+H112+H118+H117+H121</f>
        <v>0</v>
      </c>
      <c r="I111" s="440">
        <v>0</v>
      </c>
      <c r="J111" s="439">
        <f t="shared" ref="J111" si="14">K111+N111</f>
        <v>0</v>
      </c>
      <c r="K111" s="440">
        <f>K113+K114+K115+K116+K112+K118+K117+K121</f>
        <v>0</v>
      </c>
      <c r="L111" s="439">
        <f>L113+L114+L115+L116+L112+L118+L117+L121</f>
        <v>0</v>
      </c>
      <c r="M111" s="439">
        <f>M113+M114+M115+M116+M112+M118+M117+M121</f>
        <v>0</v>
      </c>
      <c r="N111" s="440">
        <f>N113+N114+N115+N116+N112+N118+N117+N121</f>
        <v>0</v>
      </c>
      <c r="O111" s="439">
        <f>O113+O114+O115+O116+O112+O118+O117+O121</f>
        <v>0</v>
      </c>
      <c r="P111" s="439">
        <f t="shared" ref="P111" si="15">E111+J111</f>
        <v>0</v>
      </c>
      <c r="Q111" s="311" t="b">
        <f>P111=P112+P113+P114+P115+P116+P117+P119+P120+P121</f>
        <v>1</v>
      </c>
      <c r="R111" s="325"/>
    </row>
    <row r="112" spans="1:18" ht="274.5" x14ac:dyDescent="0.2">
      <c r="A112" s="556" t="s">
        <v>49</v>
      </c>
      <c r="B112" s="556" t="s">
        <v>343</v>
      </c>
      <c r="C112" s="556" t="s">
        <v>344</v>
      </c>
      <c r="D112" s="556" t="s">
        <v>342</v>
      </c>
      <c r="E112" s="567">
        <f>'dod3 Квітень+Комісії+Сесія'!E111-'dod3 квітень чистий'!E105</f>
        <v>0</v>
      </c>
      <c r="F112" s="567">
        <f>'dod3 Квітень+Комісії+Сесія'!F111-'dod3 квітень чистий'!F105</f>
        <v>0</v>
      </c>
      <c r="G112" s="567">
        <f>'dod3 Квітень+Комісії+Сесія'!G111-'dod3 квітень чистий'!G105</f>
        <v>0</v>
      </c>
      <c r="H112" s="567">
        <f>'dod3 Квітень+Комісії+Сесія'!H111-'dod3 квітень чистий'!H105</f>
        <v>0</v>
      </c>
      <c r="I112" s="567">
        <f>'dod3 Квітень+Комісії+Сесія'!I111-'dod3 квітень чистий'!I105</f>
        <v>0</v>
      </c>
      <c r="J112" s="567">
        <f>'dod3 Квітень+Комісії+Сесія'!J111-'dod3 квітень чистий'!J105</f>
        <v>0</v>
      </c>
      <c r="K112" s="567">
        <f>'dod3 Квітень+Комісії+Сесія'!K111-'dod3 квітень чистий'!K105</f>
        <v>0</v>
      </c>
      <c r="L112" s="567">
        <f>'dod3 Квітень+Комісії+Сесія'!L111-'dod3 квітень чистий'!L105</f>
        <v>0</v>
      </c>
      <c r="M112" s="567">
        <f>'dod3 Квітень+Комісії+Сесія'!M111-'dod3 квітень чистий'!M105</f>
        <v>0</v>
      </c>
      <c r="N112" s="567">
        <f>'dod3 Квітень+Комісії+Сесія'!N111-'dod3 квітень чистий'!N105</f>
        <v>0</v>
      </c>
      <c r="O112" s="567">
        <f>'dod3 Квітень+Комісії+Сесія'!O111-'dod3 квітень чистий'!O105</f>
        <v>0</v>
      </c>
      <c r="P112" s="567">
        <f>'dod3 Квітень+Комісії+Сесія'!P111-'dod3 квітень чистий'!P105</f>
        <v>0</v>
      </c>
    </row>
    <row r="113" spans="1:18" ht="46.5" x14ac:dyDescent="0.2">
      <c r="A113" s="556" t="s">
        <v>325</v>
      </c>
      <c r="B113" s="556" t="s">
        <v>326</v>
      </c>
      <c r="C113" s="556" t="s">
        <v>330</v>
      </c>
      <c r="D113" s="556" t="s">
        <v>331</v>
      </c>
      <c r="E113" s="567">
        <f>'dod3 Квітень+Комісії+Сесія'!E112-'dod3 квітень чистий'!E106</f>
        <v>0</v>
      </c>
      <c r="F113" s="567">
        <f>'dod3 Квітень+Комісії+Сесія'!F112-'dod3 квітень чистий'!F106</f>
        <v>0</v>
      </c>
      <c r="G113" s="567">
        <f>'dod3 Квітень+Комісії+Сесія'!G112-'dod3 квітень чистий'!G106</f>
        <v>0</v>
      </c>
      <c r="H113" s="567">
        <f>'dod3 Квітень+Комісії+Сесія'!H112-'dod3 квітень чистий'!H106</f>
        <v>0</v>
      </c>
      <c r="I113" s="567">
        <f>'dod3 Квітень+Комісії+Сесія'!I112-'dod3 квітень чистий'!I106</f>
        <v>0</v>
      </c>
      <c r="J113" s="567">
        <f>'dod3 Квітень+Комісії+Сесія'!J112-'dod3 квітень чистий'!J106</f>
        <v>0</v>
      </c>
      <c r="K113" s="567">
        <f>'dod3 Квітень+Комісії+Сесія'!K112-'dod3 квітень чистий'!K106</f>
        <v>0</v>
      </c>
      <c r="L113" s="567">
        <f>'dod3 Квітень+Комісії+Сесія'!L112-'dod3 квітень чистий'!L106</f>
        <v>0</v>
      </c>
      <c r="M113" s="567">
        <f>'dod3 Квітень+Комісії+Сесія'!M112-'dod3 квітень чистий'!M106</f>
        <v>0</v>
      </c>
      <c r="N113" s="567">
        <f>'dod3 Квітень+Комісії+Сесія'!N112-'dod3 квітень чистий'!N106</f>
        <v>0</v>
      </c>
      <c r="O113" s="567">
        <f>'dod3 Квітень+Комісії+Сесія'!O112-'dod3 квітень чистий'!O106</f>
        <v>0</v>
      </c>
      <c r="P113" s="567">
        <f>'dod3 Квітень+Комісії+Сесія'!P112-'dod3 квітень чистий'!P106</f>
        <v>0</v>
      </c>
    </row>
    <row r="114" spans="1:18" ht="91.5" x14ac:dyDescent="0.2">
      <c r="A114" s="556" t="s">
        <v>332</v>
      </c>
      <c r="B114" s="556" t="s">
        <v>333</v>
      </c>
      <c r="C114" s="556" t="s">
        <v>334</v>
      </c>
      <c r="D114" s="556" t="s">
        <v>335</v>
      </c>
      <c r="E114" s="567">
        <f>'dod3 Квітень+Комісії+Сесія'!E113-'dod3 квітень чистий'!E107</f>
        <v>0</v>
      </c>
      <c r="F114" s="567">
        <f>'dod3 Квітень+Комісії+Сесія'!F113-'dod3 квітень чистий'!F107</f>
        <v>0</v>
      </c>
      <c r="G114" s="567">
        <f>'dod3 Квітень+Комісії+Сесія'!G113-'dod3 квітень чистий'!G107</f>
        <v>0</v>
      </c>
      <c r="H114" s="567">
        <f>'dod3 Квітень+Комісії+Сесія'!H113-'dod3 квітень чистий'!H107</f>
        <v>0</v>
      </c>
      <c r="I114" s="567">
        <f>'dod3 Квітень+Комісії+Сесія'!I113-'dod3 квітень чистий'!I107</f>
        <v>0</v>
      </c>
      <c r="J114" s="567">
        <f>'dod3 Квітень+Комісії+Сесія'!J113-'dod3 квітень чистий'!J107</f>
        <v>0</v>
      </c>
      <c r="K114" s="567">
        <f>'dod3 Квітень+Комісії+Сесія'!K113-'dod3 квітень чистий'!K107</f>
        <v>0</v>
      </c>
      <c r="L114" s="567">
        <f>'dod3 Квітень+Комісії+Сесія'!L113-'dod3 квітень чистий'!L107</f>
        <v>0</v>
      </c>
      <c r="M114" s="567">
        <f>'dod3 Квітень+Комісії+Сесія'!M113-'dod3 квітень чистий'!M107</f>
        <v>0</v>
      </c>
      <c r="N114" s="567">
        <f>'dod3 Квітень+Комісії+Сесія'!N113-'dod3 квітень чистий'!N107</f>
        <v>0</v>
      </c>
      <c r="O114" s="567">
        <f>'dod3 Квітень+Комісії+Сесія'!O113-'dod3 квітень чистий'!O107</f>
        <v>0</v>
      </c>
      <c r="P114" s="567">
        <f>'dod3 Квітень+Комісії+Сесія'!P113-'dod3 квітень чистий'!P107</f>
        <v>0</v>
      </c>
    </row>
    <row r="115" spans="1:18" ht="91.5" x14ac:dyDescent="0.2">
      <c r="A115" s="556" t="s">
        <v>336</v>
      </c>
      <c r="B115" s="556" t="s">
        <v>337</v>
      </c>
      <c r="C115" s="556" t="s">
        <v>334</v>
      </c>
      <c r="D115" s="556" t="s">
        <v>338</v>
      </c>
      <c r="E115" s="567">
        <f>'dod3 Квітень+Комісії+Сесія'!E114-'dod3 квітень чистий'!E108</f>
        <v>0</v>
      </c>
      <c r="F115" s="567">
        <f>'dod3 Квітень+Комісії+Сесія'!F114-'dod3 квітень чистий'!F108</f>
        <v>0</v>
      </c>
      <c r="G115" s="567">
        <f>'dod3 Квітень+Комісії+Сесія'!G114-'dod3 квітень чистий'!G108</f>
        <v>0</v>
      </c>
      <c r="H115" s="567">
        <f>'dod3 Квітень+Комісії+Сесія'!H114-'dod3 квітень чистий'!H108</f>
        <v>0</v>
      </c>
      <c r="I115" s="567">
        <f>'dod3 Квітень+Комісії+Сесія'!I114-'dod3 квітень чистий'!I108</f>
        <v>0</v>
      </c>
      <c r="J115" s="567">
        <f>'dod3 Квітень+Комісії+Сесія'!J114-'dod3 квітень чистий'!J108</f>
        <v>0</v>
      </c>
      <c r="K115" s="567">
        <f>'dod3 Квітень+Комісії+Сесія'!K114-'dod3 квітень чистий'!K108</f>
        <v>0</v>
      </c>
      <c r="L115" s="567">
        <f>'dod3 Квітень+Комісії+Сесія'!L114-'dod3 квітень чистий'!L108</f>
        <v>0</v>
      </c>
      <c r="M115" s="567">
        <f>'dod3 Квітень+Комісії+Сесія'!M114-'dod3 квітень чистий'!M108</f>
        <v>0</v>
      </c>
      <c r="N115" s="567">
        <f>'dod3 Квітень+Комісії+Сесія'!N114-'dod3 квітень чистий'!N108</f>
        <v>0</v>
      </c>
      <c r="O115" s="567">
        <f>'dod3 Квітень+Комісії+Сесія'!O114-'dod3 квітень чистий'!O108</f>
        <v>0</v>
      </c>
      <c r="P115" s="567">
        <f>'dod3 Квітень+Комісії+Сесія'!P114-'dod3 квітень чистий'!P108</f>
        <v>0</v>
      </c>
    </row>
    <row r="116" spans="1:18" ht="183" x14ac:dyDescent="0.2">
      <c r="A116" s="556" t="s">
        <v>339</v>
      </c>
      <c r="B116" s="556" t="s">
        <v>327</v>
      </c>
      <c r="C116" s="556" t="s">
        <v>340</v>
      </c>
      <c r="D116" s="556" t="s">
        <v>341</v>
      </c>
      <c r="E116" s="567">
        <f>'dod3 Квітень+Комісії+Сесія'!E115-'dod3 квітень чистий'!E109</f>
        <v>0</v>
      </c>
      <c r="F116" s="567">
        <f>'dod3 Квітень+Комісії+Сесія'!F115-'dod3 квітень чистий'!F109</f>
        <v>0</v>
      </c>
      <c r="G116" s="567">
        <f>'dod3 Квітень+Комісії+Сесія'!G115-'dod3 квітень чистий'!G109</f>
        <v>0</v>
      </c>
      <c r="H116" s="567">
        <f>'dod3 Квітень+Комісії+Сесія'!H115-'dod3 квітень чистий'!H109</f>
        <v>0</v>
      </c>
      <c r="I116" s="567">
        <f>'dod3 Квітень+Комісії+Сесія'!I115-'dod3 квітень чистий'!I109</f>
        <v>0</v>
      </c>
      <c r="J116" s="567">
        <f>'dod3 Квітень+Комісії+Сесія'!J115-'dod3 квітень чистий'!J109</f>
        <v>0</v>
      </c>
      <c r="K116" s="567">
        <f>'dod3 Квітень+Комісії+Сесія'!K115-'dod3 квітень чистий'!K109</f>
        <v>0</v>
      </c>
      <c r="L116" s="567">
        <f>'dod3 Квітень+Комісії+Сесія'!L115-'dod3 квітень чистий'!L109</f>
        <v>0</v>
      </c>
      <c r="M116" s="567">
        <f>'dod3 Квітень+Комісії+Сесія'!M115-'dod3 квітень чистий'!M109</f>
        <v>0</v>
      </c>
      <c r="N116" s="567">
        <f>'dod3 Квітень+Комісії+Сесія'!N115-'dod3 квітень чистий'!N109</f>
        <v>0</v>
      </c>
      <c r="O116" s="567">
        <f>'dod3 Квітень+Комісії+Сесія'!O115-'dod3 квітень чистий'!O109</f>
        <v>0</v>
      </c>
      <c r="P116" s="567">
        <f>'dod3 Квітень+Комісії+Сесія'!P115-'dod3 квітень чистий'!P109</f>
        <v>0</v>
      </c>
    </row>
    <row r="117" spans="1:18" ht="91.5" x14ac:dyDescent="0.2">
      <c r="A117" s="556" t="s">
        <v>815</v>
      </c>
      <c r="B117" s="556" t="s">
        <v>816</v>
      </c>
      <c r="C117" s="556" t="s">
        <v>817</v>
      </c>
      <c r="D117" s="556" t="s">
        <v>814</v>
      </c>
      <c r="E117" s="567">
        <f>'dod3 Квітень+Комісії+Сесія'!E116-'dod3 квітень чистий'!E110</f>
        <v>0</v>
      </c>
      <c r="F117" s="567">
        <f>'dod3 Квітень+Комісії+Сесія'!F116-'dod3 квітень чистий'!F110</f>
        <v>0</v>
      </c>
      <c r="G117" s="567">
        <f>'dod3 Квітень+Комісії+Сесія'!G116-'dod3 квітень чистий'!G110</f>
        <v>0</v>
      </c>
      <c r="H117" s="567">
        <f>'dod3 Квітень+Комісії+Сесія'!H116-'dod3 квітень чистий'!H110</f>
        <v>0</v>
      </c>
      <c r="I117" s="567">
        <f>'dod3 Квітень+Комісії+Сесія'!I116-'dod3 квітень чистий'!I110</f>
        <v>0</v>
      </c>
      <c r="J117" s="567">
        <f>'dod3 Квітень+Комісії+Сесія'!J116-'dod3 квітень чистий'!J110</f>
        <v>0</v>
      </c>
      <c r="K117" s="567">
        <f>'dod3 Квітень+Комісії+Сесія'!K116-'dod3 квітень чистий'!K110</f>
        <v>0</v>
      </c>
      <c r="L117" s="567">
        <f>'dod3 Квітень+Комісії+Сесія'!L116-'dod3 квітень чистий'!L110</f>
        <v>0</v>
      </c>
      <c r="M117" s="567">
        <f>'dod3 Квітень+Комісії+Сесія'!M116-'dod3 квітень чистий'!M110</f>
        <v>0</v>
      </c>
      <c r="N117" s="567">
        <f>'dod3 Квітень+Комісії+Сесія'!N116-'dod3 квітень чистий'!N110</f>
        <v>0</v>
      </c>
      <c r="O117" s="567">
        <f>'dod3 Квітень+Комісії+Сесія'!O116-'dod3 квітень чистий'!O110</f>
        <v>0</v>
      </c>
      <c r="P117" s="567">
        <f>'dod3 Квітень+Комісії+Сесія'!P116-'dod3 квітень чистий'!P110</f>
        <v>0</v>
      </c>
    </row>
    <row r="118" spans="1:18" ht="91.5" x14ac:dyDescent="0.2">
      <c r="A118" s="556" t="s">
        <v>346</v>
      </c>
      <c r="B118" s="556" t="s">
        <v>347</v>
      </c>
      <c r="C118" s="556"/>
      <c r="D118" s="556" t="s">
        <v>345</v>
      </c>
      <c r="E118" s="567">
        <f>'dod3 Квітень+Комісії+Сесія'!E117-'dod3 квітень чистий'!E111</f>
        <v>0</v>
      </c>
      <c r="F118" s="567">
        <f>'dod3 Квітень+Комісії+Сесія'!F117-'dod3 квітень чистий'!F111</f>
        <v>0</v>
      </c>
      <c r="G118" s="567">
        <f>'dod3 Квітень+Комісії+Сесія'!G117-'dod3 квітень чистий'!G111</f>
        <v>0</v>
      </c>
      <c r="H118" s="567">
        <f>'dod3 Квітень+Комісії+Сесія'!H117-'dod3 квітень чистий'!H111</f>
        <v>0</v>
      </c>
      <c r="I118" s="567">
        <f>'dod3 Квітень+Комісії+Сесія'!I117-'dod3 квітень чистий'!I111</f>
        <v>0</v>
      </c>
      <c r="J118" s="567">
        <f>'dod3 Квітень+Комісії+Сесія'!J117-'dod3 квітень чистий'!J111</f>
        <v>0</v>
      </c>
      <c r="K118" s="567">
        <f>'dod3 Квітень+Комісії+Сесія'!K117-'dod3 квітень чистий'!K111</f>
        <v>0</v>
      </c>
      <c r="L118" s="567">
        <f>'dod3 Квітень+Комісії+Сесія'!L117-'dod3 квітень чистий'!L111</f>
        <v>0</v>
      </c>
      <c r="M118" s="567">
        <f>'dod3 Квітень+Комісії+Сесія'!M117-'dod3 квітень чистий'!M111</f>
        <v>0</v>
      </c>
      <c r="N118" s="567">
        <f>'dod3 Квітень+Комісії+Сесія'!N117-'dod3 квітень чистий'!N111</f>
        <v>0</v>
      </c>
      <c r="O118" s="567">
        <f>'dod3 Квітень+Комісії+Сесія'!O117-'dod3 квітень чистий'!O111</f>
        <v>0</v>
      </c>
      <c r="P118" s="567">
        <f>'dod3 Квітень+Комісії+Сесія'!P117-'dod3 квітень чистий'!P111</f>
        <v>0</v>
      </c>
    </row>
    <row r="119" spans="1:18" ht="137.25" x14ac:dyDescent="0.2">
      <c r="A119" s="553" t="s">
        <v>691</v>
      </c>
      <c r="B119" s="553" t="s">
        <v>692</v>
      </c>
      <c r="C119" s="553" t="s">
        <v>348</v>
      </c>
      <c r="D119" s="553" t="s">
        <v>690</v>
      </c>
      <c r="E119" s="567">
        <f>'dod3 Квітень+Комісії+Сесія'!E118-'dod3 квітень чистий'!E112</f>
        <v>0</v>
      </c>
      <c r="F119" s="567">
        <f>'dod3 Квітень+Комісії+Сесія'!F118-'dod3 квітень чистий'!F112</f>
        <v>0</v>
      </c>
      <c r="G119" s="567">
        <f>'dod3 Квітень+Комісії+Сесія'!G118-'dod3 квітень чистий'!G112</f>
        <v>0</v>
      </c>
      <c r="H119" s="567">
        <f>'dod3 Квітень+Комісії+Сесія'!H118-'dod3 квітень чистий'!H112</f>
        <v>0</v>
      </c>
      <c r="I119" s="567">
        <f>'dod3 Квітень+Комісії+Сесія'!I118-'dod3 квітень чистий'!I112</f>
        <v>0</v>
      </c>
      <c r="J119" s="567">
        <f>'dod3 Квітень+Комісії+Сесія'!J118-'dod3 квітень чистий'!J112</f>
        <v>0</v>
      </c>
      <c r="K119" s="567">
        <f>'dod3 Квітень+Комісії+Сесія'!K118-'dod3 квітень чистий'!K112</f>
        <v>0</v>
      </c>
      <c r="L119" s="567">
        <f>'dod3 Квітень+Комісії+Сесія'!L118-'dod3 квітень чистий'!L112</f>
        <v>0</v>
      </c>
      <c r="M119" s="567">
        <f>'dod3 Квітень+Комісії+Сесія'!M118-'dod3 квітень чистий'!M112</f>
        <v>0</v>
      </c>
      <c r="N119" s="567">
        <f>'dod3 Квітень+Комісії+Сесія'!N118-'dod3 квітень чистий'!N112</f>
        <v>0</v>
      </c>
      <c r="O119" s="567">
        <f>'dod3 Квітень+Комісії+Сесія'!O118-'dod3 квітень чистий'!O112</f>
        <v>0</v>
      </c>
      <c r="P119" s="567">
        <f>'dod3 Квітень+Комісії+Сесія'!P118-'dod3 квітень чистий'!P112</f>
        <v>0</v>
      </c>
    </row>
    <row r="120" spans="1:18" ht="91.5" x14ac:dyDescent="0.2">
      <c r="A120" s="553" t="s">
        <v>693</v>
      </c>
      <c r="B120" s="553" t="s">
        <v>694</v>
      </c>
      <c r="C120" s="553" t="s">
        <v>348</v>
      </c>
      <c r="D120" s="553" t="s">
        <v>695</v>
      </c>
      <c r="E120" s="567">
        <f>'dod3 Квітень+Комісії+Сесія'!E119-'dod3 квітень чистий'!E113</f>
        <v>0</v>
      </c>
      <c r="F120" s="567">
        <f>'dod3 Квітень+Комісії+Сесія'!F119-'dod3 квітень чистий'!F113</f>
        <v>0</v>
      </c>
      <c r="G120" s="567">
        <f>'dod3 Квітень+Комісії+Сесія'!G119-'dod3 квітень чистий'!G113</f>
        <v>0</v>
      </c>
      <c r="H120" s="567">
        <f>'dod3 Квітень+Комісії+Сесія'!H119-'dod3 квітень чистий'!H113</f>
        <v>0</v>
      </c>
      <c r="I120" s="567">
        <f>'dod3 Квітень+Комісії+Сесія'!I119-'dod3 квітень чистий'!I113</f>
        <v>0</v>
      </c>
      <c r="J120" s="567">
        <f>'dod3 Квітень+Комісії+Сесія'!J119-'dod3 квітень чистий'!J113</f>
        <v>0</v>
      </c>
      <c r="K120" s="567">
        <f>'dod3 Квітень+Комісії+Сесія'!K119-'dod3 квітень чистий'!K113</f>
        <v>0</v>
      </c>
      <c r="L120" s="567">
        <f>'dod3 Квітень+Комісії+Сесія'!L119-'dod3 квітень чистий'!L113</f>
        <v>0</v>
      </c>
      <c r="M120" s="567">
        <f>'dod3 Квітень+Комісії+Сесія'!M119-'dod3 квітень чистий'!M113</f>
        <v>0</v>
      </c>
      <c r="N120" s="567">
        <f>'dod3 Квітень+Комісії+Сесія'!N119-'dod3 квітень чистий'!N113</f>
        <v>0</v>
      </c>
      <c r="O120" s="567">
        <f>'dod3 Квітень+Комісії+Сесія'!O119-'dod3 квітень чистий'!O113</f>
        <v>0</v>
      </c>
      <c r="P120" s="567">
        <f>'dod3 Квітень+Комісії+Сесія'!P119-'dod3 квітень чистий'!P113</f>
        <v>0</v>
      </c>
    </row>
    <row r="121" spans="1:18" ht="91.5" x14ac:dyDescent="0.2">
      <c r="A121" s="556" t="s">
        <v>819</v>
      </c>
      <c r="B121" s="556" t="s">
        <v>373</v>
      </c>
      <c r="C121" s="556" t="s">
        <v>324</v>
      </c>
      <c r="D121" s="556" t="s">
        <v>818</v>
      </c>
      <c r="E121" s="567">
        <f>'dod3 Квітень+Комісії+Сесія'!E120-'dod3 квітень чистий'!E114</f>
        <v>0</v>
      </c>
      <c r="F121" s="567">
        <f>'dod3 Квітень+Комісії+Сесія'!F120-'dod3 квітень чистий'!F114</f>
        <v>0</v>
      </c>
      <c r="G121" s="567">
        <f>'dod3 Квітень+Комісії+Сесія'!G120-'dod3 квітень чистий'!G114</f>
        <v>0</v>
      </c>
      <c r="H121" s="567">
        <f>'dod3 Квітень+Комісії+Сесія'!H120-'dod3 квітень чистий'!H114</f>
        <v>0</v>
      </c>
      <c r="I121" s="567">
        <f>'dod3 Квітень+Комісії+Сесія'!I120-'dod3 квітень чистий'!I114</f>
        <v>0</v>
      </c>
      <c r="J121" s="567">
        <f>'dod3 Квітень+Комісії+Сесія'!J120-'dod3 квітень чистий'!J114</f>
        <v>0</v>
      </c>
      <c r="K121" s="567">
        <f>'dod3 Квітень+Комісії+Сесія'!K120-'dod3 квітень чистий'!K114</f>
        <v>0</v>
      </c>
      <c r="L121" s="567">
        <f>'dod3 Квітень+Комісії+Сесія'!L120-'dod3 квітень чистий'!L114</f>
        <v>0</v>
      </c>
      <c r="M121" s="567">
        <f>'dod3 Квітень+Комісії+Сесія'!M120-'dod3 квітень чистий'!M114</f>
        <v>0</v>
      </c>
      <c r="N121" s="567">
        <f>'dod3 Квітень+Комісії+Сесія'!N120-'dod3 квітень чистий'!N114</f>
        <v>0</v>
      </c>
      <c r="O121" s="567">
        <f>'dod3 Квітень+Комісії+Сесія'!O120-'dod3 квітень чистий'!O114</f>
        <v>0</v>
      </c>
      <c r="P121" s="567">
        <f>'dod3 Квітень+Комісії+Сесія'!P120-'dod3 квітень чистий'!P114</f>
        <v>0</v>
      </c>
    </row>
    <row r="122" spans="1:18" ht="135" x14ac:dyDescent="0.2">
      <c r="A122" s="433" t="s">
        <v>65</v>
      </c>
      <c r="B122" s="433"/>
      <c r="C122" s="433"/>
      <c r="D122" s="433" t="s">
        <v>66</v>
      </c>
      <c r="E122" s="440">
        <f>E123</f>
        <v>0</v>
      </c>
      <c r="F122" s="440">
        <f t="shared" ref="F122:P122" si="16">F123</f>
        <v>0</v>
      </c>
      <c r="G122" s="440">
        <f t="shared" si="16"/>
        <v>0</v>
      </c>
      <c r="H122" s="440">
        <f t="shared" si="16"/>
        <v>0</v>
      </c>
      <c r="I122" s="440">
        <f t="shared" si="16"/>
        <v>0</v>
      </c>
      <c r="J122" s="440">
        <f t="shared" si="16"/>
        <v>0</v>
      </c>
      <c r="K122" s="440">
        <f t="shared" si="16"/>
        <v>0</v>
      </c>
      <c r="L122" s="440">
        <f t="shared" si="16"/>
        <v>0</v>
      </c>
      <c r="M122" s="440">
        <f t="shared" si="16"/>
        <v>-28400</v>
      </c>
      <c r="N122" s="440">
        <f t="shared" si="16"/>
        <v>0</v>
      </c>
      <c r="O122" s="439">
        <f t="shared" si="16"/>
        <v>0</v>
      </c>
      <c r="P122" s="440">
        <f t="shared" si="16"/>
        <v>0</v>
      </c>
    </row>
    <row r="123" spans="1:18" ht="135" x14ac:dyDescent="0.2">
      <c r="A123" s="437" t="s">
        <v>64</v>
      </c>
      <c r="B123" s="437"/>
      <c r="C123" s="437"/>
      <c r="D123" s="437" t="s">
        <v>90</v>
      </c>
      <c r="E123" s="439">
        <f>E124+E126+E130+E133+E135+E138+E143+E141</f>
        <v>0</v>
      </c>
      <c r="F123" s="440">
        <f>F124+F126+F130+F133+F135+F138+F143+F141</f>
        <v>0</v>
      </c>
      <c r="G123" s="439">
        <f>G124+G126+G130+G133+G135+G138+G143</f>
        <v>0</v>
      </c>
      <c r="H123" s="439">
        <f>H124+H126+H130+H133+H135+H138+H143</f>
        <v>0</v>
      </c>
      <c r="I123" s="440">
        <f>I124+I126+I130+I133+I135+I138+I143</f>
        <v>0</v>
      </c>
      <c r="J123" s="441">
        <f t="shared" ref="J123" si="17">K123+N123</f>
        <v>0</v>
      </c>
      <c r="K123" s="440">
        <f>K124+K126+K130+K133+K135+K138+K143</f>
        <v>0</v>
      </c>
      <c r="L123" s="439">
        <f>L124+L126+L130+L133+L135+L138+L143</f>
        <v>0</v>
      </c>
      <c r="M123" s="439">
        <f>M124+M126+M130+M133+M135+M138+M143</f>
        <v>-28400</v>
      </c>
      <c r="N123" s="440">
        <f>N124+N126+N130+N133+N135+N138+N143</f>
        <v>0</v>
      </c>
      <c r="O123" s="439">
        <f>O124+O126+O130+O133+O135+O138+O143</f>
        <v>0</v>
      </c>
      <c r="P123" s="439">
        <f>E123+J123</f>
        <v>0</v>
      </c>
      <c r="Q123" s="311" t="b">
        <f>P123=P125+P127+P128+P129+P131+P132+P134+P136+P137+P139+P140+P142+P143</f>
        <v>1</v>
      </c>
      <c r="R123" s="325"/>
    </row>
    <row r="124" spans="1:18" ht="137.25" x14ac:dyDescent="0.2">
      <c r="A124" s="556" t="s">
        <v>349</v>
      </c>
      <c r="B124" s="556" t="s">
        <v>350</v>
      </c>
      <c r="C124" s="556"/>
      <c r="D124" s="556" t="s">
        <v>106</v>
      </c>
      <c r="E124" s="179">
        <f>'dod3 Квітень+Комісії+Сесія'!E111-'dod3 квітень чистий'!E105</f>
        <v>0</v>
      </c>
      <c r="F124" s="179">
        <f>'dod3 Квітень+Комісії+Сесія'!F111-'dod3 квітень чистий'!F105</f>
        <v>0</v>
      </c>
      <c r="G124" s="179">
        <f>'dod3 Квітень+Комісії+Сесія'!G111-'dod3 квітень чистий'!G105</f>
        <v>0</v>
      </c>
      <c r="H124" s="179">
        <f>'dod3 Квітень+Комісії+Сесія'!H111-'dod3 квітень чистий'!H105</f>
        <v>0</v>
      </c>
      <c r="I124" s="179">
        <f>'dod3 Квітень+Комісії+Сесія'!I111-'dod3 квітень чистий'!I105</f>
        <v>0</v>
      </c>
      <c r="J124" s="179">
        <f>'dod3 Квітень+Комісії+Сесія'!J111-'dod3 квітень чистий'!J105</f>
        <v>0</v>
      </c>
      <c r="K124" s="179">
        <f>'dod3 Квітень+Комісії+Сесія'!K111-'dod3 квітень чистий'!K105</f>
        <v>0</v>
      </c>
      <c r="L124" s="179">
        <f>'dod3 Квітень+Комісії+Сесія'!L111-'dod3 квітень чистий'!L105</f>
        <v>0</v>
      </c>
      <c r="M124" s="179">
        <f>'dod3 Квітень+Комісії+Сесія'!M111-'dod3 квітень чистий'!M105</f>
        <v>0</v>
      </c>
      <c r="N124" s="179">
        <f>'dod3 Квітень+Комісії+Сесія'!N111-'dod3 квітень чистий'!N105</f>
        <v>0</v>
      </c>
      <c r="O124" s="179">
        <f>'dod3 Квітень+Комісії+Сесія'!O111-'dod3 квітень чистий'!O105</f>
        <v>0</v>
      </c>
      <c r="P124" s="179">
        <f>'dod3 Квітень+Комісії+Сесія'!P111-'dod3 квітень чистий'!P105</f>
        <v>0</v>
      </c>
    </row>
    <row r="125" spans="1:18" ht="183" x14ac:dyDescent="0.2">
      <c r="A125" s="553" t="s">
        <v>351</v>
      </c>
      <c r="B125" s="553" t="s">
        <v>352</v>
      </c>
      <c r="C125" s="553" t="s">
        <v>353</v>
      </c>
      <c r="D125" s="553" t="s">
        <v>354</v>
      </c>
      <c r="E125" s="179">
        <f>'dod3 Квітень+Комісії+Сесія'!E112-'dod3 квітень чистий'!E106</f>
        <v>0</v>
      </c>
      <c r="F125" s="179">
        <f>'dod3 Квітень+Комісії+Сесія'!F112-'dod3 квітень чистий'!F106</f>
        <v>0</v>
      </c>
      <c r="G125" s="179">
        <f>'dod3 Квітень+Комісії+Сесія'!G112-'dod3 квітень чистий'!G106</f>
        <v>0</v>
      </c>
      <c r="H125" s="179">
        <f>'dod3 Квітень+Комісії+Сесія'!H112-'dod3 квітень чистий'!H106</f>
        <v>0</v>
      </c>
      <c r="I125" s="179">
        <f>'dod3 Квітень+Комісії+Сесія'!I112-'dod3 квітень чистий'!I106</f>
        <v>0</v>
      </c>
      <c r="J125" s="179">
        <f>'dod3 Квітень+Комісії+Сесія'!J112-'dod3 квітень чистий'!J106</f>
        <v>0</v>
      </c>
      <c r="K125" s="179">
        <f>'dod3 Квітень+Комісії+Сесія'!K112-'dod3 квітень чистий'!K106</f>
        <v>0</v>
      </c>
      <c r="L125" s="179">
        <f>'dod3 Квітень+Комісії+Сесія'!L112-'dod3 квітень чистий'!L106</f>
        <v>0</v>
      </c>
      <c r="M125" s="179">
        <f>'dod3 Квітень+Комісії+Сесія'!M112-'dod3 квітень чистий'!M106</f>
        <v>0</v>
      </c>
      <c r="N125" s="179">
        <f>'dod3 Квітень+Комісії+Сесія'!N112-'dod3 квітень чистий'!N106</f>
        <v>0</v>
      </c>
      <c r="O125" s="179">
        <f>'dod3 Квітень+Комісії+Сесія'!O112-'dod3 квітень чистий'!O106</f>
        <v>0</v>
      </c>
      <c r="P125" s="179">
        <f>'dod3 Квітень+Комісії+Сесія'!P112-'dod3 квітень чистий'!P106</f>
        <v>0</v>
      </c>
    </row>
    <row r="126" spans="1:18" ht="91.5" x14ac:dyDescent="0.2">
      <c r="A126" s="556" t="s">
        <v>105</v>
      </c>
      <c r="B126" s="556" t="s">
        <v>328</v>
      </c>
      <c r="C126" s="556"/>
      <c r="D126" s="556" t="s">
        <v>76</v>
      </c>
      <c r="E126" s="179">
        <f>'dod3 Квітень+Комісії+Сесія'!E113-'dod3 квітень чистий'!E107</f>
        <v>0</v>
      </c>
      <c r="F126" s="179">
        <f>'dod3 Квітень+Комісії+Сесія'!F113-'dod3 квітень чистий'!F107</f>
        <v>0</v>
      </c>
      <c r="G126" s="179">
        <f>'dod3 Квітень+Комісії+Сесія'!G113-'dod3 квітень чистий'!G107</f>
        <v>0</v>
      </c>
      <c r="H126" s="179">
        <f>'dod3 Квітень+Комісії+Сесія'!H113-'dod3 квітень чистий'!H107</f>
        <v>0</v>
      </c>
      <c r="I126" s="179">
        <f>'dod3 Квітень+Комісії+Сесія'!I113-'dod3 квітень чистий'!I107</f>
        <v>0</v>
      </c>
      <c r="J126" s="179">
        <f>'dod3 Квітень+Комісії+Сесія'!J113-'dod3 квітень чистий'!J107</f>
        <v>0</v>
      </c>
      <c r="K126" s="179">
        <f>'dod3 Квітень+Комісії+Сесія'!K113-'dod3 квітень чистий'!K107</f>
        <v>0</v>
      </c>
      <c r="L126" s="179">
        <f>'dod3 Квітень+Комісії+Сесія'!L113-'dod3 квітень чистий'!L107</f>
        <v>0</v>
      </c>
      <c r="M126" s="179">
        <f>'dod3 Квітень+Комісії+Сесія'!M113-'dod3 квітень чистий'!M107</f>
        <v>0</v>
      </c>
      <c r="N126" s="179">
        <f>'dod3 Квітень+Комісії+Сесія'!N113-'dod3 квітень чистий'!N107</f>
        <v>0</v>
      </c>
      <c r="O126" s="179">
        <f>'dod3 Квітень+Комісії+Сесія'!O113-'dod3 квітень чистий'!O107</f>
        <v>0</v>
      </c>
      <c r="P126" s="179">
        <f>'dod3 Квітень+Комісії+Сесія'!P113-'dod3 квітень чистий'!P107</f>
        <v>0</v>
      </c>
    </row>
    <row r="127" spans="1:18" ht="228.75" x14ac:dyDescent="0.2">
      <c r="A127" s="553" t="s">
        <v>104</v>
      </c>
      <c r="B127" s="553" t="s">
        <v>329</v>
      </c>
      <c r="C127" s="553" t="s">
        <v>353</v>
      </c>
      <c r="D127" s="553" t="s">
        <v>33</v>
      </c>
      <c r="E127" s="179">
        <f>'dod3 Квітень+Комісії+Сесія'!E114-'dod3 квітень чистий'!E108</f>
        <v>0</v>
      </c>
      <c r="F127" s="179">
        <f>'dod3 Квітень+Комісії+Сесія'!F114-'dod3 квітень чистий'!F108</f>
        <v>0</v>
      </c>
      <c r="G127" s="179">
        <f>'dod3 Квітень+Комісії+Сесія'!G114-'dod3 квітень чистий'!G108</f>
        <v>0</v>
      </c>
      <c r="H127" s="179">
        <f>'dod3 Квітень+Комісії+Сесія'!H114-'dod3 квітень чистий'!H108</f>
        <v>0</v>
      </c>
      <c r="I127" s="179">
        <f>'dod3 Квітень+Комісії+Сесія'!I114-'dod3 квітень чистий'!I108</f>
        <v>0</v>
      </c>
      <c r="J127" s="179">
        <f>'dod3 Квітень+Комісії+Сесія'!J114-'dod3 квітень чистий'!J108</f>
        <v>0</v>
      </c>
      <c r="K127" s="179">
        <f>'dod3 Квітень+Комісії+Сесія'!K114-'dod3 квітень чистий'!K108</f>
        <v>0</v>
      </c>
      <c r="L127" s="179">
        <f>'dod3 Квітень+Комісії+Сесія'!L114-'dod3 квітень чистий'!L108</f>
        <v>0</v>
      </c>
      <c r="M127" s="179">
        <f>'dod3 Квітень+Комісії+Сесія'!M114-'dod3 квітень чистий'!M108</f>
        <v>0</v>
      </c>
      <c r="N127" s="179">
        <f>'dod3 Квітень+Комісії+Сесія'!N114-'dod3 квітень чистий'!N108</f>
        <v>0</v>
      </c>
      <c r="O127" s="179">
        <f>'dod3 Квітень+Комісії+Сесія'!O114-'dod3 квітень чистий'!O108</f>
        <v>0</v>
      </c>
      <c r="P127" s="179">
        <f>'dod3 Квітень+Комісії+Сесія'!P114-'dod3 квітень чистий'!P108</f>
        <v>0</v>
      </c>
    </row>
    <row r="128" spans="1:18" ht="137.25" x14ac:dyDescent="0.2">
      <c r="A128" s="553" t="s">
        <v>360</v>
      </c>
      <c r="B128" s="553" t="s">
        <v>361</v>
      </c>
      <c r="C128" s="553" t="s">
        <v>353</v>
      </c>
      <c r="D128" s="553" t="s">
        <v>34</v>
      </c>
      <c r="E128" s="179">
        <f>'dod3 Квітень+Комісії+Сесія'!E115-'dod3 квітень чистий'!E109</f>
        <v>0</v>
      </c>
      <c r="F128" s="179">
        <f>'dod3 Квітень+Комісії+Сесія'!F115-'dod3 квітень чистий'!F109</f>
        <v>0</v>
      </c>
      <c r="G128" s="179">
        <f>'dod3 Квітень+Комісії+Сесія'!G115-'dod3 квітень чистий'!G109</f>
        <v>0</v>
      </c>
      <c r="H128" s="179">
        <f>'dod3 Квітень+Комісії+Сесія'!H115-'dod3 квітень чистий'!H109</f>
        <v>0</v>
      </c>
      <c r="I128" s="179">
        <f>'dod3 Квітень+Комісії+Сесія'!I115-'dod3 квітень чистий'!I109</f>
        <v>0</v>
      </c>
      <c r="J128" s="179">
        <f>'dod3 Квітень+Комісії+Сесія'!J115-'dod3 квітень чистий'!J109</f>
        <v>0</v>
      </c>
      <c r="K128" s="179">
        <f>'dod3 Квітень+Комісії+Сесія'!K115-'dod3 квітень чистий'!K109</f>
        <v>0</v>
      </c>
      <c r="L128" s="179">
        <f>'dod3 Квітень+Комісії+Сесія'!L115-'dod3 квітень чистий'!L109</f>
        <v>0</v>
      </c>
      <c r="M128" s="179">
        <f>'dod3 Квітень+Комісії+Сесія'!M115-'dod3 квітень чистий'!M109</f>
        <v>0</v>
      </c>
      <c r="N128" s="179">
        <f>'dod3 Квітень+Комісії+Сесія'!N115-'dod3 квітень чистий'!N109</f>
        <v>0</v>
      </c>
      <c r="O128" s="179">
        <f>'dod3 Квітень+Комісії+Сесія'!O115-'dod3 квітень чистий'!O109</f>
        <v>0</v>
      </c>
      <c r="P128" s="179">
        <f>'dod3 Квітень+Комісії+Сесія'!P115-'dod3 квітень чистий'!P109</f>
        <v>0</v>
      </c>
    </row>
    <row r="129" spans="1:16" ht="91.5" x14ac:dyDescent="0.2">
      <c r="A129" s="553" t="s">
        <v>761</v>
      </c>
      <c r="B129" s="553" t="s">
        <v>762</v>
      </c>
      <c r="C129" s="553" t="s">
        <v>353</v>
      </c>
      <c r="D129" s="553" t="s">
        <v>763</v>
      </c>
      <c r="E129" s="179">
        <f>'dod3 Квітень+Комісії+Сесія'!E116-'dod3 квітень чистий'!E110</f>
        <v>0</v>
      </c>
      <c r="F129" s="179">
        <f>'dod3 Квітень+Комісії+Сесія'!F116-'dod3 квітень чистий'!F110</f>
        <v>0</v>
      </c>
      <c r="G129" s="179">
        <f>'dod3 Квітень+Комісії+Сесія'!G116-'dod3 квітень чистий'!G110</f>
        <v>0</v>
      </c>
      <c r="H129" s="179">
        <f>'dod3 Квітень+Комісії+Сесія'!H116-'dod3 квітень чистий'!H110</f>
        <v>0</v>
      </c>
      <c r="I129" s="179">
        <f>'dod3 Квітень+Комісії+Сесія'!I116-'dod3 квітень чистий'!I110</f>
        <v>0</v>
      </c>
      <c r="J129" s="179">
        <f>'dod3 Квітень+Комісії+Сесія'!J116-'dod3 квітень чистий'!J110</f>
        <v>0</v>
      </c>
      <c r="K129" s="179">
        <f>'dod3 Квітень+Комісії+Сесія'!K116-'dod3 квітень чистий'!K110</f>
        <v>0</v>
      </c>
      <c r="L129" s="179">
        <f>'dod3 Квітень+Комісії+Сесія'!L116-'dod3 квітень чистий'!L110</f>
        <v>0</v>
      </c>
      <c r="M129" s="179">
        <f>'dod3 Квітень+Комісії+Сесія'!M116-'dod3 квітень чистий'!M110</f>
        <v>0</v>
      </c>
      <c r="N129" s="179">
        <f>'dod3 Квітень+Комісії+Сесія'!N116-'dod3 квітень чистий'!N110</f>
        <v>0</v>
      </c>
      <c r="O129" s="179">
        <f>'dod3 Квітень+Комісії+Сесія'!O116-'dod3 квітень чистий'!O110</f>
        <v>0</v>
      </c>
      <c r="P129" s="179">
        <f>'dod3 Квітень+Комісії+Сесія'!P116-'dod3 квітень чистий'!P110</f>
        <v>0</v>
      </c>
    </row>
    <row r="130" spans="1:16" ht="91.5" x14ac:dyDescent="0.2">
      <c r="A130" s="556" t="s">
        <v>107</v>
      </c>
      <c r="B130" s="556" t="s">
        <v>355</v>
      </c>
      <c r="C130" s="556"/>
      <c r="D130" s="556" t="s">
        <v>108</v>
      </c>
      <c r="E130" s="179">
        <f>'dod3 Квітень+Комісії+Сесія'!E117-'dod3 квітень чистий'!E111</f>
        <v>0</v>
      </c>
      <c r="F130" s="179">
        <f>'dod3 Квітень+Комісії+Сесія'!F117-'dod3 квітень чистий'!F111</f>
        <v>0</v>
      </c>
      <c r="G130" s="179">
        <f>'dod3 Квітень+Комісії+Сесія'!G117-'dod3 квітень чистий'!G111</f>
        <v>0</v>
      </c>
      <c r="H130" s="179">
        <f>'dod3 Квітень+Комісії+Сесія'!H117-'dod3 квітень чистий'!H111</f>
        <v>0</v>
      </c>
      <c r="I130" s="179">
        <f>'dod3 Квітень+Комісії+Сесія'!I117-'dod3 квітень чистий'!I111</f>
        <v>0</v>
      </c>
      <c r="J130" s="179">
        <f>'dod3 Квітень+Комісії+Сесія'!J117-'dod3 квітень чистий'!J111</f>
        <v>0</v>
      </c>
      <c r="K130" s="179">
        <f>'dod3 Квітень+Комісії+Сесія'!K117-'dod3 квітень чистий'!K111</f>
        <v>0</v>
      </c>
      <c r="L130" s="179">
        <f>'dod3 Квітень+Комісії+Сесія'!L117-'dod3 квітень чистий'!L111</f>
        <v>0</v>
      </c>
      <c r="M130" s="179">
        <f>'dod3 Квітень+Комісії+Сесія'!M117-'dod3 квітень чистий'!M111</f>
        <v>0</v>
      </c>
      <c r="N130" s="179">
        <f>'dod3 Квітень+Комісії+Сесія'!N117-'dod3 квітень чистий'!N111</f>
        <v>0</v>
      </c>
      <c r="O130" s="179">
        <f>'dod3 Квітень+Комісії+Сесія'!O117-'dod3 квітень чистий'!O111</f>
        <v>0</v>
      </c>
      <c r="P130" s="179">
        <f>'dod3 Квітень+Комісії+Сесія'!P117-'dod3 квітень чистий'!P111</f>
        <v>0</v>
      </c>
    </row>
    <row r="131" spans="1:16" ht="137.25" x14ac:dyDescent="0.2">
      <c r="A131" s="553" t="s">
        <v>109</v>
      </c>
      <c r="B131" s="553" t="s">
        <v>356</v>
      </c>
      <c r="C131" s="553" t="s">
        <v>370</v>
      </c>
      <c r="D131" s="553" t="s">
        <v>110</v>
      </c>
      <c r="E131" s="179">
        <f>'dod3 Квітень+Комісії+Сесія'!E118-'dod3 квітень чистий'!E112</f>
        <v>0</v>
      </c>
      <c r="F131" s="179">
        <f>'dod3 Квітень+Комісії+Сесія'!F118-'dod3 квітень чистий'!F112</f>
        <v>0</v>
      </c>
      <c r="G131" s="179">
        <f>'dod3 Квітень+Комісії+Сесія'!G118-'dod3 квітень чистий'!G112</f>
        <v>0</v>
      </c>
      <c r="H131" s="179">
        <f>'dod3 Квітень+Комісії+Сесія'!H118-'dod3 квітень чистий'!H112</f>
        <v>0</v>
      </c>
      <c r="I131" s="179">
        <f>'dod3 Квітень+Комісії+Сесія'!I118-'dod3 квітень чистий'!I112</f>
        <v>0</v>
      </c>
      <c r="J131" s="179">
        <f>'dod3 Квітень+Комісії+Сесія'!J118-'dod3 квітень чистий'!J112</f>
        <v>0</v>
      </c>
      <c r="K131" s="179">
        <f>'dod3 Квітень+Комісії+Сесія'!K118-'dod3 квітень чистий'!K112</f>
        <v>0</v>
      </c>
      <c r="L131" s="179">
        <f>'dod3 Квітень+Комісії+Сесія'!L118-'dod3 квітень чистий'!L112</f>
        <v>0</v>
      </c>
      <c r="M131" s="179">
        <f>'dod3 Квітень+Комісії+Сесія'!M118-'dod3 квітень чистий'!M112</f>
        <v>0</v>
      </c>
      <c r="N131" s="179">
        <f>'dod3 Квітень+Комісії+Сесія'!N118-'dod3 квітень чистий'!N112</f>
        <v>0</v>
      </c>
      <c r="O131" s="179">
        <f>'dod3 Квітень+Комісії+Сесія'!O118-'dod3 квітень чистий'!O112</f>
        <v>0</v>
      </c>
      <c r="P131" s="179">
        <f>'dod3 Квітень+Комісії+Сесія'!P118-'dod3 квітень чистий'!P112</f>
        <v>0</v>
      </c>
    </row>
    <row r="132" spans="1:16" ht="137.25" x14ac:dyDescent="0.2">
      <c r="A132" s="553" t="s">
        <v>111</v>
      </c>
      <c r="B132" s="553" t="s">
        <v>357</v>
      </c>
      <c r="C132" s="553" t="s">
        <v>370</v>
      </c>
      <c r="D132" s="553" t="s">
        <v>11</v>
      </c>
      <c r="E132" s="179">
        <f>'dod3 Квітень+Комісії+Сесія'!E119-'dod3 квітень чистий'!E113</f>
        <v>0</v>
      </c>
      <c r="F132" s="179">
        <f>'dod3 Квітень+Комісії+Сесія'!F119-'dod3 квітень чистий'!F113</f>
        <v>0</v>
      </c>
      <c r="G132" s="179">
        <f>'dod3 Квітень+Комісії+Сесія'!G119-'dod3 квітень чистий'!G113</f>
        <v>0</v>
      </c>
      <c r="H132" s="179">
        <f>'dod3 Квітень+Комісії+Сесія'!H119-'dod3 квітень чистий'!H113</f>
        <v>0</v>
      </c>
      <c r="I132" s="179">
        <f>'dod3 Квітень+Комісії+Сесія'!I119-'dod3 квітень чистий'!I113</f>
        <v>0</v>
      </c>
      <c r="J132" s="179">
        <f>'dod3 Квітень+Комісії+Сесія'!J119-'dod3 квітень чистий'!J113</f>
        <v>0</v>
      </c>
      <c r="K132" s="179">
        <f>'dod3 Квітень+Комісії+Сесія'!K119-'dod3 квітень чистий'!K113</f>
        <v>0</v>
      </c>
      <c r="L132" s="179">
        <f>'dod3 Квітень+Комісії+Сесія'!L119-'dod3 квітень чистий'!L113</f>
        <v>0</v>
      </c>
      <c r="M132" s="179">
        <f>'dod3 Квітень+Комісії+Сесія'!M119-'dod3 квітень чистий'!M113</f>
        <v>0</v>
      </c>
      <c r="N132" s="179">
        <f>'dod3 Квітень+Комісії+Сесія'!N119-'dod3 квітень чистий'!N113</f>
        <v>0</v>
      </c>
      <c r="O132" s="179">
        <f>'dod3 Квітень+Комісії+Сесія'!O119-'dod3 квітень чистий'!O113</f>
        <v>0</v>
      </c>
      <c r="P132" s="179">
        <f>'dod3 Квітень+Комісії+Сесія'!P119-'dod3 квітень чистий'!P113</f>
        <v>0</v>
      </c>
    </row>
    <row r="133" spans="1:16" ht="183" x14ac:dyDescent="0.2">
      <c r="A133" s="556" t="s">
        <v>112</v>
      </c>
      <c r="B133" s="556" t="s">
        <v>358</v>
      </c>
      <c r="C133" s="556"/>
      <c r="D133" s="556" t="s">
        <v>753</v>
      </c>
      <c r="E133" s="179">
        <f>'dod3 Квітень+Комісії+Сесія'!E120-'dod3 квітень чистий'!E114</f>
        <v>0</v>
      </c>
      <c r="F133" s="179">
        <f>'dod3 Квітень+Комісії+Сесія'!F120-'dod3 квітень чистий'!F114</f>
        <v>0</v>
      </c>
      <c r="G133" s="179">
        <f>'dod3 Квітень+Комісії+Сесія'!G120-'dod3 квітень чистий'!G114</f>
        <v>0</v>
      </c>
      <c r="H133" s="179">
        <f>'dod3 Квітень+Комісії+Сесія'!H120-'dod3 квітень чистий'!H114</f>
        <v>0</v>
      </c>
      <c r="I133" s="179">
        <f>'dod3 Квітень+Комісії+Сесія'!I120-'dod3 квітень чистий'!I114</f>
        <v>0</v>
      </c>
      <c r="J133" s="179">
        <f>'dod3 Квітень+Комісії+Сесія'!J120-'dod3 квітень чистий'!J114</f>
        <v>0</v>
      </c>
      <c r="K133" s="179">
        <f>'dod3 Квітень+Комісії+Сесія'!K120-'dod3 квітень чистий'!K114</f>
        <v>0</v>
      </c>
      <c r="L133" s="179">
        <f>'dod3 Квітень+Комісії+Сесія'!L120-'dod3 квітень чистий'!L114</f>
        <v>0</v>
      </c>
      <c r="M133" s="179">
        <f>'dod3 Квітень+Комісії+Сесія'!M120-'dod3 квітень чистий'!M114</f>
        <v>0</v>
      </c>
      <c r="N133" s="179">
        <f>'dod3 Квітень+Комісії+Сесія'!N120-'dod3 квітень чистий'!N114</f>
        <v>0</v>
      </c>
      <c r="O133" s="179">
        <f>'dod3 Квітень+Комісії+Сесія'!O120-'dod3 квітень чистий'!O114</f>
        <v>0</v>
      </c>
      <c r="P133" s="179">
        <f>'dod3 Квітень+Комісії+Сесія'!P120-'dod3 квітень чистий'!P114</f>
        <v>0</v>
      </c>
    </row>
    <row r="134" spans="1:16" ht="183" x14ac:dyDescent="0.2">
      <c r="A134" s="553" t="s">
        <v>113</v>
      </c>
      <c r="B134" s="553" t="s">
        <v>359</v>
      </c>
      <c r="C134" s="553" t="s">
        <v>370</v>
      </c>
      <c r="D134" s="553" t="s">
        <v>754</v>
      </c>
      <c r="E134" s="179">
        <f>'dod3 Квітень+Комісії+Сесія'!E121-'dod3 квітень чистий'!E115</f>
        <v>0</v>
      </c>
      <c r="F134" s="179">
        <f>'dod3 Квітень+Комісії+Сесія'!F121-'dod3 квітень чистий'!F115</f>
        <v>0</v>
      </c>
      <c r="G134" s="179">
        <f>'dod3 Квітень+Комісії+Сесія'!G121-'dod3 квітень чистий'!G115</f>
        <v>0</v>
      </c>
      <c r="H134" s="179">
        <f>'dod3 Квітень+Комісії+Сесія'!H121-'dod3 квітень чистий'!H115</f>
        <v>0</v>
      </c>
      <c r="I134" s="179">
        <f>'dod3 Квітень+Комісії+Сесія'!I121-'dod3 квітень чистий'!I115</f>
        <v>0</v>
      </c>
      <c r="J134" s="179">
        <f>'dod3 Квітень+Комісії+Сесія'!J121-'dod3 квітень чистий'!J115</f>
        <v>0</v>
      </c>
      <c r="K134" s="179">
        <f>'dod3 Квітень+Комісії+Сесія'!K121-'dod3 квітень чистий'!K115</f>
        <v>0</v>
      </c>
      <c r="L134" s="179">
        <f>'dod3 Квітень+Комісії+Сесія'!L121-'dod3 квітень чистий'!L115</f>
        <v>0</v>
      </c>
      <c r="M134" s="179">
        <f>'dod3 Квітень+Комісії+Сесія'!M121-'dod3 квітень чистий'!M115</f>
        <v>-28400</v>
      </c>
      <c r="N134" s="179">
        <f>'dod3 Квітень+Комісії+Сесія'!N121-'dod3 квітень чистий'!N115</f>
        <v>0</v>
      </c>
      <c r="O134" s="179">
        <f>'dod3 Квітень+Комісії+Сесія'!O121-'dod3 квітень чистий'!O115</f>
        <v>0</v>
      </c>
      <c r="P134" s="179">
        <f>'dod3 Квітень+Комісії+Сесія'!P121-'dod3 квітень чистий'!P115</f>
        <v>0</v>
      </c>
    </row>
    <row r="135" spans="1:16" ht="91.5" x14ac:dyDescent="0.2">
      <c r="A135" s="556" t="s">
        <v>78</v>
      </c>
      <c r="B135" s="556" t="s">
        <v>365</v>
      </c>
      <c r="C135" s="556"/>
      <c r="D135" s="556" t="s">
        <v>79</v>
      </c>
      <c r="E135" s="179">
        <f>'dod3 Квітень+Комісії+Сесія'!E122-'dod3 квітень чистий'!E116</f>
        <v>0</v>
      </c>
      <c r="F135" s="179">
        <f>'dod3 Квітень+Комісії+Сесія'!F122-'dod3 квітень чистий'!F116</f>
        <v>0</v>
      </c>
      <c r="G135" s="179">
        <f>'dod3 Квітень+Комісії+Сесія'!G122-'dod3 квітень чистий'!G116</f>
        <v>0</v>
      </c>
      <c r="H135" s="179">
        <f>'dod3 Квітень+Комісії+Сесія'!H122-'dod3 квітень чистий'!H116</f>
        <v>0</v>
      </c>
      <c r="I135" s="179">
        <f>'dod3 Квітень+Комісії+Сесія'!I122-'dod3 квітень чистий'!I116</f>
        <v>0</v>
      </c>
      <c r="J135" s="179">
        <f>'dod3 Квітень+Комісії+Сесія'!J122-'dod3 квітень чистий'!J116</f>
        <v>0</v>
      </c>
      <c r="K135" s="179">
        <f>'dod3 Квітень+Комісії+Сесія'!K122-'dod3 квітень чистий'!K116</f>
        <v>0</v>
      </c>
      <c r="L135" s="179">
        <f>'dod3 Квітень+Комісії+Сесія'!L122-'dod3 квітень чистий'!L116</f>
        <v>0</v>
      </c>
      <c r="M135" s="179">
        <f>'dod3 Квітень+Комісії+Сесія'!M122-'dod3 квітень чистий'!M116</f>
        <v>-28400</v>
      </c>
      <c r="N135" s="179">
        <f>'dod3 Квітень+Комісії+Сесія'!N122-'dod3 квітень чистий'!N116</f>
        <v>0</v>
      </c>
      <c r="O135" s="179">
        <f>'dod3 Квітень+Комісії+Сесія'!O122-'dod3 квітень чистий'!O116</f>
        <v>0</v>
      </c>
      <c r="P135" s="179">
        <f>'dod3 Квітень+Комісії+Сесія'!P122-'dod3 квітень чистий'!P116</f>
        <v>0</v>
      </c>
    </row>
    <row r="136" spans="1:16" ht="183" x14ac:dyDescent="0.2">
      <c r="A136" s="553" t="s">
        <v>77</v>
      </c>
      <c r="B136" s="553" t="s">
        <v>366</v>
      </c>
      <c r="C136" s="553" t="s">
        <v>370</v>
      </c>
      <c r="D136" s="553" t="s">
        <v>114</v>
      </c>
      <c r="E136" s="179">
        <f>'dod3 Квітень+Комісії+Сесія'!E123-'dod3 квітень чистий'!E117</f>
        <v>0</v>
      </c>
      <c r="F136" s="179">
        <f>'dod3 Квітень+Комісії+Сесія'!F123-'dod3 квітень чистий'!F117</f>
        <v>0</v>
      </c>
      <c r="G136" s="179">
        <f>'dod3 Квітень+Комісії+Сесія'!G123-'dod3 квітень чистий'!G117</f>
        <v>0</v>
      </c>
      <c r="H136" s="179">
        <f>'dod3 Квітень+Комісії+Сесія'!H123-'dod3 квітень чистий'!H117</f>
        <v>0</v>
      </c>
      <c r="I136" s="179">
        <f>'dod3 Квітень+Комісії+Сесія'!I123-'dod3 квітень чистий'!I117</f>
        <v>0</v>
      </c>
      <c r="J136" s="179">
        <f>'dod3 Квітень+Комісії+Сесія'!J123-'dod3 квітень чистий'!J117</f>
        <v>0</v>
      </c>
      <c r="K136" s="179">
        <f>'dod3 Квітень+Комісії+Сесія'!K123-'dod3 квітень чистий'!K117</f>
        <v>0</v>
      </c>
      <c r="L136" s="179">
        <f>'dod3 Квітень+Комісії+Сесія'!L123-'dod3 квітень чистий'!L117</f>
        <v>0</v>
      </c>
      <c r="M136" s="179">
        <f>'dod3 Квітень+Комісії+Сесія'!M123-'dod3 квітень чистий'!M117</f>
        <v>0</v>
      </c>
      <c r="N136" s="179">
        <f>'dod3 Квітень+Комісії+Сесія'!N123-'dod3 квітень чистий'!N117</f>
        <v>0</v>
      </c>
      <c r="O136" s="179">
        <f>'dod3 Квітень+Комісії+Сесія'!O123-'dod3 квітень чистий'!O117</f>
        <v>0</v>
      </c>
      <c r="P136" s="179">
        <f>'dod3 Квітень+Комісії+Сесія'!P123-'dod3 квітень чистий'!P117</f>
        <v>0</v>
      </c>
    </row>
    <row r="137" spans="1:16" ht="183" x14ac:dyDescent="0.2">
      <c r="A137" s="553" t="s">
        <v>80</v>
      </c>
      <c r="B137" s="553" t="s">
        <v>367</v>
      </c>
      <c r="C137" s="553" t="s">
        <v>370</v>
      </c>
      <c r="D137" s="553" t="s">
        <v>115</v>
      </c>
      <c r="E137" s="179">
        <f>'dod3 Квітень+Комісії+Сесія'!E124-'dod3 квітень чистий'!E118</f>
        <v>0</v>
      </c>
      <c r="F137" s="179">
        <f>'dod3 Квітень+Комісії+Сесія'!F124-'dod3 квітень чистий'!F118</f>
        <v>0</v>
      </c>
      <c r="G137" s="179">
        <f>'dod3 Квітень+Комісії+Сесія'!G124-'dod3 квітень чистий'!G118</f>
        <v>0</v>
      </c>
      <c r="H137" s="179">
        <f>'dod3 Квітень+Комісії+Сесія'!H124-'dod3 квітень чистий'!H118</f>
        <v>0</v>
      </c>
      <c r="I137" s="179">
        <f>'dod3 Квітень+Комісії+Сесія'!I124-'dod3 квітень чистий'!I118</f>
        <v>0</v>
      </c>
      <c r="J137" s="179">
        <f>'dod3 Квітень+Комісії+Сесія'!J124-'dod3 квітень чистий'!J118</f>
        <v>0</v>
      </c>
      <c r="K137" s="179">
        <f>'dod3 Квітень+Комісії+Сесія'!K124-'dod3 квітень чистий'!K118</f>
        <v>0</v>
      </c>
      <c r="L137" s="179">
        <f>'dod3 Квітень+Комісії+Сесія'!L124-'dod3 квітень чистий'!L118</f>
        <v>0</v>
      </c>
      <c r="M137" s="179">
        <f>'dod3 Квітень+Комісії+Сесія'!M124-'dod3 квітень чистий'!M118</f>
        <v>0</v>
      </c>
      <c r="N137" s="179">
        <f>'dod3 Квітень+Комісії+Сесія'!N124-'dod3 квітень чистий'!N118</f>
        <v>0</v>
      </c>
      <c r="O137" s="179">
        <f>'dod3 Квітень+Комісії+Сесія'!O124-'dod3 квітень чистий'!O118</f>
        <v>0</v>
      </c>
      <c r="P137" s="179">
        <f>'dod3 Квітень+Комісії+Сесія'!P124-'dod3 квітень чистий'!P118</f>
        <v>0</v>
      </c>
    </row>
    <row r="138" spans="1:16" ht="91.5" x14ac:dyDescent="0.2">
      <c r="A138" s="556" t="s">
        <v>116</v>
      </c>
      <c r="B138" s="556" t="s">
        <v>368</v>
      </c>
      <c r="C138" s="556"/>
      <c r="D138" s="556" t="s">
        <v>81</v>
      </c>
      <c r="E138" s="179">
        <f>'dod3 Квітень+Комісії+Сесія'!E125-'dod3 квітень чистий'!E119</f>
        <v>0</v>
      </c>
      <c r="F138" s="179">
        <f>'dod3 Квітень+Комісії+Сесія'!F125-'dod3 квітень чистий'!F119</f>
        <v>0</v>
      </c>
      <c r="G138" s="179">
        <f>'dod3 Квітень+Комісії+Сесія'!G125-'dod3 квітень чистий'!G119</f>
        <v>0</v>
      </c>
      <c r="H138" s="179">
        <f>'dod3 Квітень+Комісії+Сесія'!H125-'dod3 квітень чистий'!H119</f>
        <v>0</v>
      </c>
      <c r="I138" s="179">
        <f>'dod3 Квітень+Комісії+Сесія'!I125-'dod3 квітень чистий'!I119</f>
        <v>0</v>
      </c>
      <c r="J138" s="179">
        <f>'dod3 Квітень+Комісії+Сесія'!J125-'dod3 квітень чистий'!J119</f>
        <v>0</v>
      </c>
      <c r="K138" s="179">
        <f>'dod3 Квітень+Комісії+Сесія'!K125-'dod3 квітень чистий'!K119</f>
        <v>0</v>
      </c>
      <c r="L138" s="179">
        <f>'dod3 Квітень+Комісії+Сесія'!L125-'dod3 квітень чистий'!L119</f>
        <v>0</v>
      </c>
      <c r="M138" s="179">
        <f>'dod3 Квітень+Комісії+Сесія'!M125-'dod3 квітень чистий'!M119</f>
        <v>0</v>
      </c>
      <c r="N138" s="179">
        <f>'dod3 Квітень+Комісії+Сесія'!N125-'dod3 квітень чистий'!N119</f>
        <v>0</v>
      </c>
      <c r="O138" s="179">
        <f>'dod3 Квітень+Комісії+Сесія'!O125-'dod3 квітень чистий'!O119</f>
        <v>0</v>
      </c>
      <c r="P138" s="179">
        <f>'dod3 Квітень+Комісії+Сесія'!P125-'dod3 квітень чистий'!P119</f>
        <v>0</v>
      </c>
    </row>
    <row r="139" spans="1:16" ht="274.5" x14ac:dyDescent="0.2">
      <c r="A139" s="329" t="s">
        <v>82</v>
      </c>
      <c r="B139" s="329" t="s">
        <v>369</v>
      </c>
      <c r="C139" s="329" t="s">
        <v>370</v>
      </c>
      <c r="D139" s="553" t="s">
        <v>83</v>
      </c>
      <c r="E139" s="179">
        <f>'dod3 Квітень+Комісії+Сесія'!E126-'dod3 квітень чистий'!E120</f>
        <v>0</v>
      </c>
      <c r="F139" s="179">
        <f>'dod3 Квітень+Комісії+Сесія'!F126-'dod3 квітень чистий'!F120</f>
        <v>0</v>
      </c>
      <c r="G139" s="179">
        <f>'dod3 Квітень+Комісії+Сесія'!G126-'dod3 квітень чистий'!G120</f>
        <v>0</v>
      </c>
      <c r="H139" s="179">
        <f>'dod3 Квітень+Комісії+Сесія'!H126-'dod3 квітень чистий'!H120</f>
        <v>0</v>
      </c>
      <c r="I139" s="179">
        <f>'dod3 Квітень+Комісії+Сесія'!I126-'dod3 квітень чистий'!I120</f>
        <v>0</v>
      </c>
      <c r="J139" s="179">
        <f>'dod3 Квітень+Комісії+Сесія'!J126-'dod3 квітень чистий'!J120</f>
        <v>0</v>
      </c>
      <c r="K139" s="179">
        <f>'dod3 Квітень+Комісії+Сесія'!K126-'dod3 квітень чистий'!K120</f>
        <v>0</v>
      </c>
      <c r="L139" s="179">
        <f>'dod3 Квітень+Комісії+Сесія'!L126-'dod3 квітень чистий'!L120</f>
        <v>0</v>
      </c>
      <c r="M139" s="179">
        <f>'dod3 Квітень+Комісії+Сесія'!M126-'dod3 квітень чистий'!M120</f>
        <v>0</v>
      </c>
      <c r="N139" s="179">
        <f>'dod3 Квітень+Комісії+Сесія'!N126-'dod3 квітень чистий'!N120</f>
        <v>0</v>
      </c>
      <c r="O139" s="179">
        <f>'dod3 Квітень+Комісії+Сесія'!O126-'dod3 квітень чистий'!O120</f>
        <v>0</v>
      </c>
      <c r="P139" s="179">
        <f>'dod3 Квітень+Комісії+Сесія'!P126-'dod3 квітень чистий'!P120</f>
        <v>0</v>
      </c>
    </row>
    <row r="140" spans="1:16" ht="91.5" x14ac:dyDescent="0.2">
      <c r="A140" s="329" t="s">
        <v>84</v>
      </c>
      <c r="B140" s="329" t="s">
        <v>371</v>
      </c>
      <c r="C140" s="329" t="s">
        <v>370</v>
      </c>
      <c r="D140" s="553" t="s">
        <v>85</v>
      </c>
      <c r="E140" s="179">
        <f>'dod3 Квітень+Комісії+Сесія'!E127-'dod3 квітень чистий'!E121</f>
        <v>0</v>
      </c>
      <c r="F140" s="179">
        <f>'dod3 Квітень+Комісії+Сесія'!F127-'dod3 квітень чистий'!F121</f>
        <v>0</v>
      </c>
      <c r="G140" s="179">
        <f>'dod3 Квітень+Комісії+Сесія'!G127-'dod3 квітень чистий'!G121</f>
        <v>0</v>
      </c>
      <c r="H140" s="179">
        <f>'dod3 Квітень+Комісії+Сесія'!H127-'dod3 квітень чистий'!H121</f>
        <v>0</v>
      </c>
      <c r="I140" s="179">
        <f>'dod3 Квітень+Комісії+Сесія'!I127-'dod3 квітень чистий'!I121</f>
        <v>0</v>
      </c>
      <c r="J140" s="179">
        <f>'dod3 Квітень+Комісії+Сесія'!J127-'dod3 квітень чистий'!J121</f>
        <v>0</v>
      </c>
      <c r="K140" s="179">
        <f>'dod3 Квітень+Комісії+Сесія'!K127-'dod3 квітень чистий'!K121</f>
        <v>0</v>
      </c>
      <c r="L140" s="179">
        <f>'dod3 Квітень+Комісії+Сесія'!L127-'dod3 квітень чистий'!L121</f>
        <v>0</v>
      </c>
      <c r="M140" s="179">
        <f>'dod3 Квітень+Комісії+Сесія'!M127-'dod3 квітень чистий'!M121</f>
        <v>0</v>
      </c>
      <c r="N140" s="179">
        <f>'dod3 Квітень+Комісії+Сесія'!N127-'dod3 квітень чистий'!N121</f>
        <v>0</v>
      </c>
      <c r="O140" s="179">
        <f>'dod3 Квітень+Комісії+Сесія'!O127-'dod3 квітень чистий'!O121</f>
        <v>0</v>
      </c>
      <c r="P140" s="179">
        <f>'dod3 Квітень+Комісії+Сесія'!P127-'dod3 квітень чистий'!P121</f>
        <v>0</v>
      </c>
    </row>
    <row r="141" spans="1:16" ht="91.5" x14ac:dyDescent="0.2">
      <c r="A141" s="272" t="s">
        <v>704</v>
      </c>
      <c r="B141" s="272" t="s">
        <v>706</v>
      </c>
      <c r="C141" s="272"/>
      <c r="D141" s="556" t="s">
        <v>705</v>
      </c>
      <c r="E141" s="179">
        <f>'dod3 Квітень+Комісії+Сесія'!E128-'dod3 квітень чистий'!E122</f>
        <v>0</v>
      </c>
      <c r="F141" s="179">
        <f>'dod3 Квітень+Комісії+Сесія'!F128-'dod3 квітень чистий'!F122</f>
        <v>0</v>
      </c>
      <c r="G141" s="179">
        <f>'dod3 Квітень+Комісії+Сесія'!G128-'dod3 квітень чистий'!G122</f>
        <v>0</v>
      </c>
      <c r="H141" s="179">
        <f>'dod3 Квітень+Комісії+Сесія'!H128-'dod3 квітень чистий'!H122</f>
        <v>0</v>
      </c>
      <c r="I141" s="179">
        <f>'dod3 Квітень+Комісії+Сесія'!I128-'dod3 квітень чистий'!I122</f>
        <v>0</v>
      </c>
      <c r="J141" s="179">
        <f>'dod3 Квітень+Комісії+Сесія'!J128-'dod3 квітень чистий'!J122</f>
        <v>0</v>
      </c>
      <c r="K141" s="179">
        <f>'dod3 Квітень+Комісії+Сесія'!K128-'dod3 квітень чистий'!K122</f>
        <v>0</v>
      </c>
      <c r="L141" s="179">
        <f>'dod3 Квітень+Комісії+Сесія'!L128-'dod3 квітень чистий'!L122</f>
        <v>0</v>
      </c>
      <c r="M141" s="179">
        <f>'dod3 Квітень+Комісії+Сесія'!M128-'dod3 квітень чистий'!M122</f>
        <v>0</v>
      </c>
      <c r="N141" s="179">
        <f>'dod3 Квітень+Комісії+Сесія'!N128-'dod3 квітень чистий'!N122</f>
        <v>0</v>
      </c>
      <c r="O141" s="179">
        <f>'dod3 Квітень+Комісії+Сесія'!O128-'dod3 квітень чистий'!O122</f>
        <v>0</v>
      </c>
      <c r="P141" s="179">
        <f>'dod3 Квітень+Комісії+Сесія'!P128-'dod3 квітень чистий'!P122</f>
        <v>0</v>
      </c>
    </row>
    <row r="142" spans="1:16" ht="320.25" x14ac:dyDescent="0.2">
      <c r="A142" s="329" t="s">
        <v>710</v>
      </c>
      <c r="B142" s="329" t="s">
        <v>709</v>
      </c>
      <c r="C142" s="329" t="s">
        <v>708</v>
      </c>
      <c r="D142" s="553" t="s">
        <v>707</v>
      </c>
      <c r="E142" s="179">
        <f>'dod3 Квітень+Комісії+Сесія'!E129-'dod3 квітень чистий'!E123</f>
        <v>0</v>
      </c>
      <c r="F142" s="179">
        <f>'dod3 Квітень+Комісії+Сесія'!F129-'dod3 квітень чистий'!F123</f>
        <v>0</v>
      </c>
      <c r="G142" s="179">
        <f>'dod3 Квітень+Комісії+Сесія'!G129-'dod3 квітень чистий'!G123</f>
        <v>0</v>
      </c>
      <c r="H142" s="179">
        <f>'dod3 Квітень+Комісії+Сесія'!H129-'dod3 квітень чистий'!H123</f>
        <v>0</v>
      </c>
      <c r="I142" s="179">
        <f>'dod3 Квітень+Комісії+Сесія'!I129-'dod3 квітень чистий'!I123</f>
        <v>0</v>
      </c>
      <c r="J142" s="179">
        <f>'dod3 Квітень+Комісії+Сесія'!J129-'dod3 квітень чистий'!J123</f>
        <v>0</v>
      </c>
      <c r="K142" s="179">
        <f>'dod3 Квітень+Комісії+Сесія'!K129-'dod3 квітень чистий'!K123</f>
        <v>0</v>
      </c>
      <c r="L142" s="179">
        <f>'dod3 Квітень+Комісії+Сесія'!L129-'dod3 квітень чистий'!L123</f>
        <v>0</v>
      </c>
      <c r="M142" s="179">
        <f>'dod3 Квітень+Комісії+Сесія'!M129-'dod3 квітень чистий'!M123</f>
        <v>0</v>
      </c>
      <c r="N142" s="179">
        <f>'dod3 Квітень+Комісії+Сесія'!N129-'dod3 квітень чистий'!N123</f>
        <v>0</v>
      </c>
      <c r="O142" s="179">
        <f>'dod3 Квітень+Комісії+Сесія'!O129-'dod3 квітень чистий'!O123</f>
        <v>0</v>
      </c>
      <c r="P142" s="179">
        <f>'dod3 Квітень+Комісії+Сесія'!P129-'dod3 квітень чистий'!P123</f>
        <v>0</v>
      </c>
    </row>
    <row r="143" spans="1:16" ht="91.5" x14ac:dyDescent="0.2">
      <c r="A143" s="272" t="s">
        <v>372</v>
      </c>
      <c r="B143" s="272" t="s">
        <v>373</v>
      </c>
      <c r="C143" s="272" t="s">
        <v>324</v>
      </c>
      <c r="D143" s="556" t="s">
        <v>89</v>
      </c>
      <c r="E143" s="179">
        <f>'dod3 Квітень+Комісії+Сесія'!E130-'dod3 квітень чистий'!E124</f>
        <v>0</v>
      </c>
      <c r="F143" s="179">
        <f>'dod3 Квітень+Комісії+Сесія'!F130-'dod3 квітень чистий'!F124</f>
        <v>0</v>
      </c>
      <c r="G143" s="179">
        <f>'dod3 Квітень+Комісії+Сесія'!G130-'dod3 квітень чистий'!G124</f>
        <v>0</v>
      </c>
      <c r="H143" s="179">
        <f>'dod3 Квітень+Комісії+Сесія'!H130-'dod3 квітень чистий'!H124</f>
        <v>0</v>
      </c>
      <c r="I143" s="179">
        <f>'dod3 Квітень+Комісії+Сесія'!I130-'dod3 квітень чистий'!I124</f>
        <v>0</v>
      </c>
      <c r="J143" s="179">
        <f>'dod3 Квітень+Комісії+Сесія'!J130-'dod3 квітень чистий'!J124</f>
        <v>0</v>
      </c>
      <c r="K143" s="179">
        <f>'dod3 Квітень+Комісії+Сесія'!K130-'dod3 квітень чистий'!K124</f>
        <v>0</v>
      </c>
      <c r="L143" s="179">
        <f>'dod3 Квітень+Комісії+Сесія'!L130-'dod3 квітень чистий'!L124</f>
        <v>0</v>
      </c>
      <c r="M143" s="179">
        <f>'dod3 Квітень+Комісії+Сесія'!M130-'dod3 квітень чистий'!M124</f>
        <v>0</v>
      </c>
      <c r="N143" s="179">
        <f>'dod3 Квітень+Комісії+Сесія'!N130-'dod3 квітень чистий'!N124</f>
        <v>0</v>
      </c>
      <c r="O143" s="179">
        <f>'dod3 Квітень+Комісії+Сесія'!O130-'dod3 квітень чистий'!O124</f>
        <v>0</v>
      </c>
      <c r="P143" s="179">
        <f>'dod3 Квітень+Комісії+Сесія'!P130-'dod3 квітень чистий'!P124</f>
        <v>0</v>
      </c>
    </row>
    <row r="144" spans="1:16" ht="180" x14ac:dyDescent="0.2">
      <c r="A144" s="433" t="s">
        <v>312</v>
      </c>
      <c r="B144" s="433"/>
      <c r="C144" s="433"/>
      <c r="D144" s="433" t="s">
        <v>67</v>
      </c>
      <c r="E144" s="440">
        <f>E145</f>
        <v>0</v>
      </c>
      <c r="F144" s="440">
        <f t="shared" ref="F144:P144" si="18">F145</f>
        <v>0</v>
      </c>
      <c r="G144" s="440">
        <f t="shared" si="18"/>
        <v>0</v>
      </c>
      <c r="H144" s="440">
        <f t="shared" si="18"/>
        <v>0</v>
      </c>
      <c r="I144" s="440">
        <f t="shared" si="18"/>
        <v>0</v>
      </c>
      <c r="J144" s="440">
        <f t="shared" si="18"/>
        <v>1750000</v>
      </c>
      <c r="K144" s="440">
        <f t="shared" si="18"/>
        <v>0</v>
      </c>
      <c r="L144" s="440">
        <f t="shared" si="18"/>
        <v>0</v>
      </c>
      <c r="M144" s="440">
        <f t="shared" si="18"/>
        <v>0</v>
      </c>
      <c r="N144" s="440">
        <f t="shared" si="18"/>
        <v>1750000</v>
      </c>
      <c r="O144" s="439">
        <f t="shared" si="18"/>
        <v>1750000</v>
      </c>
      <c r="P144" s="440">
        <f t="shared" si="18"/>
        <v>1750000</v>
      </c>
    </row>
    <row r="145" spans="1:18" ht="180" x14ac:dyDescent="0.2">
      <c r="A145" s="437" t="s">
        <v>313</v>
      </c>
      <c r="B145" s="437"/>
      <c r="C145" s="437"/>
      <c r="D145" s="437" t="s">
        <v>95</v>
      </c>
      <c r="E145" s="439">
        <f>E146+E151+E152+E153+E155+E157+E159+E160+E161+E162</f>
        <v>0</v>
      </c>
      <c r="F145" s="440">
        <f>F146+F151+F152+F153+F155+F157+F159+F160+F161+F162</f>
        <v>0</v>
      </c>
      <c r="G145" s="439">
        <f>G146+G151+G152+G153+G155+G157+G159+G160+G161+G162</f>
        <v>0</v>
      </c>
      <c r="H145" s="439">
        <f>H146+H151+H152+H153+H155+H157+H159+H160+H161+H162</f>
        <v>0</v>
      </c>
      <c r="I145" s="440">
        <f>I146+I151+I152+I153+I155+I157+I159+I160+I161+I162</f>
        <v>0</v>
      </c>
      <c r="J145" s="439">
        <f t="shared" ref="J145" si="19">K145+N145</f>
        <v>1750000</v>
      </c>
      <c r="K145" s="440">
        <f>K146+K151+K152+K153+K155+K157+K159+K160+K161+K162</f>
        <v>0</v>
      </c>
      <c r="L145" s="439">
        <f>L146+L151+L152+L153+L155+L157+L159+L160+L161+L162</f>
        <v>0</v>
      </c>
      <c r="M145" s="439">
        <f>M146+M151+M152+M153+M155+M157+M159+M160+M161+M162</f>
        <v>0</v>
      </c>
      <c r="N145" s="440">
        <f>N146+N151+N152+N153+N154+N155+N157+N159+N160+N161+N162</f>
        <v>1750000</v>
      </c>
      <c r="O145" s="439">
        <f>O146+O151+O152+O153+O154+O155+O157+O159+O160+O161+O162</f>
        <v>1750000</v>
      </c>
      <c r="P145" s="439">
        <f>E145+J145</f>
        <v>1750000</v>
      </c>
      <c r="Q145" s="311" t="b">
        <f>P145=P147+P148+P149+P150+P151+P152+P153+P154+P156+P158+P159+P160+P161+P162</f>
        <v>1</v>
      </c>
      <c r="R145" s="325"/>
    </row>
    <row r="146" spans="1:18" ht="137.25" x14ac:dyDescent="0.2">
      <c r="A146" s="556" t="s">
        <v>527</v>
      </c>
      <c r="B146" s="556" t="s">
        <v>528</v>
      </c>
      <c r="C146" s="556"/>
      <c r="D146" s="556" t="s">
        <v>531</v>
      </c>
      <c r="E146" s="567">
        <f>'dod3 Квітень+Комісії+Сесія'!E145-'dod3 квітень чистий'!E139</f>
        <v>0</v>
      </c>
      <c r="F146" s="567">
        <f>'dod3 Квітень+Комісії+Сесія'!F145-'dod3 квітень чистий'!F139</f>
        <v>0</v>
      </c>
      <c r="G146" s="567">
        <f>'dod3 Квітень+Комісії+Сесія'!G145-'dod3 квітень чистий'!G139</f>
        <v>0</v>
      </c>
      <c r="H146" s="567">
        <f>'dod3 Квітень+Комісії+Сесія'!H145-'dod3 квітень чистий'!H139</f>
        <v>0</v>
      </c>
      <c r="I146" s="567">
        <f>'dod3 Квітень+Комісії+Сесія'!I145-'dod3 квітень чистий'!I139</f>
        <v>0</v>
      </c>
      <c r="J146" s="567">
        <f>'dod3 Квітень+Комісії+Сесія'!J145-'dod3 квітень чистий'!J139</f>
        <v>0</v>
      </c>
      <c r="K146" s="567">
        <f>'dod3 Квітень+Комісії+Сесія'!K145-'dod3 квітень чистий'!K139</f>
        <v>0</v>
      </c>
      <c r="L146" s="567">
        <f>'dod3 Квітень+Комісії+Сесія'!L145-'dod3 квітень чистий'!L139</f>
        <v>0</v>
      </c>
      <c r="M146" s="567">
        <f>'dod3 Квітень+Комісії+Сесія'!M145-'dod3 квітень чистий'!M139</f>
        <v>0</v>
      </c>
      <c r="N146" s="567">
        <f>'dod3 Квітень+Комісії+Сесія'!N145-'dod3 квітень чистий'!N139</f>
        <v>0</v>
      </c>
      <c r="O146" s="567">
        <f>'dod3 Квітень+Комісії+Сесія'!O145-'dod3 квітень чистий'!O139</f>
        <v>0</v>
      </c>
      <c r="P146" s="567">
        <f>'dod3 Квітень+Комісії+Сесія'!P145-'dod3 квітень чистий'!P139</f>
        <v>0</v>
      </c>
    </row>
    <row r="147" spans="1:18" ht="137.25" x14ac:dyDescent="0.2">
      <c r="A147" s="553" t="s">
        <v>529</v>
      </c>
      <c r="B147" s="553" t="s">
        <v>530</v>
      </c>
      <c r="C147" s="553" t="s">
        <v>533</v>
      </c>
      <c r="D147" s="553" t="s">
        <v>532</v>
      </c>
      <c r="E147" s="567">
        <f>'dod3 Квітень+Комісії+Сесія'!E146-'dod3 квітень чистий'!E140</f>
        <v>0</v>
      </c>
      <c r="F147" s="567">
        <f>'dod3 Квітень+Комісії+Сесія'!F146-'dod3 квітень чистий'!F140</f>
        <v>0</v>
      </c>
      <c r="G147" s="567">
        <f>'dod3 Квітень+Комісії+Сесія'!G146-'dod3 квітень чистий'!G140</f>
        <v>0</v>
      </c>
      <c r="H147" s="567">
        <f>'dod3 Квітень+Комісії+Сесія'!H146-'dod3 квітень чистий'!H140</f>
        <v>0</v>
      </c>
      <c r="I147" s="567">
        <f>'dod3 Квітень+Комісії+Сесія'!I146-'dod3 квітень чистий'!I140</f>
        <v>0</v>
      </c>
      <c r="J147" s="567">
        <f>'dod3 Квітень+Комісії+Сесія'!J146-'dod3 квітень чистий'!J140</f>
        <v>0</v>
      </c>
      <c r="K147" s="567">
        <f>'dod3 Квітень+Комісії+Сесія'!K146-'dod3 квітень чистий'!K140</f>
        <v>0</v>
      </c>
      <c r="L147" s="567">
        <f>'dod3 Квітень+Комісії+Сесія'!L146-'dod3 квітень чистий'!L140</f>
        <v>0</v>
      </c>
      <c r="M147" s="567">
        <f>'dod3 Квітень+Комісії+Сесія'!M146-'dod3 квітень чистий'!M140</f>
        <v>0</v>
      </c>
      <c r="N147" s="567">
        <f>'dod3 Квітень+Комісії+Сесія'!N146-'dod3 квітень чистий'!N140</f>
        <v>0</v>
      </c>
      <c r="O147" s="567">
        <f>'dod3 Квітень+Комісії+Сесія'!O146-'dod3 квітень чистий'!O140</f>
        <v>0</v>
      </c>
      <c r="P147" s="567">
        <f>'dod3 Квітень+Комісії+Сесія'!P146-'dod3 квітень чистий'!P140</f>
        <v>0</v>
      </c>
    </row>
    <row r="148" spans="1:18" ht="137.25" x14ac:dyDescent="0.2">
      <c r="A148" s="553" t="s">
        <v>537</v>
      </c>
      <c r="B148" s="553" t="s">
        <v>538</v>
      </c>
      <c r="C148" s="553" t="s">
        <v>533</v>
      </c>
      <c r="D148" s="553" t="s">
        <v>539</v>
      </c>
      <c r="E148" s="567">
        <f>'dod3 Квітень+Комісії+Сесія'!E147-'dod3 квітень чистий'!E141</f>
        <v>0</v>
      </c>
      <c r="F148" s="567">
        <f>'dod3 Квітень+Комісії+Сесія'!F147-'dod3 квітень чистий'!F141</f>
        <v>0</v>
      </c>
      <c r="G148" s="567">
        <f>'dod3 Квітень+Комісії+Сесія'!G147-'dod3 квітень чистий'!G141</f>
        <v>0</v>
      </c>
      <c r="H148" s="567">
        <f>'dod3 Квітень+Комісії+Сесія'!H147-'dod3 квітень чистий'!H141</f>
        <v>0</v>
      </c>
      <c r="I148" s="567">
        <f>'dod3 Квітень+Комісії+Сесія'!I147-'dod3 квітень чистий'!I141</f>
        <v>0</v>
      </c>
      <c r="J148" s="567">
        <f>'dod3 Квітень+Комісії+Сесія'!J147-'dod3 квітень чистий'!J141</f>
        <v>0</v>
      </c>
      <c r="K148" s="567">
        <f>'dod3 Квітень+Комісії+Сесія'!K147-'dod3 квітень чистий'!K141</f>
        <v>0</v>
      </c>
      <c r="L148" s="567">
        <f>'dod3 Квітень+Комісії+Сесія'!L147-'dod3 квітень чистий'!L141</f>
        <v>0</v>
      </c>
      <c r="M148" s="567">
        <f>'dod3 Квітень+Комісії+Сесія'!M147-'dod3 квітень чистий'!M141</f>
        <v>0</v>
      </c>
      <c r="N148" s="567">
        <f>'dod3 Квітень+Комісії+Сесія'!N147-'dod3 квітень чистий'!N141</f>
        <v>0</v>
      </c>
      <c r="O148" s="567">
        <f>'dod3 Квітень+Комісії+Сесія'!O147-'dod3 квітень чистий'!O141</f>
        <v>0</v>
      </c>
      <c r="P148" s="567">
        <f>'dod3 Квітень+Комісії+Сесія'!P147-'dod3 квітень чистий'!P141</f>
        <v>0</v>
      </c>
    </row>
    <row r="149" spans="1:18" ht="137.25" x14ac:dyDescent="0.2">
      <c r="A149" s="553" t="s">
        <v>567</v>
      </c>
      <c r="B149" s="553" t="s">
        <v>568</v>
      </c>
      <c r="C149" s="553" t="s">
        <v>533</v>
      </c>
      <c r="D149" s="553" t="s">
        <v>569</v>
      </c>
      <c r="E149" s="567">
        <f>'dod3 Квітень+Комісії+Сесія'!E148-'dod3 квітень чистий'!E142</f>
        <v>0</v>
      </c>
      <c r="F149" s="567">
        <f>'dod3 Квітень+Комісії+Сесія'!F148-'dod3 квітень чистий'!F142</f>
        <v>0</v>
      </c>
      <c r="G149" s="567">
        <f>'dod3 Квітень+Комісії+Сесія'!G148-'dod3 квітень чистий'!G142</f>
        <v>0</v>
      </c>
      <c r="H149" s="567">
        <f>'dod3 Квітень+Комісії+Сесія'!H148-'dod3 квітень чистий'!H142</f>
        <v>0</v>
      </c>
      <c r="I149" s="567">
        <f>'dod3 Квітень+Комісії+Сесія'!I148-'dod3 квітень чистий'!I142</f>
        <v>0</v>
      </c>
      <c r="J149" s="567">
        <f>'dod3 Квітень+Комісії+Сесія'!J148-'dod3 квітень чистий'!J142</f>
        <v>0</v>
      </c>
      <c r="K149" s="567">
        <f>'dod3 Квітень+Комісії+Сесія'!K148-'dod3 квітень чистий'!K142</f>
        <v>0</v>
      </c>
      <c r="L149" s="567">
        <f>'dod3 Квітень+Комісії+Сесія'!L148-'dod3 квітень чистий'!L142</f>
        <v>0</v>
      </c>
      <c r="M149" s="567">
        <f>'dod3 Квітень+Комісії+Сесія'!M148-'dod3 квітень чистий'!M142</f>
        <v>0</v>
      </c>
      <c r="N149" s="567">
        <f>'dod3 Квітень+Комісії+Сесія'!N148-'dod3 квітень чистий'!N142</f>
        <v>0</v>
      </c>
      <c r="O149" s="567">
        <f>'dod3 Квітень+Комісії+Сесія'!O148-'dod3 квітень чистий'!O142</f>
        <v>0</v>
      </c>
      <c r="P149" s="567">
        <f>'dod3 Квітень+Комісії+Сесія'!P148-'dod3 квітень чистий'!P142</f>
        <v>0</v>
      </c>
    </row>
    <row r="150" spans="1:18" ht="183" x14ac:dyDescent="0.2">
      <c r="A150" s="553" t="s">
        <v>534</v>
      </c>
      <c r="B150" s="553" t="s">
        <v>535</v>
      </c>
      <c r="C150" s="553" t="s">
        <v>533</v>
      </c>
      <c r="D150" s="553" t="s">
        <v>536</v>
      </c>
      <c r="E150" s="567">
        <f>'dod3 Квітень+Комісії+Сесія'!E149-'dod3 квітень чистий'!E143</f>
        <v>0</v>
      </c>
      <c r="F150" s="567">
        <f>'dod3 Квітень+Комісії+Сесія'!F149-'dod3 квітень чистий'!F143</f>
        <v>0</v>
      </c>
      <c r="G150" s="567">
        <f>'dod3 Квітень+Комісії+Сесія'!G149-'dod3 квітень чистий'!G143</f>
        <v>0</v>
      </c>
      <c r="H150" s="567">
        <f>'dod3 Квітень+Комісії+Сесія'!H149-'dod3 квітень чистий'!H143</f>
        <v>0</v>
      </c>
      <c r="I150" s="567">
        <f>'dod3 Квітень+Комісії+Сесія'!I149-'dod3 квітень чистий'!I143</f>
        <v>0</v>
      </c>
      <c r="J150" s="567">
        <f>'dod3 Квітень+Комісії+Сесія'!J149-'dod3 квітень чистий'!J143</f>
        <v>0</v>
      </c>
      <c r="K150" s="567">
        <f>'dod3 Квітень+Комісії+Сесія'!K149-'dod3 квітень чистий'!K143</f>
        <v>0</v>
      </c>
      <c r="L150" s="567">
        <f>'dod3 Квітень+Комісії+Сесія'!L149-'dod3 квітень чистий'!L143</f>
        <v>0</v>
      </c>
      <c r="M150" s="567">
        <f>'dod3 Квітень+Комісії+Сесія'!M149-'dod3 квітень чистий'!M143</f>
        <v>0</v>
      </c>
      <c r="N150" s="567">
        <f>'dod3 Квітень+Комісії+Сесія'!N149-'dod3 квітень чистий'!N143</f>
        <v>0</v>
      </c>
      <c r="O150" s="567">
        <f>'dod3 Квітень+Комісії+Сесія'!O149-'dod3 квітень чистий'!O143</f>
        <v>0</v>
      </c>
      <c r="P150" s="567">
        <f>'dod3 Квітень+Комісії+Сесія'!P149-'dod3 квітень чистий'!P143</f>
        <v>0</v>
      </c>
    </row>
    <row r="151" spans="1:18" ht="228.75" x14ac:dyDescent="0.2">
      <c r="A151" s="556" t="s">
        <v>561</v>
      </c>
      <c r="B151" s="556" t="s">
        <v>562</v>
      </c>
      <c r="C151" s="556" t="s">
        <v>533</v>
      </c>
      <c r="D151" s="556" t="s">
        <v>563</v>
      </c>
      <c r="E151" s="567">
        <f>'dod3 Квітень+Комісії+Сесія'!E150-'dod3 квітень чистий'!E144</f>
        <v>0</v>
      </c>
      <c r="F151" s="567">
        <f>'dod3 Квітень+Комісії+Сесія'!F150-'dod3 квітень чистий'!F144</f>
        <v>0</v>
      </c>
      <c r="G151" s="567">
        <f>'dod3 Квітень+Комісії+Сесія'!G150-'dod3 квітень чистий'!G144</f>
        <v>0</v>
      </c>
      <c r="H151" s="567">
        <f>'dod3 Квітень+Комісії+Сесія'!H150-'dod3 квітень чистий'!H144</f>
        <v>0</v>
      </c>
      <c r="I151" s="567">
        <f>'dod3 Квітень+Комісії+Сесія'!I150-'dod3 квітень чистий'!I144</f>
        <v>0</v>
      </c>
      <c r="J151" s="567">
        <f>'dod3 Квітень+Комісії+Сесія'!J150-'dod3 квітень чистий'!J144</f>
        <v>0</v>
      </c>
      <c r="K151" s="567">
        <f>'dod3 Квітень+Комісії+Сесія'!K150-'dod3 квітень чистий'!K144</f>
        <v>0</v>
      </c>
      <c r="L151" s="567">
        <f>'dod3 Квітень+Комісії+Сесія'!L150-'dod3 квітень чистий'!L144</f>
        <v>0</v>
      </c>
      <c r="M151" s="567">
        <f>'dod3 Квітень+Комісії+Сесія'!M150-'dod3 квітень чистий'!M144</f>
        <v>0</v>
      </c>
      <c r="N151" s="567">
        <f>'dod3 Квітень+Комісії+Сесія'!N150-'dod3 квітень чистий'!N144</f>
        <v>0</v>
      </c>
      <c r="O151" s="567">
        <f>'dod3 Квітень+Комісії+Сесія'!O150-'dod3 квітень чистий'!O144</f>
        <v>0</v>
      </c>
      <c r="P151" s="567">
        <f>'dod3 Квітень+Комісії+Сесія'!P150-'dod3 квітень чистий'!P144</f>
        <v>0</v>
      </c>
    </row>
    <row r="152" spans="1:18" ht="91.5" x14ac:dyDescent="0.2">
      <c r="A152" s="556" t="s">
        <v>540</v>
      </c>
      <c r="B152" s="556" t="s">
        <v>541</v>
      </c>
      <c r="C152" s="556" t="s">
        <v>533</v>
      </c>
      <c r="D152" s="556" t="s">
        <v>542</v>
      </c>
      <c r="E152" s="567">
        <f>'dod3 Квітень+Комісії+Сесія'!E151-'dod3 квітень чистий'!E145</f>
        <v>0</v>
      </c>
      <c r="F152" s="567">
        <f>'dod3 Квітень+Комісії+Сесія'!F151-'dod3 квітень чистий'!F145</f>
        <v>0</v>
      </c>
      <c r="G152" s="567">
        <f>'dod3 Квітень+Комісії+Сесія'!G151-'dod3 квітень чистий'!G145</f>
        <v>0</v>
      </c>
      <c r="H152" s="567">
        <f>'dod3 Квітень+Комісії+Сесія'!H151-'dod3 квітень чистий'!H145</f>
        <v>0</v>
      </c>
      <c r="I152" s="567">
        <f>'dod3 Квітень+Комісії+Сесія'!I151-'dod3 квітень чистий'!I145</f>
        <v>0</v>
      </c>
      <c r="J152" s="567">
        <f>'dod3 Квітень+Комісії+Сесія'!J151-'dod3 квітень чистий'!J145</f>
        <v>0</v>
      </c>
      <c r="K152" s="567">
        <f>'dod3 Квітень+Комісії+Сесія'!K151-'dod3 квітень чистий'!K145</f>
        <v>0</v>
      </c>
      <c r="L152" s="567">
        <f>'dod3 Квітень+Комісії+Сесія'!L151-'dod3 квітень чистий'!L145</f>
        <v>0</v>
      </c>
      <c r="M152" s="567">
        <f>'dod3 Квітень+Комісії+Сесія'!M151-'dod3 квітень чистий'!M145</f>
        <v>0</v>
      </c>
      <c r="N152" s="567">
        <f>'dod3 Квітень+Комісії+Сесія'!N151-'dod3 квітень чистий'!N145</f>
        <v>0</v>
      </c>
      <c r="O152" s="567">
        <f>'dod3 Квітень+Комісії+Сесія'!O151-'dod3 квітень чистий'!O145</f>
        <v>0</v>
      </c>
      <c r="P152" s="567">
        <f>'dod3 Квітень+Комісії+Сесія'!P151-'dod3 квітень чистий'!P145</f>
        <v>0</v>
      </c>
    </row>
    <row r="153" spans="1:18" ht="92.25" x14ac:dyDescent="0.2">
      <c r="A153" s="556" t="s">
        <v>571</v>
      </c>
      <c r="B153" s="556" t="s">
        <v>572</v>
      </c>
      <c r="C153" s="556" t="s">
        <v>570</v>
      </c>
      <c r="D153" s="556" t="s">
        <v>573</v>
      </c>
      <c r="E153" s="567">
        <f>'dod3 Квітень+Комісії+Сесія'!E152-'dod3 квітень чистий'!E146</f>
        <v>0</v>
      </c>
      <c r="F153" s="567">
        <f>'dod3 Квітень+Комісії+Сесія'!F152-'dod3 квітень чистий'!F146</f>
        <v>0</v>
      </c>
      <c r="G153" s="567">
        <f>'dod3 Квітень+Комісії+Сесія'!G152-'dod3 квітень чистий'!G146</f>
        <v>0</v>
      </c>
      <c r="H153" s="567">
        <f>'dod3 Квітень+Комісії+Сесія'!H152-'dod3 квітень чистий'!H146</f>
        <v>0</v>
      </c>
      <c r="I153" s="567">
        <f>'dod3 Квітень+Комісії+Сесія'!I152-'dod3 квітень чистий'!I146</f>
        <v>0</v>
      </c>
      <c r="J153" s="567">
        <f>'dod3 Квітень+Комісії+Сесія'!J152-'dod3 квітень чистий'!J146</f>
        <v>0</v>
      </c>
      <c r="K153" s="567">
        <f>'dod3 Квітень+Комісії+Сесія'!K152-'dod3 квітень чистий'!K146</f>
        <v>0</v>
      </c>
      <c r="L153" s="567">
        <f>'dod3 Квітень+Комісії+Сесія'!L152-'dod3 квітень чистий'!L146</f>
        <v>0</v>
      </c>
      <c r="M153" s="567">
        <f>'dod3 Квітень+Комісії+Сесія'!M152-'dod3 квітень чистий'!M146</f>
        <v>0</v>
      </c>
      <c r="N153" s="567">
        <f>'dod3 Квітень+Комісії+Сесія'!N152-'dod3 квітень чистий'!N146</f>
        <v>0</v>
      </c>
      <c r="O153" s="567">
        <f>'dod3 Квітень+Комісії+Сесія'!O152-'dod3 квітень чистий'!O146</f>
        <v>0</v>
      </c>
      <c r="P153" s="567">
        <f>'dod3 Квітень+Комісії+Сесія'!P152-'dod3 квітень чистий'!P146</f>
        <v>0</v>
      </c>
    </row>
    <row r="154" spans="1:18" ht="183" x14ac:dyDescent="0.2">
      <c r="A154" s="556" t="s">
        <v>722</v>
      </c>
      <c r="B154" s="556" t="s">
        <v>609</v>
      </c>
      <c r="C154" s="556" t="s">
        <v>570</v>
      </c>
      <c r="D154" s="556" t="s">
        <v>607</v>
      </c>
      <c r="E154" s="567">
        <f>'dod3 Квітень+Комісії+Сесія'!E153-'dod3 квітень чистий'!E147</f>
        <v>0</v>
      </c>
      <c r="F154" s="567">
        <f>'dod3 Квітень+Комісії+Сесія'!F153-'dod3 квітень чистий'!F147</f>
        <v>0</v>
      </c>
      <c r="G154" s="567">
        <f>'dod3 Квітень+Комісії+Сесія'!G153-'dod3 квітень чистий'!G147</f>
        <v>0</v>
      </c>
      <c r="H154" s="567">
        <f>'dod3 Квітень+Комісії+Сесія'!H153-'dod3 квітень чистий'!H147</f>
        <v>0</v>
      </c>
      <c r="I154" s="567">
        <f>'dod3 Квітень+Комісії+Сесія'!I153-'dod3 квітень чистий'!I147</f>
        <v>0</v>
      </c>
      <c r="J154" s="567">
        <f>'dod3 Квітень+Комісії+Сесія'!J153-'dod3 квітень чистий'!J147</f>
        <v>0</v>
      </c>
      <c r="K154" s="567">
        <f>'dod3 Квітень+Комісії+Сесія'!K153-'dod3 квітень чистий'!K147</f>
        <v>0</v>
      </c>
      <c r="L154" s="567">
        <f>'dod3 Квітень+Комісії+Сесія'!L153-'dod3 квітень чистий'!L147</f>
        <v>0</v>
      </c>
      <c r="M154" s="567">
        <f>'dod3 Квітень+Комісії+Сесія'!M153-'dod3 квітень чистий'!M147</f>
        <v>0</v>
      </c>
      <c r="N154" s="567">
        <f>'dod3 Квітень+Комісії+Сесія'!N153-'dod3 квітень чистий'!N147</f>
        <v>0</v>
      </c>
      <c r="O154" s="567">
        <f>'dod3 Квітень+Комісії+Сесія'!O153-'dod3 квітень чистий'!O147</f>
        <v>0</v>
      </c>
      <c r="P154" s="567">
        <f>'dod3 Квітень+Комісії+Сесія'!P153-'dod3 квітень чистий'!P147</f>
        <v>0</v>
      </c>
    </row>
    <row r="155" spans="1:18" ht="137.25" x14ac:dyDescent="0.2">
      <c r="A155" s="556" t="s">
        <v>544</v>
      </c>
      <c r="B155" s="556" t="s">
        <v>545</v>
      </c>
      <c r="C155" s="556"/>
      <c r="D155" s="556" t="s">
        <v>547</v>
      </c>
      <c r="E155" s="567">
        <f>'dod3 Квітень+Комісії+Сесія'!E154-'dod3 квітень чистий'!E148</f>
        <v>0</v>
      </c>
      <c r="F155" s="567">
        <f>'dod3 Квітень+Комісії+Сесія'!F154-'dod3 квітень чистий'!F148</f>
        <v>0</v>
      </c>
      <c r="G155" s="567">
        <f>'dod3 Квітень+Комісії+Сесія'!G154-'dod3 квітень чистий'!G148</f>
        <v>0</v>
      </c>
      <c r="H155" s="567">
        <f>'dod3 Квітень+Комісії+Сесія'!H154-'dod3 квітень чистий'!H148</f>
        <v>0</v>
      </c>
      <c r="I155" s="567">
        <f>'dod3 Квітень+Комісії+Сесія'!I154-'dod3 квітень чистий'!I148</f>
        <v>0</v>
      </c>
      <c r="J155" s="567">
        <f>'dod3 Квітень+Комісії+Сесія'!J154-'dod3 квітень чистий'!J148</f>
        <v>0</v>
      </c>
      <c r="K155" s="567">
        <f>'dod3 Квітень+Комісії+Сесія'!K154-'dod3 квітень чистий'!K148</f>
        <v>0</v>
      </c>
      <c r="L155" s="567">
        <f>'dod3 Квітень+Комісії+Сесія'!L154-'dod3 квітень чистий'!L148</f>
        <v>0</v>
      </c>
      <c r="M155" s="567">
        <f>'dod3 Квітень+Комісії+Сесія'!M154-'dod3 квітень чистий'!M148</f>
        <v>0</v>
      </c>
      <c r="N155" s="567">
        <f>'dod3 Квітень+Комісії+Сесія'!N154-'dod3 квітень чистий'!N148</f>
        <v>0</v>
      </c>
      <c r="O155" s="567">
        <f>'dod3 Квітень+Комісії+Сесія'!O154-'dod3 квітень чистий'!O148</f>
        <v>0</v>
      </c>
      <c r="P155" s="567">
        <f>'dod3 Квітень+Комісії+Сесія'!P154-'dod3 квітень чистий'!P148</f>
        <v>0</v>
      </c>
    </row>
    <row r="156" spans="1:18" ht="91.5" x14ac:dyDescent="0.2">
      <c r="A156" s="553" t="s">
        <v>543</v>
      </c>
      <c r="B156" s="553" t="s">
        <v>546</v>
      </c>
      <c r="C156" s="553" t="s">
        <v>549</v>
      </c>
      <c r="D156" s="553" t="s">
        <v>548</v>
      </c>
      <c r="E156" s="567">
        <f>'dod3 Квітень+Комісії+Сесія'!E155-'dod3 квітень чистий'!E149</f>
        <v>0</v>
      </c>
      <c r="F156" s="567">
        <f>'dod3 Квітень+Комісії+Сесія'!F155-'dod3 квітень чистий'!F149</f>
        <v>0</v>
      </c>
      <c r="G156" s="567">
        <f>'dod3 Квітень+Комісії+Сесія'!G155-'dod3 квітень чистий'!G149</f>
        <v>0</v>
      </c>
      <c r="H156" s="567">
        <f>'dod3 Квітень+Комісії+Сесія'!H155-'dod3 квітень чистий'!H149</f>
        <v>0</v>
      </c>
      <c r="I156" s="567">
        <f>'dod3 Квітень+Комісії+Сесія'!I155-'dod3 квітень чистий'!I149</f>
        <v>0</v>
      </c>
      <c r="J156" s="567">
        <f>'dod3 Квітень+Комісії+Сесія'!J155-'dod3 квітень чистий'!J149</f>
        <v>0</v>
      </c>
      <c r="K156" s="567">
        <f>'dod3 Квітень+Комісії+Сесія'!K155-'dod3 квітень чистий'!K149</f>
        <v>0</v>
      </c>
      <c r="L156" s="567">
        <f>'dod3 Квітень+Комісії+Сесія'!L155-'dod3 квітень чистий'!L149</f>
        <v>0</v>
      </c>
      <c r="M156" s="567">
        <f>'dod3 Квітень+Комісії+Сесія'!M155-'dod3 квітень чистий'!M149</f>
        <v>0</v>
      </c>
      <c r="N156" s="567">
        <f>'dod3 Квітень+Комісії+Сесія'!N155-'dod3 квітень чистий'!N149</f>
        <v>0</v>
      </c>
      <c r="O156" s="567">
        <f>'dod3 Квітень+Комісії+Сесія'!O155-'dod3 квітень чистий'!O149</f>
        <v>0</v>
      </c>
      <c r="P156" s="567">
        <f>'dod3 Квітень+Комісії+Сесія'!P155-'dod3 квітень чистий'!P149</f>
        <v>0</v>
      </c>
    </row>
    <row r="157" spans="1:18" ht="137.25" x14ac:dyDescent="0.2">
      <c r="A157" s="556" t="s">
        <v>550</v>
      </c>
      <c r="B157" s="556" t="s">
        <v>551</v>
      </c>
      <c r="C157" s="556"/>
      <c r="D157" s="556" t="s">
        <v>552</v>
      </c>
      <c r="E157" s="567">
        <f>'dod3 Квітень+Комісії+Сесія'!E156-'dod3 квітень чистий'!E150</f>
        <v>0</v>
      </c>
      <c r="F157" s="567">
        <f>'dod3 Квітень+Комісії+Сесія'!F156-'dod3 квітень чистий'!F150</f>
        <v>0</v>
      </c>
      <c r="G157" s="567">
        <f>'dod3 Квітень+Комісії+Сесія'!G156-'dod3 квітень чистий'!G150</f>
        <v>0</v>
      </c>
      <c r="H157" s="567">
        <f>'dod3 Квітень+Комісії+Сесія'!H156-'dod3 квітень чистий'!H150</f>
        <v>0</v>
      </c>
      <c r="I157" s="567">
        <f>'dod3 Квітень+Комісії+Сесія'!I156-'dod3 квітень чистий'!I150</f>
        <v>0</v>
      </c>
      <c r="J157" s="567">
        <f>'dod3 Квітень+Комісії+Сесія'!J156-'dod3 квітень чистий'!J150</f>
        <v>0</v>
      </c>
      <c r="K157" s="567">
        <f>'dod3 Квітень+Комісії+Сесія'!K156-'dod3 квітень чистий'!K150</f>
        <v>0</v>
      </c>
      <c r="L157" s="567">
        <f>'dod3 Квітень+Комісії+Сесія'!L156-'dod3 квітень чистий'!L150</f>
        <v>0</v>
      </c>
      <c r="M157" s="567">
        <f>'dod3 Квітень+Комісії+Сесія'!M156-'dod3 квітень чистий'!M150</f>
        <v>0</v>
      </c>
      <c r="N157" s="567">
        <f>'dod3 Квітень+Комісії+Сесія'!N156-'dod3 квітень чистий'!N150</f>
        <v>0</v>
      </c>
      <c r="O157" s="567">
        <f>'dod3 Квітень+Комісії+Сесія'!O156-'dod3 квітень чистий'!O150</f>
        <v>0</v>
      </c>
      <c r="P157" s="567">
        <f>'dod3 Квітень+Комісії+Сесія'!P156-'dod3 квітень чистий'!P150</f>
        <v>0</v>
      </c>
    </row>
    <row r="158" spans="1:18" ht="228.75" x14ac:dyDescent="0.2">
      <c r="A158" s="553" t="s">
        <v>553</v>
      </c>
      <c r="B158" s="553" t="s">
        <v>554</v>
      </c>
      <c r="C158" s="553" t="s">
        <v>556</v>
      </c>
      <c r="D158" s="553" t="s">
        <v>555</v>
      </c>
      <c r="E158" s="567">
        <f>'dod3 Квітень+Комісії+Сесія'!E157-'dod3 квітень чистий'!E151</f>
        <v>0</v>
      </c>
      <c r="F158" s="567">
        <f>'dod3 Квітень+Комісії+Сесія'!F157-'dod3 квітень чистий'!F151</f>
        <v>0</v>
      </c>
      <c r="G158" s="567">
        <f>'dod3 Квітень+Комісії+Сесія'!G157-'dod3 квітень чистий'!G151</f>
        <v>0</v>
      </c>
      <c r="H158" s="567">
        <f>'dod3 Квітень+Комісії+Сесія'!H157-'dod3 квітень чистий'!H151</f>
        <v>0</v>
      </c>
      <c r="I158" s="567">
        <f>'dod3 Квітень+Комісії+Сесія'!I157-'dod3 квітень чистий'!I151</f>
        <v>0</v>
      </c>
      <c r="J158" s="567">
        <f>'dod3 Квітень+Комісії+Сесія'!J157-'dod3 квітень чистий'!J151</f>
        <v>0</v>
      </c>
      <c r="K158" s="567">
        <f>'dod3 Квітень+Комісії+Сесія'!K157-'dod3 квітень чистий'!K151</f>
        <v>0</v>
      </c>
      <c r="L158" s="567">
        <f>'dod3 Квітень+Комісії+Сесія'!L157-'dod3 квітень чистий'!L151</f>
        <v>0</v>
      </c>
      <c r="M158" s="567">
        <f>'dod3 Квітень+Комісії+Сесія'!M157-'dod3 квітень чистий'!M151</f>
        <v>0</v>
      </c>
      <c r="N158" s="567">
        <f>'dod3 Квітень+Комісії+Сесія'!N157-'dod3 квітень чистий'!N151</f>
        <v>0</v>
      </c>
      <c r="O158" s="567">
        <f>'dod3 Квітень+Комісії+Сесія'!O157-'dod3 квітень чистий'!O151</f>
        <v>0</v>
      </c>
      <c r="P158" s="567">
        <f>'dod3 Квітень+Комісії+Сесія'!P157-'dod3 квітень чистий'!P151</f>
        <v>0</v>
      </c>
    </row>
    <row r="159" spans="1:18" ht="46.5" x14ac:dyDescent="0.2">
      <c r="A159" s="556" t="s">
        <v>557</v>
      </c>
      <c r="B159" s="556" t="s">
        <v>403</v>
      </c>
      <c r="C159" s="556" t="s">
        <v>404</v>
      </c>
      <c r="D159" s="556" t="s">
        <v>99</v>
      </c>
      <c r="E159" s="567">
        <f>'dod3 Квітень+Комісії+Сесія'!E158-'dod3 квітень чистий'!E152</f>
        <v>0</v>
      </c>
      <c r="F159" s="567">
        <f>'dod3 Квітень+Комісії+Сесія'!F158-'dod3 квітень чистий'!F152</f>
        <v>0</v>
      </c>
      <c r="G159" s="567">
        <f>'dod3 Квітень+Комісії+Сесія'!G158-'dod3 квітень чистий'!G152</f>
        <v>0</v>
      </c>
      <c r="H159" s="567">
        <f>'dod3 Квітень+Комісії+Сесія'!H158-'dod3 квітень чистий'!H152</f>
        <v>0</v>
      </c>
      <c r="I159" s="567">
        <f>'dod3 Квітень+Комісії+Сесія'!I158-'dod3 квітень чистий'!I152</f>
        <v>0</v>
      </c>
      <c r="J159" s="567">
        <f>'dod3 Квітень+Комісії+Сесія'!J158-'dod3 квітень чистий'!J152</f>
        <v>0</v>
      </c>
      <c r="K159" s="567">
        <f>'dod3 Квітень+Комісії+Сесія'!K158-'dod3 квітень чистий'!K152</f>
        <v>0</v>
      </c>
      <c r="L159" s="567">
        <f>'dod3 Квітень+Комісії+Сесія'!L158-'dod3 квітень чистий'!L152</f>
        <v>0</v>
      </c>
      <c r="M159" s="567">
        <f>'dod3 Квітень+Комісії+Сесія'!M158-'dod3 квітень чистий'!M152</f>
        <v>0</v>
      </c>
      <c r="N159" s="567">
        <f>'dod3 Квітень+Комісії+Сесія'!N158-'dod3 квітень чистий'!N152</f>
        <v>0</v>
      </c>
      <c r="O159" s="567">
        <f>'dod3 Квітень+Комісії+Сесія'!O158-'dod3 квітень чистий'!O152</f>
        <v>0</v>
      </c>
      <c r="P159" s="567">
        <f>'dod3 Квітень+Комісії+Сесія'!P158-'dod3 квітень чистий'!P152</f>
        <v>0</v>
      </c>
    </row>
    <row r="160" spans="1:18" ht="91.5" x14ac:dyDescent="0.2">
      <c r="A160" s="556" t="s">
        <v>575</v>
      </c>
      <c r="B160" s="556" t="s">
        <v>373</v>
      </c>
      <c r="C160" s="556" t="s">
        <v>324</v>
      </c>
      <c r="D160" s="556" t="s">
        <v>89</v>
      </c>
      <c r="E160" s="567">
        <f>'dod3 Квітень+Комісії+Сесія'!E159-'dod3 квітень чистий'!E153</f>
        <v>0</v>
      </c>
      <c r="F160" s="567">
        <f>'dod3 Квітень+Комісії+Сесія'!F159-'dod3 квітень чистий'!F153</f>
        <v>0</v>
      </c>
      <c r="G160" s="567">
        <f>'dod3 Квітень+Комісії+Сесія'!G159-'dod3 квітень чистий'!G153</f>
        <v>0</v>
      </c>
      <c r="H160" s="567">
        <f>'dod3 Квітень+Комісії+Сесія'!H159-'dod3 квітень чистий'!H153</f>
        <v>0</v>
      </c>
      <c r="I160" s="567">
        <f>'dod3 Квітень+Комісії+Сесія'!I159-'dod3 квітень чистий'!I153</f>
        <v>0</v>
      </c>
      <c r="J160" s="567">
        <f>'dod3 Квітень+Комісії+Сесія'!J159-'dod3 квітень чистий'!J153</f>
        <v>1750000</v>
      </c>
      <c r="K160" s="567">
        <f>'dod3 Квітень+Комісії+Сесія'!K159-'dod3 квітень чистий'!K153</f>
        <v>0</v>
      </c>
      <c r="L160" s="567">
        <f>'dod3 Квітень+Комісії+Сесія'!L159-'dod3 квітень чистий'!L153</f>
        <v>0</v>
      </c>
      <c r="M160" s="567">
        <f>'dod3 Квітень+Комісії+Сесія'!M159-'dod3 квітень чистий'!M153</f>
        <v>0</v>
      </c>
      <c r="N160" s="567">
        <f>'dod3 Квітень+Комісії+Сесія'!N159-'dod3 квітень чистий'!N153</f>
        <v>1750000</v>
      </c>
      <c r="O160" s="567">
        <f>'dod3 Квітень+Комісії+Сесія'!O159-'dod3 квітень чистий'!O153</f>
        <v>1750000</v>
      </c>
      <c r="P160" s="567">
        <f>'dod3 Квітень+Комісії+Сесія'!P159-'dod3 квітень чистий'!P153</f>
        <v>1750000</v>
      </c>
    </row>
    <row r="161" spans="1:18" ht="183" x14ac:dyDescent="0.2">
      <c r="A161" s="556" t="s">
        <v>558</v>
      </c>
      <c r="B161" s="556" t="s">
        <v>559</v>
      </c>
      <c r="C161" s="556" t="s">
        <v>490</v>
      </c>
      <c r="D161" s="556" t="s">
        <v>703</v>
      </c>
      <c r="E161" s="567">
        <f>'dod3 Квітень+Комісії+Сесія'!E160-'dod3 квітень чистий'!E154</f>
        <v>0</v>
      </c>
      <c r="F161" s="567">
        <f>'dod3 Квітень+Комісії+Сесія'!F160-'dod3 квітень чистий'!F154</f>
        <v>0</v>
      </c>
      <c r="G161" s="567">
        <f>'dod3 Квітень+Комісії+Сесія'!G160-'dod3 квітень чистий'!G154</f>
        <v>0</v>
      </c>
      <c r="H161" s="567">
        <f>'dod3 Квітень+Комісії+Сесія'!H160-'dod3 квітень чистий'!H154</f>
        <v>0</v>
      </c>
      <c r="I161" s="567">
        <f>'dod3 Квітень+Комісії+Сесія'!I160-'dod3 квітень чистий'!I154</f>
        <v>0</v>
      </c>
      <c r="J161" s="567">
        <f>'dod3 Квітень+Комісії+Сесія'!J160-'dod3 квітень чистий'!J154</f>
        <v>0</v>
      </c>
      <c r="K161" s="567">
        <f>'dod3 Квітень+Комісії+Сесія'!K160-'dod3 квітень чистий'!K154</f>
        <v>0</v>
      </c>
      <c r="L161" s="567">
        <f>'dod3 Квітень+Комісії+Сесія'!L160-'dod3 квітень чистий'!L154</f>
        <v>0</v>
      </c>
      <c r="M161" s="567">
        <f>'dod3 Квітень+Комісії+Сесія'!M160-'dod3 квітень чистий'!M154</f>
        <v>0</v>
      </c>
      <c r="N161" s="567">
        <f>'dod3 Квітень+Комісії+Сесія'!N160-'dod3 квітень чистий'!N154</f>
        <v>0</v>
      </c>
      <c r="O161" s="567">
        <f>'dod3 Квітень+Комісії+Сесія'!O160-'dod3 квітень чистий'!O154</f>
        <v>0</v>
      </c>
      <c r="P161" s="567">
        <f>'dod3 Квітень+Комісії+Сесія'!P160-'dod3 квітень чистий'!P154</f>
        <v>0</v>
      </c>
    </row>
    <row r="162" spans="1:18" ht="91.5" x14ac:dyDescent="0.2">
      <c r="A162" s="556" t="s">
        <v>488</v>
      </c>
      <c r="B162" s="556" t="s">
        <v>489</v>
      </c>
      <c r="C162" s="556" t="s">
        <v>490</v>
      </c>
      <c r="D162" s="556" t="s">
        <v>487</v>
      </c>
      <c r="E162" s="567">
        <f>'dod3 Квітень+Комісії+Сесія'!E161-'dod3 квітень чистий'!E155</f>
        <v>0</v>
      </c>
      <c r="F162" s="567">
        <f>'dod3 Квітень+Комісії+Сесія'!F161-'dod3 квітень чистий'!F155</f>
        <v>0</v>
      </c>
      <c r="G162" s="567">
        <f>'dod3 Квітень+Комісії+Сесія'!G161-'dod3 квітень чистий'!G155</f>
        <v>0</v>
      </c>
      <c r="H162" s="567">
        <f>'dod3 Квітень+Комісії+Сесія'!H161-'dod3 квітень чистий'!H155</f>
        <v>0</v>
      </c>
      <c r="I162" s="567">
        <f>'dod3 Квітень+Комісії+Сесія'!I161-'dod3 квітень чистий'!I155</f>
        <v>0</v>
      </c>
      <c r="J162" s="567">
        <f>'dod3 Квітень+Комісії+Сесія'!J161-'dod3 квітень чистий'!J155</f>
        <v>0</v>
      </c>
      <c r="K162" s="567">
        <f>'dod3 Квітень+Комісії+Сесія'!K161-'dod3 квітень чистий'!K155</f>
        <v>0</v>
      </c>
      <c r="L162" s="567">
        <f>'dod3 Квітень+Комісії+Сесія'!L161-'dod3 квітень чистий'!L155</f>
        <v>0</v>
      </c>
      <c r="M162" s="567">
        <f>'dod3 Квітень+Комісії+Сесія'!M161-'dod3 квітень чистий'!M155</f>
        <v>0</v>
      </c>
      <c r="N162" s="567">
        <f>'dod3 Квітень+Комісії+Сесія'!N161-'dod3 квітень чистий'!N155</f>
        <v>0</v>
      </c>
      <c r="O162" s="567">
        <f>'dod3 Квітень+Комісії+Сесія'!O161-'dod3 квітень чистий'!O155</f>
        <v>0</v>
      </c>
      <c r="P162" s="567">
        <f>'dod3 Квітень+Комісії+Сесія'!P161-'dod3 квітень чистий'!P155</f>
        <v>0</v>
      </c>
    </row>
    <row r="163" spans="1:18" ht="315" x14ac:dyDescent="0.2">
      <c r="A163" s="433" t="s">
        <v>69</v>
      </c>
      <c r="B163" s="433"/>
      <c r="C163" s="433"/>
      <c r="D163" s="433" t="s">
        <v>933</v>
      </c>
      <c r="E163" s="440">
        <f>E164</f>
        <v>0</v>
      </c>
      <c r="F163" s="440">
        <f t="shared" ref="F163:P163" si="20">F164</f>
        <v>0</v>
      </c>
      <c r="G163" s="440">
        <f t="shared" si="20"/>
        <v>0</v>
      </c>
      <c r="H163" s="440">
        <f t="shared" si="20"/>
        <v>0</v>
      </c>
      <c r="I163" s="440">
        <f t="shared" si="20"/>
        <v>0</v>
      </c>
      <c r="J163" s="440">
        <f t="shared" si="20"/>
        <v>32000000</v>
      </c>
      <c r="K163" s="440">
        <f t="shared" si="20"/>
        <v>0</v>
      </c>
      <c r="L163" s="440">
        <f t="shared" si="20"/>
        <v>0</v>
      </c>
      <c r="M163" s="440">
        <f t="shared" si="20"/>
        <v>0</v>
      </c>
      <c r="N163" s="440">
        <f t="shared" si="20"/>
        <v>32000000</v>
      </c>
      <c r="O163" s="439">
        <f>O164</f>
        <v>32000000</v>
      </c>
      <c r="P163" s="440">
        <f t="shared" si="20"/>
        <v>32000000</v>
      </c>
    </row>
    <row r="164" spans="1:18" ht="270" x14ac:dyDescent="0.2">
      <c r="A164" s="437" t="s">
        <v>70</v>
      </c>
      <c r="B164" s="437"/>
      <c r="C164" s="437"/>
      <c r="D164" s="437" t="s">
        <v>932</v>
      </c>
      <c r="E164" s="439">
        <f>E165+E168+E169</f>
        <v>0</v>
      </c>
      <c r="F164" s="440">
        <f t="shared" ref="F164:I164" si="21">F165+F168+F169</f>
        <v>0</v>
      </c>
      <c r="G164" s="439">
        <f t="shared" si="21"/>
        <v>0</v>
      </c>
      <c r="H164" s="439">
        <f t="shared" si="21"/>
        <v>0</v>
      </c>
      <c r="I164" s="440">
        <f t="shared" si="21"/>
        <v>0</v>
      </c>
      <c r="J164" s="439">
        <f t="shared" ref="J164" si="22">K164+N164</f>
        <v>32000000</v>
      </c>
      <c r="K164" s="440">
        <f t="shared" ref="K164:O164" si="23">K165+K168+K169</f>
        <v>0</v>
      </c>
      <c r="L164" s="439">
        <f t="shared" si="23"/>
        <v>0</v>
      </c>
      <c r="M164" s="439">
        <f t="shared" si="23"/>
        <v>0</v>
      </c>
      <c r="N164" s="440">
        <f t="shared" si="23"/>
        <v>32000000</v>
      </c>
      <c r="O164" s="439">
        <f t="shared" si="23"/>
        <v>32000000</v>
      </c>
      <c r="P164" s="439">
        <f t="shared" ref="P164" si="24">+J164+E164</f>
        <v>32000000</v>
      </c>
      <c r="Q164" s="311" t="b">
        <f>P164=P166+P167+P168+P169</f>
        <v>1</v>
      </c>
      <c r="R164" s="325"/>
    </row>
    <row r="165" spans="1:18" ht="137.25" x14ac:dyDescent="0.2">
      <c r="A165" s="556" t="s">
        <v>599</v>
      </c>
      <c r="B165" s="556" t="s">
        <v>600</v>
      </c>
      <c r="C165" s="556"/>
      <c r="D165" s="556" t="s">
        <v>598</v>
      </c>
      <c r="E165" s="179">
        <f>'dod3 Квітень+Комісії+Сесія'!E164-'dod3 квітень чистий'!E158</f>
        <v>0</v>
      </c>
      <c r="F165" s="179">
        <f>'dod3 Квітень+Комісії+Сесія'!F164-'dod3 квітень чистий'!F158</f>
        <v>0</v>
      </c>
      <c r="G165" s="179">
        <f>'dod3 Квітень+Комісії+Сесія'!G164-'dod3 квітень чистий'!G158</f>
        <v>0</v>
      </c>
      <c r="H165" s="179">
        <f>'dod3 Квітень+Комісії+Сесія'!H164-'dod3 квітень чистий'!H158</f>
        <v>0</v>
      </c>
      <c r="I165" s="179">
        <f>'dod3 Квітень+Комісії+Сесія'!I164-'dod3 квітень чистий'!I158</f>
        <v>0</v>
      </c>
      <c r="J165" s="179">
        <f>'dod3 Квітень+Комісії+Сесія'!J164-'dod3 квітень чистий'!J158</f>
        <v>32000000</v>
      </c>
      <c r="K165" s="179">
        <f>'dod3 Квітень+Комісії+Сесія'!K164-'dod3 квітень чистий'!K158</f>
        <v>0</v>
      </c>
      <c r="L165" s="179">
        <f>'dod3 Квітень+Комісії+Сесія'!L164-'dod3 квітень чистий'!L158</f>
        <v>0</v>
      </c>
      <c r="M165" s="179">
        <f>'dod3 Квітень+Комісії+Сесія'!M164-'dod3 квітень чистий'!M158</f>
        <v>0</v>
      </c>
      <c r="N165" s="179">
        <f>'dod3 Квітень+Комісії+Сесія'!N164-'dod3 квітень чистий'!N158</f>
        <v>32000000</v>
      </c>
      <c r="O165" s="179">
        <f>'dod3 Квітень+Комісії+Сесія'!O164-'dod3 квітень чистий'!O158</f>
        <v>32000000</v>
      </c>
      <c r="P165" s="179">
        <f>'dod3 Квітень+Комісії+Сесія'!P164-'dod3 квітень чистий'!P158</f>
        <v>32000000</v>
      </c>
    </row>
    <row r="166" spans="1:18" ht="91.5" x14ac:dyDescent="0.2">
      <c r="A166" s="553" t="s">
        <v>602</v>
      </c>
      <c r="B166" s="553" t="s">
        <v>603</v>
      </c>
      <c r="C166" s="553" t="s">
        <v>570</v>
      </c>
      <c r="D166" s="553" t="s">
        <v>601</v>
      </c>
      <c r="E166" s="179">
        <f>'dod3 Квітень+Комісії+Сесія'!E165-'dod3 квітень чистий'!E159</f>
        <v>0</v>
      </c>
      <c r="F166" s="179">
        <f>'dod3 Квітень+Комісії+Сесія'!F165-'dod3 квітень чистий'!F159</f>
        <v>0</v>
      </c>
      <c r="G166" s="179">
        <f>'dod3 Квітень+Комісії+Сесія'!G165-'dod3 квітень чистий'!G159</f>
        <v>0</v>
      </c>
      <c r="H166" s="179">
        <f>'dod3 Квітень+Комісії+Сесія'!H165-'dod3 квітень чистий'!H159</f>
        <v>0</v>
      </c>
      <c r="I166" s="179">
        <f>'dod3 Квітень+Комісії+Сесія'!I165-'dod3 квітень чистий'!I159</f>
        <v>0</v>
      </c>
      <c r="J166" s="179">
        <f>'dod3 Квітень+Комісії+Сесія'!J165-'dod3 квітень чистий'!J159</f>
        <v>5000000</v>
      </c>
      <c r="K166" s="179">
        <f>'dod3 Квітень+Комісії+Сесія'!K165-'dod3 квітень чистий'!K159</f>
        <v>0</v>
      </c>
      <c r="L166" s="179">
        <f>'dod3 Квітень+Комісії+Сесія'!L165-'dod3 квітень чистий'!L159</f>
        <v>0</v>
      </c>
      <c r="M166" s="179">
        <f>'dod3 Квітень+Комісії+Сесія'!M165-'dod3 квітень чистий'!M159</f>
        <v>0</v>
      </c>
      <c r="N166" s="179">
        <f>'dod3 Квітень+Комісії+Сесія'!N165-'dod3 квітень чистий'!N159</f>
        <v>5000000</v>
      </c>
      <c r="O166" s="179">
        <f>'dod3 Квітень+Комісії+Сесія'!O165-'dod3 квітень чистий'!O159</f>
        <v>5000000</v>
      </c>
      <c r="P166" s="179">
        <f>'dod3 Квітень+Комісії+Сесія'!P165-'dod3 квітень чистий'!P159</f>
        <v>5000000</v>
      </c>
    </row>
    <row r="167" spans="1:18" ht="137.25" x14ac:dyDescent="0.2">
      <c r="A167" s="553" t="s">
        <v>604</v>
      </c>
      <c r="B167" s="553" t="s">
        <v>605</v>
      </c>
      <c r="C167" s="553" t="s">
        <v>570</v>
      </c>
      <c r="D167" s="553" t="s">
        <v>606</v>
      </c>
      <c r="E167" s="179">
        <f>'dod3 Квітень+Комісії+Сесія'!E166-'dod3 квітень чистий'!E160</f>
        <v>0</v>
      </c>
      <c r="F167" s="179">
        <f>'dod3 Квітень+Комісії+Сесія'!F166-'dod3 квітень чистий'!F160</f>
        <v>0</v>
      </c>
      <c r="G167" s="179">
        <f>'dod3 Квітень+Комісії+Сесія'!G166-'dod3 квітень чистий'!G160</f>
        <v>0</v>
      </c>
      <c r="H167" s="179">
        <f>'dod3 Квітень+Комісії+Сесія'!H166-'dod3 квітень чистий'!H160</f>
        <v>0</v>
      </c>
      <c r="I167" s="179">
        <f>'dod3 Квітень+Комісії+Сесія'!I166-'dod3 квітень чистий'!I160</f>
        <v>0</v>
      </c>
      <c r="J167" s="179">
        <f>'dod3 Квітень+Комісії+Сесія'!J166-'dod3 квітень чистий'!J160</f>
        <v>27000000</v>
      </c>
      <c r="K167" s="179">
        <f>'dod3 Квітень+Комісії+Сесія'!K166-'dod3 квітень чистий'!K160</f>
        <v>0</v>
      </c>
      <c r="L167" s="179">
        <f>'dod3 Квітень+Комісії+Сесія'!L166-'dod3 квітень чистий'!L160</f>
        <v>0</v>
      </c>
      <c r="M167" s="179">
        <f>'dod3 Квітень+Комісії+Сесія'!M166-'dod3 квітень чистий'!M160</f>
        <v>0</v>
      </c>
      <c r="N167" s="179">
        <f>'dod3 Квітень+Комісії+Сесія'!N166-'dod3 квітень чистий'!N160</f>
        <v>27000000</v>
      </c>
      <c r="O167" s="179">
        <f>'dod3 Квітень+Комісії+Сесія'!O166-'dod3 квітень чистий'!O160</f>
        <v>27000000</v>
      </c>
      <c r="P167" s="179">
        <f>'dod3 Квітень+Комісії+Сесія'!P166-'dod3 квітень чистий'!P160</f>
        <v>27000000</v>
      </c>
    </row>
    <row r="168" spans="1:18" ht="183" x14ac:dyDescent="0.2">
      <c r="A168" s="556" t="s">
        <v>608</v>
      </c>
      <c r="B168" s="556" t="s">
        <v>609</v>
      </c>
      <c r="C168" s="556" t="s">
        <v>570</v>
      </c>
      <c r="D168" s="556" t="s">
        <v>607</v>
      </c>
      <c r="E168" s="179">
        <f>'dod3 Квітень+Комісії+Сесія'!E167-'dod3 квітень чистий'!E161</f>
        <v>0</v>
      </c>
      <c r="F168" s="179">
        <f>'dod3 Квітень+Комісії+Сесія'!F167-'dod3 квітень чистий'!F161</f>
        <v>0</v>
      </c>
      <c r="G168" s="179">
        <f>'dod3 Квітень+Комісії+Сесія'!G167-'dod3 квітень чистий'!G161</f>
        <v>0</v>
      </c>
      <c r="H168" s="179">
        <f>'dod3 Квітень+Комісії+Сесія'!H167-'dod3 квітень чистий'!H161</f>
        <v>0</v>
      </c>
      <c r="I168" s="179">
        <f>'dod3 Квітень+Комісії+Сесія'!I167-'dod3 квітень чистий'!I161</f>
        <v>0</v>
      </c>
      <c r="J168" s="179">
        <f>'dod3 Квітень+Комісії+Сесія'!J167-'dod3 квітень чистий'!J161</f>
        <v>0</v>
      </c>
      <c r="K168" s="179">
        <f>'dod3 Квітень+Комісії+Сесія'!K167-'dod3 квітень чистий'!K161</f>
        <v>0</v>
      </c>
      <c r="L168" s="179">
        <f>'dod3 Квітень+Комісії+Сесія'!L167-'dod3 квітень чистий'!L161</f>
        <v>0</v>
      </c>
      <c r="M168" s="179">
        <f>'dod3 Квітень+Комісії+Сесія'!M167-'dod3 квітень чистий'!M161</f>
        <v>0</v>
      </c>
      <c r="N168" s="179">
        <f>'dod3 Квітень+Комісії+Сесія'!N167-'dod3 квітень чистий'!N161</f>
        <v>0</v>
      </c>
      <c r="O168" s="179">
        <f>'dod3 Квітень+Комісії+Сесія'!O167-'dod3 квітень чистий'!O161</f>
        <v>0</v>
      </c>
      <c r="P168" s="179">
        <f>'dod3 Квітень+Комісії+Сесія'!P167-'dod3 квітень чистий'!P161</f>
        <v>0</v>
      </c>
    </row>
    <row r="169" spans="1:18" ht="91.5" x14ac:dyDescent="0.2">
      <c r="A169" s="556" t="s">
        <v>610</v>
      </c>
      <c r="B169" s="556" t="s">
        <v>373</v>
      </c>
      <c r="C169" s="556" t="s">
        <v>324</v>
      </c>
      <c r="D169" s="556" t="s">
        <v>89</v>
      </c>
      <c r="E169" s="179">
        <f>'dod3 Квітень+Комісії+Сесія'!E168-'dod3 квітень чистий'!E162</f>
        <v>0</v>
      </c>
      <c r="F169" s="179">
        <f>'dod3 Квітень+Комісії+Сесія'!F168-'dod3 квітень чистий'!F162</f>
        <v>0</v>
      </c>
      <c r="G169" s="179">
        <f>'dod3 Квітень+Комісії+Сесія'!G168-'dod3 квітень чистий'!G162</f>
        <v>0</v>
      </c>
      <c r="H169" s="179">
        <f>'dod3 Квітень+Комісії+Сесія'!H168-'dod3 квітень чистий'!H162</f>
        <v>0</v>
      </c>
      <c r="I169" s="179">
        <f>'dod3 Квітень+Комісії+Сесія'!I168-'dod3 квітень чистий'!I162</f>
        <v>0</v>
      </c>
      <c r="J169" s="179">
        <f>'dod3 Квітень+Комісії+Сесія'!J168-'dod3 квітень чистий'!J162</f>
        <v>0</v>
      </c>
      <c r="K169" s="179">
        <f>'dod3 Квітень+Комісії+Сесія'!K168-'dod3 квітень чистий'!K162</f>
        <v>0</v>
      </c>
      <c r="L169" s="179">
        <f>'dod3 Квітень+Комісії+Сесія'!L168-'dod3 квітень чистий'!L162</f>
        <v>0</v>
      </c>
      <c r="M169" s="179">
        <f>'dod3 Квітень+Комісії+Сесія'!M168-'dod3 квітень чистий'!M162</f>
        <v>0</v>
      </c>
      <c r="N169" s="179">
        <f>'dod3 Квітень+Комісії+Сесія'!N168-'dod3 квітень чистий'!N162</f>
        <v>0</v>
      </c>
      <c r="O169" s="179">
        <f>'dod3 Квітень+Комісії+Сесія'!O168-'dod3 квітень чистий'!O162</f>
        <v>0</v>
      </c>
      <c r="P169" s="179">
        <f>'dod3 Квітень+Комісії+Сесія'!P168-'dod3 квітень чистий'!P162</f>
        <v>0</v>
      </c>
    </row>
    <row r="170" spans="1:18" ht="270" x14ac:dyDescent="0.2">
      <c r="A170" s="433" t="s">
        <v>314</v>
      </c>
      <c r="B170" s="433"/>
      <c r="C170" s="433"/>
      <c r="D170" s="433" t="s">
        <v>71</v>
      </c>
      <c r="E170" s="440">
        <f>E171</f>
        <v>0</v>
      </c>
      <c r="F170" s="440">
        <f t="shared" ref="F170:P171" si="25">F171</f>
        <v>0</v>
      </c>
      <c r="G170" s="440">
        <f t="shared" si="25"/>
        <v>0</v>
      </c>
      <c r="H170" s="440">
        <f t="shared" si="25"/>
        <v>0</v>
      </c>
      <c r="I170" s="440">
        <f t="shared" si="25"/>
        <v>0</v>
      </c>
      <c r="J170" s="440">
        <f t="shared" si="25"/>
        <v>0</v>
      </c>
      <c r="K170" s="440">
        <f t="shared" si="25"/>
        <v>0</v>
      </c>
      <c r="L170" s="440">
        <f t="shared" si="25"/>
        <v>0</v>
      </c>
      <c r="M170" s="440">
        <f t="shared" si="25"/>
        <v>0</v>
      </c>
      <c r="N170" s="440">
        <f t="shared" si="25"/>
        <v>0</v>
      </c>
      <c r="O170" s="439">
        <f t="shared" si="25"/>
        <v>0</v>
      </c>
      <c r="P170" s="440">
        <f t="shared" si="25"/>
        <v>0</v>
      </c>
    </row>
    <row r="171" spans="1:18" ht="270" x14ac:dyDescent="0.2">
      <c r="A171" s="437" t="s">
        <v>315</v>
      </c>
      <c r="B171" s="437"/>
      <c r="C171" s="437"/>
      <c r="D171" s="437" t="s">
        <v>96</v>
      </c>
      <c r="E171" s="439">
        <f>E172</f>
        <v>0</v>
      </c>
      <c r="F171" s="440">
        <f>E171</f>
        <v>0</v>
      </c>
      <c r="G171" s="439">
        <f t="shared" si="25"/>
        <v>0</v>
      </c>
      <c r="H171" s="439">
        <f t="shared" si="25"/>
        <v>0</v>
      </c>
      <c r="I171" s="440">
        <f t="shared" si="25"/>
        <v>0</v>
      </c>
      <c r="J171" s="439">
        <f>K171+N171</f>
        <v>0</v>
      </c>
      <c r="K171" s="440">
        <f t="shared" si="25"/>
        <v>0</v>
      </c>
      <c r="L171" s="439">
        <f t="shared" si="25"/>
        <v>0</v>
      </c>
      <c r="M171" s="439">
        <f>M172</f>
        <v>0</v>
      </c>
      <c r="N171" s="440">
        <f>N172</f>
        <v>0</v>
      </c>
      <c r="O171" s="439">
        <f>O172</f>
        <v>0</v>
      </c>
      <c r="P171" s="439">
        <f>+J171+E171</f>
        <v>0</v>
      </c>
      <c r="Q171" s="311" t="b">
        <f>P171=P172</f>
        <v>1</v>
      </c>
      <c r="R171" s="325"/>
    </row>
    <row r="172" spans="1:18" ht="137.25" x14ac:dyDescent="0.2">
      <c r="A172" s="556" t="s">
        <v>580</v>
      </c>
      <c r="B172" s="556" t="s">
        <v>581</v>
      </c>
      <c r="C172" s="556" t="s">
        <v>570</v>
      </c>
      <c r="D172" s="556" t="s">
        <v>582</v>
      </c>
      <c r="E172" s="567">
        <f>'dod3 Квітень+Комісії+Сесія'!E171-'dod3 квітень чистий'!E165</f>
        <v>0</v>
      </c>
      <c r="F172" s="567">
        <f>'dod3 Квітень+Комісії+Сесія'!F171-'dod3 квітень чистий'!F165</f>
        <v>0</v>
      </c>
      <c r="G172" s="567">
        <f>'dod3 Квітень+Комісії+Сесія'!G171-'dod3 квітень чистий'!G165</f>
        <v>0</v>
      </c>
      <c r="H172" s="567">
        <f>'dod3 Квітень+Комісії+Сесія'!H171-'dod3 квітень чистий'!H165</f>
        <v>0</v>
      </c>
      <c r="I172" s="567">
        <f>'dod3 Квітень+Комісії+Сесія'!I171-'dod3 квітень чистий'!I165</f>
        <v>0</v>
      </c>
      <c r="J172" s="567">
        <f>'dod3 Квітень+Комісії+Сесія'!J171-'dod3 квітень чистий'!J165</f>
        <v>0</v>
      </c>
      <c r="K172" s="567">
        <f>'dod3 Квітень+Комісії+Сесія'!K171-'dod3 квітень чистий'!K165</f>
        <v>0</v>
      </c>
      <c r="L172" s="567">
        <f>'dod3 Квітень+Комісії+Сесія'!L171-'dod3 квітень чистий'!L165</f>
        <v>0</v>
      </c>
      <c r="M172" s="567">
        <f>'dod3 Квітень+Комісії+Сесія'!M171-'dod3 квітень чистий'!M165</f>
        <v>0</v>
      </c>
      <c r="N172" s="567">
        <f>'dod3 Квітень+Комісії+Сесія'!N171-'dod3 квітень чистий'!N165</f>
        <v>0</v>
      </c>
      <c r="O172" s="567">
        <f>'dod3 Квітень+Комісії+Сесія'!O171-'dod3 квітень чистий'!O165</f>
        <v>0</v>
      </c>
      <c r="P172" s="567">
        <f>'dod3 Квітень+Комісії+Сесія'!P171-'dod3 квітень чистий'!P165</f>
        <v>0</v>
      </c>
    </row>
    <row r="173" spans="1:18" ht="135" x14ac:dyDescent="0.2">
      <c r="A173" s="433" t="s">
        <v>320</v>
      </c>
      <c r="B173" s="433"/>
      <c r="C173" s="433"/>
      <c r="D173" s="433" t="s">
        <v>764</v>
      </c>
      <c r="E173" s="440">
        <f>E174</f>
        <v>0</v>
      </c>
      <c r="F173" s="440">
        <f t="shared" ref="F173:P173" si="26">F174</f>
        <v>0</v>
      </c>
      <c r="G173" s="440">
        <f t="shared" si="26"/>
        <v>0</v>
      </c>
      <c r="H173" s="440">
        <f t="shared" si="26"/>
        <v>0</v>
      </c>
      <c r="I173" s="440">
        <f t="shared" si="26"/>
        <v>0</v>
      </c>
      <c r="J173" s="440">
        <f t="shared" si="26"/>
        <v>0</v>
      </c>
      <c r="K173" s="440">
        <f t="shared" si="26"/>
        <v>0</v>
      </c>
      <c r="L173" s="440">
        <f t="shared" si="26"/>
        <v>0</v>
      </c>
      <c r="M173" s="440">
        <f t="shared" si="26"/>
        <v>0</v>
      </c>
      <c r="N173" s="440">
        <f t="shared" si="26"/>
        <v>0</v>
      </c>
      <c r="O173" s="439">
        <f t="shared" si="26"/>
        <v>0</v>
      </c>
      <c r="P173" s="440">
        <f t="shared" si="26"/>
        <v>0</v>
      </c>
    </row>
    <row r="174" spans="1:18" ht="135" x14ac:dyDescent="0.2">
      <c r="A174" s="437" t="s">
        <v>321</v>
      </c>
      <c r="B174" s="437"/>
      <c r="C174" s="437"/>
      <c r="D174" s="437" t="s">
        <v>765</v>
      </c>
      <c r="E174" s="439">
        <f>SUM(E175:E178)</f>
        <v>0</v>
      </c>
      <c r="F174" s="440">
        <f t="shared" ref="F174:I174" si="27">SUM(F175:F178)</f>
        <v>0</v>
      </c>
      <c r="G174" s="440">
        <f t="shared" si="27"/>
        <v>0</v>
      </c>
      <c r="H174" s="440">
        <f t="shared" si="27"/>
        <v>0</v>
      </c>
      <c r="I174" s="440">
        <f t="shared" si="27"/>
        <v>0</v>
      </c>
      <c r="J174" s="439">
        <f>K174+N174</f>
        <v>0</v>
      </c>
      <c r="K174" s="440">
        <f>SUM(K175:K178)</f>
        <v>0</v>
      </c>
      <c r="L174" s="439">
        <f t="shared" ref="L174:M174" si="28">SUM(L175:L178)</f>
        <v>0</v>
      </c>
      <c r="M174" s="439">
        <f t="shared" si="28"/>
        <v>0</v>
      </c>
      <c r="N174" s="440">
        <f>SUM(N175:N178)</f>
        <v>0</v>
      </c>
      <c r="O174" s="439">
        <f>SUM(O175:O178)</f>
        <v>0</v>
      </c>
      <c r="P174" s="439">
        <f>E174+J174</f>
        <v>0</v>
      </c>
      <c r="Q174" s="311" t="b">
        <f>P174=P175+P176+P177+P179</f>
        <v>1</v>
      </c>
      <c r="R174" s="325"/>
    </row>
    <row r="175" spans="1:18" ht="137.25" x14ac:dyDescent="0.2">
      <c r="A175" s="556" t="s">
        <v>755</v>
      </c>
      <c r="B175" s="556" t="s">
        <v>756</v>
      </c>
      <c r="C175" s="556" t="s">
        <v>324</v>
      </c>
      <c r="D175" s="556" t="s">
        <v>502</v>
      </c>
      <c r="E175" s="567">
        <f>'dod3 Квітень+Комісії+Сесія'!E174-'dod3 квітень чистий'!E168</f>
        <v>0</v>
      </c>
      <c r="F175" s="567">
        <f>'dod3 Квітень+Комісії+Сесія'!F174-'dod3 квітень чистий'!F168</f>
        <v>0</v>
      </c>
      <c r="G175" s="567">
        <f>'dod3 Квітень+Комісії+Сесія'!G174-'dod3 квітень чистий'!G168</f>
        <v>0</v>
      </c>
      <c r="H175" s="567">
        <f>'dod3 Квітень+Комісії+Сесія'!H174-'dod3 квітень чистий'!H168</f>
        <v>0</v>
      </c>
      <c r="I175" s="567">
        <f>'dod3 Квітень+Комісії+Сесія'!I174-'dod3 квітень чистий'!I168</f>
        <v>0</v>
      </c>
      <c r="J175" s="567">
        <f>'dod3 Квітень+Комісії+Сесія'!J174-'dod3 квітень чистий'!J168</f>
        <v>0</v>
      </c>
      <c r="K175" s="567">
        <f>'dod3 Квітень+Комісії+Сесія'!K174-'dod3 квітень чистий'!K168</f>
        <v>0</v>
      </c>
      <c r="L175" s="567">
        <f>'dod3 Квітень+Комісії+Сесія'!L174-'dod3 квітень чистий'!L168</f>
        <v>0</v>
      </c>
      <c r="M175" s="567">
        <f>'dod3 Квітень+Комісії+Сесія'!M174-'dod3 квітень чистий'!M168</f>
        <v>0</v>
      </c>
      <c r="N175" s="567">
        <f>'dod3 Квітень+Комісії+Сесія'!N174-'dod3 квітень чистий'!N168</f>
        <v>0</v>
      </c>
      <c r="O175" s="567">
        <f>'dod3 Квітень+Комісії+Сесія'!O174-'dod3 квітень чистий'!O168</f>
        <v>0</v>
      </c>
      <c r="P175" s="567">
        <f>'dod3 Квітень+Комісії+Сесія'!P174-'dod3 квітень чистий'!P168</f>
        <v>0</v>
      </c>
    </row>
    <row r="176" spans="1:18" ht="91.5" x14ac:dyDescent="0.2">
      <c r="A176" s="556" t="s">
        <v>500</v>
      </c>
      <c r="B176" s="556" t="s">
        <v>501</v>
      </c>
      <c r="C176" s="556" t="s">
        <v>499</v>
      </c>
      <c r="D176" s="556" t="s">
        <v>498</v>
      </c>
      <c r="E176" s="567">
        <f>'dod3 Квітень+Комісії+Сесія'!E175-'dod3 квітень чистий'!E169</f>
        <v>0</v>
      </c>
      <c r="F176" s="567">
        <f>'dod3 Квітень+Комісії+Сесія'!F175-'dod3 квітень чистий'!F169</f>
        <v>0</v>
      </c>
      <c r="G176" s="567">
        <f>'dod3 Квітень+Комісії+Сесія'!G175-'dod3 квітень чистий'!G169</f>
        <v>0</v>
      </c>
      <c r="H176" s="567">
        <f>'dod3 Квітень+Комісії+Сесія'!H175-'dod3 квітень чистий'!H169</f>
        <v>0</v>
      </c>
      <c r="I176" s="567">
        <f>'dod3 Квітень+Комісії+Сесія'!I175-'dod3 квітень чистий'!I169</f>
        <v>0</v>
      </c>
      <c r="J176" s="567">
        <f>'dod3 Квітень+Комісії+Сесія'!J175-'dod3 квітень чистий'!J169</f>
        <v>0</v>
      </c>
      <c r="K176" s="567">
        <f>'dod3 Квітень+Комісії+Сесія'!K175-'dod3 квітень чистий'!K169</f>
        <v>0</v>
      </c>
      <c r="L176" s="567">
        <f>'dod3 Квітень+Комісії+Сесія'!L175-'dod3 квітень чистий'!L169</f>
        <v>0</v>
      </c>
      <c r="M176" s="567">
        <f>'dod3 Квітень+Комісії+Сесія'!M175-'dod3 квітень чистий'!M169</f>
        <v>0</v>
      </c>
      <c r="N176" s="567">
        <f>'dod3 Квітень+Комісії+Сесія'!N175-'dod3 квітень чистий'!N169</f>
        <v>0</v>
      </c>
      <c r="O176" s="567">
        <f>'dod3 Квітень+Комісії+Сесія'!O175-'dod3 квітень чистий'!O169</f>
        <v>0</v>
      </c>
      <c r="P176" s="567">
        <f>'dod3 Квітень+Комісії+Сесія'!P175-'dod3 квітень чистий'!P169</f>
        <v>0</v>
      </c>
    </row>
    <row r="177" spans="1:18" ht="137.25" x14ac:dyDescent="0.2">
      <c r="A177" s="556" t="s">
        <v>491</v>
      </c>
      <c r="B177" s="556" t="s">
        <v>493</v>
      </c>
      <c r="C177" s="556" t="s">
        <v>404</v>
      </c>
      <c r="D177" s="556" t="s">
        <v>492</v>
      </c>
      <c r="E177" s="567">
        <f>'dod3 Квітень+Комісії+Сесія'!E176-'dod3 квітень чистий'!E170</f>
        <v>0</v>
      </c>
      <c r="F177" s="567">
        <f>'dod3 Квітень+Комісії+Сесія'!F176-'dod3 квітень чистий'!F170</f>
        <v>0</v>
      </c>
      <c r="G177" s="567">
        <f>'dod3 Квітень+Комісії+Сесія'!G176-'dod3 квітень чистий'!G170</f>
        <v>0</v>
      </c>
      <c r="H177" s="567">
        <f>'dod3 Квітень+Комісії+Сесія'!H176-'dod3 квітень чистий'!H170</f>
        <v>0</v>
      </c>
      <c r="I177" s="567">
        <f>'dod3 Квітень+Комісії+Сесія'!I176-'dod3 квітень чистий'!I170</f>
        <v>0</v>
      </c>
      <c r="J177" s="567">
        <f>'dod3 Квітень+Комісії+Сесія'!J176-'dod3 квітень чистий'!J170</f>
        <v>0</v>
      </c>
      <c r="K177" s="567">
        <f>'dod3 Квітень+Комісії+Сесія'!K176-'dod3 квітень чистий'!K170</f>
        <v>0</v>
      </c>
      <c r="L177" s="567">
        <f>'dod3 Квітень+Комісії+Сесія'!L176-'dod3 квітень чистий'!L170</f>
        <v>0</v>
      </c>
      <c r="M177" s="567">
        <f>'dod3 Квітень+Комісії+Сесія'!M176-'dod3 квітень чистий'!M170</f>
        <v>0</v>
      </c>
      <c r="N177" s="567">
        <f>'dod3 Квітень+Комісії+Сесія'!N176-'dod3 квітень чистий'!N170</f>
        <v>0</v>
      </c>
      <c r="O177" s="567">
        <f>'dod3 Квітень+Комісії+Сесія'!O176-'dod3 квітень чистий'!O170</f>
        <v>0</v>
      </c>
      <c r="P177" s="567">
        <f>'dod3 Квітень+Комісії+Сесія'!P176-'dod3 квітень чистий'!P170</f>
        <v>0</v>
      </c>
    </row>
    <row r="178" spans="1:18" ht="46.5" x14ac:dyDescent="0.2">
      <c r="A178" s="556" t="s">
        <v>495</v>
      </c>
      <c r="B178" s="556" t="s">
        <v>449</v>
      </c>
      <c r="C178" s="556" t="s">
        <v>324</v>
      </c>
      <c r="D178" s="556" t="s">
        <v>447</v>
      </c>
      <c r="E178" s="567">
        <f>'dod3 Квітень+Комісії+Сесія'!E177-'dod3 квітень чистий'!E171</f>
        <v>0</v>
      </c>
      <c r="F178" s="567">
        <f>'dod3 Квітень+Комісії+Сесія'!F177-'dod3 квітень чистий'!F171</f>
        <v>0</v>
      </c>
      <c r="G178" s="567">
        <f>'dod3 Квітень+Комісії+Сесія'!G177-'dod3 квітень чистий'!G171</f>
        <v>0</v>
      </c>
      <c r="H178" s="567">
        <f>'dod3 Квітень+Комісії+Сесія'!H177-'dod3 квітень чистий'!H171</f>
        <v>0</v>
      </c>
      <c r="I178" s="567">
        <f>'dod3 Квітень+Комісії+Сесія'!I177-'dod3 квітень чистий'!I171</f>
        <v>0</v>
      </c>
      <c r="J178" s="567">
        <f>'dod3 Квітень+Комісії+Сесія'!J177-'dod3 квітень чистий'!J171</f>
        <v>0</v>
      </c>
      <c r="K178" s="567">
        <f>'dod3 Квітень+Комісії+Сесія'!K177-'dod3 квітень чистий'!K171</f>
        <v>0</v>
      </c>
      <c r="L178" s="567">
        <f>'dod3 Квітень+Комісії+Сесія'!L177-'dod3 квітень чистий'!L171</f>
        <v>0</v>
      </c>
      <c r="M178" s="567">
        <f>'dod3 Квітень+Комісії+Сесія'!M177-'dod3 квітень чистий'!M171</f>
        <v>0</v>
      </c>
      <c r="N178" s="567">
        <f>'dod3 Квітень+Комісії+Сесія'!N177-'dod3 квітень чистий'!N171</f>
        <v>0</v>
      </c>
      <c r="O178" s="567">
        <f>'dod3 Квітень+Комісії+Сесія'!O177-'dod3 квітень чистий'!O171</f>
        <v>0</v>
      </c>
      <c r="P178" s="567">
        <f>'dod3 Квітень+Комісії+Сесія'!P177-'dod3 квітень чистий'!P171</f>
        <v>0</v>
      </c>
    </row>
    <row r="179" spans="1:18" ht="91.5" x14ac:dyDescent="0.2">
      <c r="A179" s="553" t="s">
        <v>496</v>
      </c>
      <c r="B179" s="553" t="s">
        <v>497</v>
      </c>
      <c r="C179" s="553" t="s">
        <v>324</v>
      </c>
      <c r="D179" s="553" t="s">
        <v>494</v>
      </c>
      <c r="E179" s="567">
        <f>'dod3 Квітень+Комісії+Сесія'!E178-'dod3 квітень чистий'!E172</f>
        <v>0</v>
      </c>
      <c r="F179" s="567">
        <f>'dod3 Квітень+Комісії+Сесія'!F178-'dod3 квітень чистий'!F172</f>
        <v>0</v>
      </c>
      <c r="G179" s="567">
        <f>'dod3 Квітень+Комісії+Сесія'!G178-'dod3 квітень чистий'!G172</f>
        <v>0</v>
      </c>
      <c r="H179" s="567">
        <f>'dod3 Квітень+Комісії+Сесія'!H178-'dod3 квітень чистий'!H172</f>
        <v>0</v>
      </c>
      <c r="I179" s="567">
        <f>'dod3 Квітень+Комісії+Сесія'!I178-'dod3 квітень чистий'!I172</f>
        <v>0</v>
      </c>
      <c r="J179" s="567">
        <f>'dod3 Квітень+Комісії+Сесія'!J178-'dod3 квітень чистий'!J172</f>
        <v>0</v>
      </c>
      <c r="K179" s="567">
        <f>'dod3 Квітень+Комісії+Сесія'!K178-'dod3 квітень чистий'!K172</f>
        <v>0</v>
      </c>
      <c r="L179" s="567">
        <f>'dod3 Квітень+Комісії+Сесія'!L178-'dod3 квітень чистий'!L172</f>
        <v>0</v>
      </c>
      <c r="M179" s="567">
        <f>'dod3 Квітень+Комісії+Сесія'!M178-'dod3 квітень чистий'!M172</f>
        <v>0</v>
      </c>
      <c r="N179" s="567">
        <f>'dod3 Квітень+Комісії+Сесія'!N178-'dod3 квітень чистий'!N172</f>
        <v>0</v>
      </c>
      <c r="O179" s="567">
        <f>'dod3 Квітень+Комісії+Сесія'!O178-'dod3 квітень чистий'!O172</f>
        <v>0</v>
      </c>
      <c r="P179" s="567">
        <f>'dod3 Квітень+Комісії+Сесія'!P178-'dod3 квітень чистий'!P172</f>
        <v>0</v>
      </c>
    </row>
    <row r="180" spans="1:18" ht="180" x14ac:dyDescent="0.2">
      <c r="A180" s="433" t="s">
        <v>318</v>
      </c>
      <c r="B180" s="433"/>
      <c r="C180" s="433"/>
      <c r="D180" s="433" t="s">
        <v>72</v>
      </c>
      <c r="E180" s="440">
        <f>E181</f>
        <v>0</v>
      </c>
      <c r="F180" s="440">
        <f t="shared" ref="F180:P180" si="29">F181</f>
        <v>0</v>
      </c>
      <c r="G180" s="440">
        <f t="shared" si="29"/>
        <v>0</v>
      </c>
      <c r="H180" s="440">
        <f t="shared" si="29"/>
        <v>0</v>
      </c>
      <c r="I180" s="440">
        <f t="shared" si="29"/>
        <v>0</v>
      </c>
      <c r="J180" s="440">
        <f t="shared" si="29"/>
        <v>0</v>
      </c>
      <c r="K180" s="440">
        <f t="shared" si="29"/>
        <v>0</v>
      </c>
      <c r="L180" s="440">
        <f t="shared" si="29"/>
        <v>0</v>
      </c>
      <c r="M180" s="440">
        <f t="shared" si="29"/>
        <v>0</v>
      </c>
      <c r="N180" s="440">
        <f t="shared" si="29"/>
        <v>0</v>
      </c>
      <c r="O180" s="439">
        <f t="shared" si="29"/>
        <v>0</v>
      </c>
      <c r="P180" s="440">
        <f t="shared" si="29"/>
        <v>0</v>
      </c>
    </row>
    <row r="181" spans="1:18" ht="180" x14ac:dyDescent="0.2">
      <c r="A181" s="437" t="s">
        <v>319</v>
      </c>
      <c r="B181" s="437"/>
      <c r="C181" s="437"/>
      <c r="D181" s="437" t="s">
        <v>97</v>
      </c>
      <c r="E181" s="439">
        <v>0</v>
      </c>
      <c r="F181" s="440">
        <f>F185+F186+F182</f>
        <v>0</v>
      </c>
      <c r="G181" s="439">
        <f>G185+G186+G182</f>
        <v>0</v>
      </c>
      <c r="H181" s="439">
        <f>H185+H186+H182</f>
        <v>0</v>
      </c>
      <c r="I181" s="440">
        <f>I185+I186+I182</f>
        <v>0</v>
      </c>
      <c r="J181" s="439">
        <f>K181+N181</f>
        <v>0</v>
      </c>
      <c r="K181" s="440">
        <f>K185+K186+K182</f>
        <v>0</v>
      </c>
      <c r="L181" s="439">
        <f>L185+L186+L182</f>
        <v>0</v>
      </c>
      <c r="M181" s="439">
        <f>M185+M186+M182</f>
        <v>0</v>
      </c>
      <c r="N181" s="440">
        <f>N185+N186+N182</f>
        <v>0</v>
      </c>
      <c r="O181" s="439">
        <f>O185+O186+O182</f>
        <v>0</v>
      </c>
      <c r="P181" s="439">
        <f>E181+J181</f>
        <v>0</v>
      </c>
      <c r="Q181" s="311" t="b">
        <f>P181=P183+P184+P185+P186</f>
        <v>1</v>
      </c>
      <c r="R181" s="325"/>
    </row>
    <row r="182" spans="1:18" ht="137.25" x14ac:dyDescent="0.2">
      <c r="A182" s="556" t="s">
        <v>583</v>
      </c>
      <c r="B182" s="556" t="s">
        <v>584</v>
      </c>
      <c r="C182" s="556"/>
      <c r="D182" s="556" t="s">
        <v>585</v>
      </c>
      <c r="E182" s="567">
        <f>'dod3 Квітень+Комісії+Сесія'!E181-'dod3 квітень чистий'!E175</f>
        <v>0</v>
      </c>
      <c r="F182" s="567">
        <f>'dod3 Квітень+Комісії+Сесія'!F181-'dod3 квітень чистий'!F175</f>
        <v>0</v>
      </c>
      <c r="G182" s="567">
        <f>'dod3 Квітень+Комісії+Сесія'!G181-'dod3 квітень чистий'!G175</f>
        <v>0</v>
      </c>
      <c r="H182" s="567">
        <f>'dod3 Квітень+Комісії+Сесія'!H181-'dod3 квітень чистий'!H175</f>
        <v>0</v>
      </c>
      <c r="I182" s="567">
        <f>'dod3 Квітень+Комісії+Сесія'!I181-'dod3 квітень чистий'!I175</f>
        <v>0</v>
      </c>
      <c r="J182" s="567">
        <f>'dod3 Квітень+Комісії+Сесія'!J181-'dod3 квітень чистий'!J175</f>
        <v>0</v>
      </c>
      <c r="K182" s="567">
        <f>'dod3 Квітень+Комісії+Сесія'!K181-'dod3 квітень чистий'!K175</f>
        <v>0</v>
      </c>
      <c r="L182" s="567">
        <f>'dod3 Квітень+Комісії+Сесія'!L181-'dod3 квітень чистий'!L175</f>
        <v>0</v>
      </c>
      <c r="M182" s="567">
        <f>'dod3 Квітень+Комісії+Сесія'!M181-'dod3 квітень чистий'!M175</f>
        <v>0</v>
      </c>
      <c r="N182" s="567">
        <f>'dod3 Квітень+Комісії+Сесія'!N181-'dod3 квітень чистий'!N175</f>
        <v>0</v>
      </c>
      <c r="O182" s="567">
        <f>'dod3 Квітень+Комісії+Сесія'!O181-'dod3 квітень чистий'!O175</f>
        <v>0</v>
      </c>
      <c r="P182" s="567">
        <f>'dod3 Квітень+Комісії+Сесія'!P181-'dod3 квітень чистий'!P175</f>
        <v>0</v>
      </c>
    </row>
    <row r="183" spans="1:18" ht="137.25" x14ac:dyDescent="0.2">
      <c r="A183" s="553" t="s">
        <v>586</v>
      </c>
      <c r="B183" s="553" t="s">
        <v>587</v>
      </c>
      <c r="C183" s="553" t="s">
        <v>119</v>
      </c>
      <c r="D183" s="553" t="s">
        <v>120</v>
      </c>
      <c r="E183" s="567">
        <f>'dod3 Квітень+Комісії+Сесія'!E182-'dod3 квітень чистий'!E176</f>
        <v>0</v>
      </c>
      <c r="F183" s="567">
        <f>'dod3 Квітень+Комісії+Сесія'!F182-'dod3 квітень чистий'!F176</f>
        <v>0</v>
      </c>
      <c r="G183" s="567">
        <f>'dod3 Квітень+Комісії+Сесія'!G182-'dod3 квітень чистий'!G176</f>
        <v>0</v>
      </c>
      <c r="H183" s="567">
        <f>'dod3 Квітень+Комісії+Сесія'!H182-'dod3 квітень чистий'!H176</f>
        <v>0</v>
      </c>
      <c r="I183" s="567">
        <f>'dod3 Квітень+Комісії+Сесія'!I182-'dod3 квітень чистий'!I176</f>
        <v>0</v>
      </c>
      <c r="J183" s="567">
        <f>'dod3 Квітень+Комісії+Сесія'!J182-'dod3 квітень чистий'!J176</f>
        <v>0</v>
      </c>
      <c r="K183" s="567">
        <f>'dod3 Квітень+Комісії+Сесія'!K182-'dod3 квітень чистий'!K176</f>
        <v>0</v>
      </c>
      <c r="L183" s="567">
        <f>'dod3 Квітень+Комісії+Сесія'!L182-'dod3 квітень чистий'!L176</f>
        <v>0</v>
      </c>
      <c r="M183" s="567">
        <f>'dod3 Квітень+Комісії+Сесія'!M182-'dod3 квітень чистий'!M176</f>
        <v>0</v>
      </c>
      <c r="N183" s="567">
        <f>'dod3 Квітень+Комісії+Сесія'!N182-'dod3 квітень чистий'!N176</f>
        <v>0</v>
      </c>
      <c r="O183" s="567">
        <f>'dod3 Квітень+Комісії+Сесія'!O182-'dod3 квітень чистий'!O176</f>
        <v>0</v>
      </c>
      <c r="P183" s="567">
        <f>'dod3 Квітень+Комісії+Сесія'!P182-'dod3 квітень чистий'!P176</f>
        <v>0</v>
      </c>
    </row>
    <row r="184" spans="1:18" ht="46.5" x14ac:dyDescent="0.2">
      <c r="A184" s="553" t="s">
        <v>588</v>
      </c>
      <c r="B184" s="553" t="s">
        <v>589</v>
      </c>
      <c r="C184" s="553" t="s">
        <v>121</v>
      </c>
      <c r="D184" s="553" t="s">
        <v>590</v>
      </c>
      <c r="E184" s="567">
        <f>'dod3 Квітень+Комісії+Сесія'!E183-'dod3 квітень чистий'!E177</f>
        <v>0</v>
      </c>
      <c r="F184" s="567">
        <f>'dod3 Квітень+Комісії+Сесія'!F183-'dod3 квітень чистий'!F177</f>
        <v>0</v>
      </c>
      <c r="G184" s="567">
        <f>'dod3 Квітень+Комісії+Сесія'!G183-'dod3 квітень чистий'!G177</f>
        <v>0</v>
      </c>
      <c r="H184" s="567">
        <f>'dod3 Квітень+Комісії+Сесія'!H183-'dod3 квітень чистий'!H177</f>
        <v>0</v>
      </c>
      <c r="I184" s="567">
        <f>'dod3 Квітень+Комісії+Сесія'!I183-'dod3 квітень чистий'!I177</f>
        <v>0</v>
      </c>
      <c r="J184" s="567">
        <f>'dod3 Квітень+Комісії+Сесія'!J183-'dod3 квітень чистий'!J177</f>
        <v>0</v>
      </c>
      <c r="K184" s="567">
        <f>'dod3 Квітень+Комісії+Сесія'!K183-'dod3 квітень чистий'!K177</f>
        <v>0</v>
      </c>
      <c r="L184" s="567">
        <f>'dod3 Квітень+Комісії+Сесія'!L183-'dod3 квітень чистий'!L177</f>
        <v>0</v>
      </c>
      <c r="M184" s="567">
        <f>'dod3 Квітень+Комісії+Сесія'!M183-'dod3 квітень чистий'!M177</f>
        <v>0</v>
      </c>
      <c r="N184" s="567">
        <f>'dod3 Квітень+Комісії+Сесія'!N183-'dod3 квітень чистий'!N177</f>
        <v>0</v>
      </c>
      <c r="O184" s="567">
        <f>'dod3 Квітень+Комісії+Сесія'!O183-'dod3 квітень чистий'!O177</f>
        <v>0</v>
      </c>
      <c r="P184" s="567">
        <f>'dod3 Квітень+Комісії+Сесія'!P183-'dod3 квітень чистий'!P177</f>
        <v>0</v>
      </c>
    </row>
    <row r="185" spans="1:18" ht="91.5" x14ac:dyDescent="0.2">
      <c r="A185" s="556" t="s">
        <v>591</v>
      </c>
      <c r="B185" s="556" t="s">
        <v>592</v>
      </c>
      <c r="C185" s="556" t="s">
        <v>123</v>
      </c>
      <c r="D185" s="556" t="s">
        <v>130</v>
      </c>
      <c r="E185" s="567">
        <f>'dod3 Квітень+Комісії+Сесія'!E184-'dod3 квітень чистий'!E178</f>
        <v>0</v>
      </c>
      <c r="F185" s="567">
        <f>'dod3 Квітень+Комісії+Сесія'!F184-'dod3 квітень чистий'!F178</f>
        <v>0</v>
      </c>
      <c r="G185" s="567">
        <f>'dod3 Квітень+Комісії+Сесія'!G184-'dod3 квітень чистий'!G178</f>
        <v>0</v>
      </c>
      <c r="H185" s="567">
        <f>'dod3 Квітень+Комісії+Сесія'!H184-'dod3 квітень чистий'!H178</f>
        <v>0</v>
      </c>
      <c r="I185" s="567">
        <f>'dod3 Квітень+Комісії+Сесія'!I184-'dod3 квітень чистий'!I178</f>
        <v>0</v>
      </c>
      <c r="J185" s="567">
        <f>'dod3 Квітень+Комісії+Сесія'!J184-'dod3 квітень чистий'!J178</f>
        <v>0</v>
      </c>
      <c r="K185" s="567">
        <f>'dod3 Квітень+Комісії+Сесія'!K184-'dod3 квітень чистий'!K178</f>
        <v>0</v>
      </c>
      <c r="L185" s="567">
        <f>'dod3 Квітень+Комісії+Сесія'!L184-'dod3 квітень чистий'!L178</f>
        <v>0</v>
      </c>
      <c r="M185" s="567">
        <f>'dod3 Квітень+Комісії+Сесія'!M184-'dod3 квітень чистий'!M178</f>
        <v>0</v>
      </c>
      <c r="N185" s="567">
        <f>'dod3 Квітень+Комісії+Сесія'!N184-'dod3 квітень чистий'!N178</f>
        <v>0</v>
      </c>
      <c r="O185" s="567">
        <f>'dod3 Квітень+Комісії+Сесія'!O184-'dod3 квітень чистий'!O178</f>
        <v>0</v>
      </c>
      <c r="P185" s="567">
        <f>'dod3 Квітень+Комісії+Сесія'!P184-'dod3 квітень чистий'!P178</f>
        <v>0</v>
      </c>
    </row>
    <row r="186" spans="1:18" ht="137.25" x14ac:dyDescent="0.2">
      <c r="A186" s="556" t="s">
        <v>593</v>
      </c>
      <c r="B186" s="556" t="s">
        <v>594</v>
      </c>
      <c r="C186" s="556" t="s">
        <v>122</v>
      </c>
      <c r="D186" s="556" t="s">
        <v>595</v>
      </c>
      <c r="E186" s="567">
        <f>'dod3 Квітень+Комісії+Сесія'!E185-'dod3 квітень чистий'!E179</f>
        <v>0</v>
      </c>
      <c r="F186" s="567">
        <f>'dod3 Квітень+Комісії+Сесія'!F185-'dod3 квітень чистий'!F179</f>
        <v>0</v>
      </c>
      <c r="G186" s="567">
        <f>'dod3 Квітень+Комісії+Сесія'!G185-'dod3 квітень чистий'!G179</f>
        <v>0</v>
      </c>
      <c r="H186" s="567">
        <f>'dod3 Квітень+Комісії+Сесія'!H185-'dod3 квітень чистий'!H179</f>
        <v>0</v>
      </c>
      <c r="I186" s="567">
        <f>'dod3 Квітень+Комісії+Сесія'!I185-'dod3 квітень чистий'!I179</f>
        <v>0</v>
      </c>
      <c r="J186" s="567">
        <f>'dod3 Квітень+Комісії+Сесія'!J185-'dod3 квітень чистий'!J179</f>
        <v>0</v>
      </c>
      <c r="K186" s="567">
        <f>'dod3 Квітень+Комісії+Сесія'!K185-'dod3 квітень чистий'!K179</f>
        <v>0</v>
      </c>
      <c r="L186" s="567">
        <f>'dod3 Квітень+Комісії+Сесія'!L185-'dod3 квітень чистий'!L179</f>
        <v>0</v>
      </c>
      <c r="M186" s="567">
        <f>'dod3 Квітень+Комісії+Сесія'!M185-'dod3 квітень чистий'!M179</f>
        <v>0</v>
      </c>
      <c r="N186" s="567">
        <f>'dod3 Квітень+Комісії+Сесія'!N185-'dod3 квітень чистий'!N179</f>
        <v>0</v>
      </c>
      <c r="O186" s="567">
        <f>'dod3 Квітень+Комісії+Сесія'!O185-'dod3 квітень чистий'!O179</f>
        <v>0</v>
      </c>
      <c r="P186" s="567">
        <f>'dod3 Квітень+Комісії+Сесія'!P185-'dod3 квітень чистий'!P179</f>
        <v>0</v>
      </c>
    </row>
    <row r="187" spans="1:18" ht="315" x14ac:dyDescent="0.2">
      <c r="A187" s="433" t="s">
        <v>316</v>
      </c>
      <c r="B187" s="433"/>
      <c r="C187" s="433"/>
      <c r="D187" s="433" t="s">
        <v>766</v>
      </c>
      <c r="E187" s="440">
        <f>E188</f>
        <v>0</v>
      </c>
      <c r="F187" s="440">
        <f t="shared" ref="F187:P187" si="30">F188</f>
        <v>0</v>
      </c>
      <c r="G187" s="440">
        <f t="shared" si="30"/>
        <v>0</v>
      </c>
      <c r="H187" s="440">
        <f t="shared" si="30"/>
        <v>0</v>
      </c>
      <c r="I187" s="440">
        <f t="shared" si="30"/>
        <v>0</v>
      </c>
      <c r="J187" s="440">
        <f t="shared" si="30"/>
        <v>0</v>
      </c>
      <c r="K187" s="440">
        <f t="shared" si="30"/>
        <v>0</v>
      </c>
      <c r="L187" s="440">
        <f t="shared" si="30"/>
        <v>0</v>
      </c>
      <c r="M187" s="440">
        <f t="shared" si="30"/>
        <v>0</v>
      </c>
      <c r="N187" s="440">
        <f t="shared" si="30"/>
        <v>0</v>
      </c>
      <c r="O187" s="439">
        <f t="shared" si="30"/>
        <v>0</v>
      </c>
      <c r="P187" s="440">
        <f t="shared" si="30"/>
        <v>0</v>
      </c>
    </row>
    <row r="188" spans="1:18" ht="315" x14ac:dyDescent="0.2">
      <c r="A188" s="437" t="s">
        <v>317</v>
      </c>
      <c r="B188" s="437"/>
      <c r="C188" s="437"/>
      <c r="D188" s="437" t="s">
        <v>767</v>
      </c>
      <c r="E188" s="439">
        <f>E189+E190</f>
        <v>0</v>
      </c>
      <c r="F188" s="440">
        <f>F189+F190</f>
        <v>0</v>
      </c>
      <c r="G188" s="439">
        <f>G189+G190</f>
        <v>0</v>
      </c>
      <c r="H188" s="439">
        <f>H189+H190</f>
        <v>0</v>
      </c>
      <c r="I188" s="440">
        <f>I189+I190</f>
        <v>0</v>
      </c>
      <c r="J188" s="439">
        <f>K188+N188</f>
        <v>0</v>
      </c>
      <c r="K188" s="440">
        <f>K189+K190</f>
        <v>0</v>
      </c>
      <c r="L188" s="439">
        <f>L189+L190</f>
        <v>0</v>
      </c>
      <c r="M188" s="439">
        <f>M189+M190</f>
        <v>0</v>
      </c>
      <c r="N188" s="440">
        <f>O188</f>
        <v>0</v>
      </c>
      <c r="O188" s="439">
        <f>O189+O190</f>
        <v>0</v>
      </c>
      <c r="P188" s="439">
        <f>+J188+E188</f>
        <v>0</v>
      </c>
      <c r="Q188" s="311" t="b">
        <f>P188=P189+P190</f>
        <v>1</v>
      </c>
      <c r="R188" s="325"/>
    </row>
    <row r="189" spans="1:18" ht="91.5" x14ac:dyDescent="0.2">
      <c r="A189" s="556" t="s">
        <v>577</v>
      </c>
      <c r="B189" s="556" t="s">
        <v>578</v>
      </c>
      <c r="C189" s="556" t="s">
        <v>579</v>
      </c>
      <c r="D189" s="556" t="s">
        <v>576</v>
      </c>
      <c r="E189" s="567">
        <f>'dod3 Квітень+Комісії+Сесія'!E188-'dod3 квітень чистий'!E182</f>
        <v>0</v>
      </c>
      <c r="F189" s="567">
        <f>'dod3 Квітень+Комісії+Сесія'!F188-'dod3 квітень чистий'!F182</f>
        <v>0</v>
      </c>
      <c r="G189" s="567">
        <f>'dod3 Квітень+Комісії+Сесія'!G188-'dod3 квітень чистий'!G182</f>
        <v>0</v>
      </c>
      <c r="H189" s="567">
        <f>'dod3 Квітень+Комісії+Сесія'!H188-'dod3 квітень чистий'!H182</f>
        <v>0</v>
      </c>
      <c r="I189" s="567">
        <f>'dod3 Квітень+Комісії+Сесія'!I188-'dod3 квітень чистий'!I182</f>
        <v>0</v>
      </c>
      <c r="J189" s="567">
        <f>'dod3 Квітень+Комісії+Сесія'!J188-'dod3 квітень чистий'!J182</f>
        <v>0</v>
      </c>
      <c r="K189" s="567">
        <f>'dod3 Квітень+Комісії+Сесія'!K188-'dod3 квітень чистий'!K182</f>
        <v>0</v>
      </c>
      <c r="L189" s="567">
        <f>'dod3 Квітень+Комісії+Сесія'!L188-'dod3 квітень чистий'!L182</f>
        <v>0</v>
      </c>
      <c r="M189" s="567">
        <f>'dod3 Квітень+Комісії+Сесія'!M188-'dod3 квітень чистий'!M182</f>
        <v>0</v>
      </c>
      <c r="N189" s="567">
        <f>'dod3 Квітень+Комісії+Сесія'!N188-'dod3 квітень чистий'!N182</f>
        <v>0</v>
      </c>
      <c r="O189" s="567">
        <f>'dod3 Квітень+Комісії+Сесія'!O188-'dod3 квітень чистий'!O182</f>
        <v>0</v>
      </c>
      <c r="P189" s="567">
        <f>'dod3 Квітень+Комісії+Сесія'!P188-'dod3 квітень чистий'!P182</f>
        <v>0</v>
      </c>
    </row>
    <row r="190" spans="1:18" ht="137.25" x14ac:dyDescent="0.2">
      <c r="A190" s="556" t="s">
        <v>839</v>
      </c>
      <c r="B190" s="556" t="s">
        <v>840</v>
      </c>
      <c r="C190" s="556" t="s">
        <v>324</v>
      </c>
      <c r="D190" s="556" t="s">
        <v>841</v>
      </c>
      <c r="E190" s="567">
        <f>'dod3 Квітень+Комісії+Сесія'!E189-'dod3 квітень чистий'!E183</f>
        <v>0</v>
      </c>
      <c r="F190" s="567">
        <f>'dod3 Квітень+Комісії+Сесія'!F189-'dod3 квітень чистий'!F183</f>
        <v>0</v>
      </c>
      <c r="G190" s="567">
        <f>'dod3 Квітень+Комісії+Сесія'!G189-'dod3 квітень чистий'!G183</f>
        <v>0</v>
      </c>
      <c r="H190" s="567">
        <f>'dod3 Квітень+Комісії+Сесія'!H189-'dod3 квітень чистий'!H183</f>
        <v>0</v>
      </c>
      <c r="I190" s="567">
        <f>'dod3 Квітень+Комісії+Сесія'!I189-'dod3 квітень чистий'!I183</f>
        <v>0</v>
      </c>
      <c r="J190" s="567">
        <f>'dod3 Квітень+Комісії+Сесія'!J189-'dod3 квітень чистий'!J183</f>
        <v>0</v>
      </c>
      <c r="K190" s="567">
        <f>'dod3 Квітень+Комісії+Сесія'!K189-'dod3 квітень чистий'!K183</f>
        <v>0</v>
      </c>
      <c r="L190" s="567">
        <f>'dod3 Квітень+Комісії+Сесія'!L189-'dod3 квітень чистий'!L183</f>
        <v>0</v>
      </c>
      <c r="M190" s="567">
        <f>'dod3 Квітень+Комісії+Сесія'!M189-'dod3 квітень чистий'!M183</f>
        <v>0</v>
      </c>
      <c r="N190" s="567">
        <f>'dod3 Квітень+Комісії+Сесія'!N189-'dod3 квітень чистий'!N183</f>
        <v>0</v>
      </c>
      <c r="O190" s="567">
        <f>'dod3 Квітень+Комісії+Сесія'!O189-'dod3 квітень чистий'!O183</f>
        <v>0</v>
      </c>
      <c r="P190" s="567">
        <f>'dod3 Квітень+Комісії+Сесія'!P189-'dod3 квітень чистий'!P183</f>
        <v>0</v>
      </c>
    </row>
    <row r="191" spans="1:18" ht="135" x14ac:dyDescent="0.2">
      <c r="A191" s="433" t="s">
        <v>322</v>
      </c>
      <c r="B191" s="433"/>
      <c r="C191" s="433"/>
      <c r="D191" s="433" t="s">
        <v>74</v>
      </c>
      <c r="E191" s="440">
        <f>E192</f>
        <v>0</v>
      </c>
      <c r="F191" s="440">
        <f t="shared" ref="F191:P191" si="31">F192</f>
        <v>0</v>
      </c>
      <c r="G191" s="440">
        <f t="shared" si="31"/>
        <v>0</v>
      </c>
      <c r="H191" s="440">
        <f t="shared" si="31"/>
        <v>0</v>
      </c>
      <c r="I191" s="440">
        <f t="shared" si="31"/>
        <v>0</v>
      </c>
      <c r="J191" s="440">
        <f t="shared" si="31"/>
        <v>0</v>
      </c>
      <c r="K191" s="440">
        <f t="shared" si="31"/>
        <v>0</v>
      </c>
      <c r="L191" s="440">
        <f t="shared" si="31"/>
        <v>0</v>
      </c>
      <c r="M191" s="440">
        <f t="shared" si="31"/>
        <v>0</v>
      </c>
      <c r="N191" s="440">
        <f t="shared" si="31"/>
        <v>0</v>
      </c>
      <c r="O191" s="439">
        <f t="shared" si="31"/>
        <v>0</v>
      </c>
      <c r="P191" s="440">
        <f t="shared" si="31"/>
        <v>0</v>
      </c>
    </row>
    <row r="192" spans="1:18" ht="135" x14ac:dyDescent="0.2">
      <c r="A192" s="437" t="s">
        <v>323</v>
      </c>
      <c r="B192" s="437"/>
      <c r="C192" s="437"/>
      <c r="D192" s="437" t="s">
        <v>98</v>
      </c>
      <c r="E192" s="439">
        <f>E194+E193+E195</f>
        <v>0</v>
      </c>
      <c r="F192" s="440">
        <f>F194+F193+F195</f>
        <v>0</v>
      </c>
      <c r="G192" s="439">
        <f>SUM(G193:G195)</f>
        <v>0</v>
      </c>
      <c r="H192" s="439">
        <f>SUM(H193:H195)</f>
        <v>0</v>
      </c>
      <c r="I192" s="440">
        <v>0</v>
      </c>
      <c r="J192" s="439">
        <f>K192+N192</f>
        <v>0</v>
      </c>
      <c r="K192" s="440">
        <f>SUM(K193:K193)</f>
        <v>0</v>
      </c>
      <c r="L192" s="439">
        <f>SUM(L193:L195)</f>
        <v>0</v>
      </c>
      <c r="M192" s="439">
        <f>SUM(M193:M195)</f>
        <v>0</v>
      </c>
      <c r="N192" s="440">
        <f>SUM(N193:N193)</f>
        <v>0</v>
      </c>
      <c r="O192" s="439">
        <f>SUM(O193:O193)</f>
        <v>0</v>
      </c>
      <c r="P192" s="439">
        <f>E192+J192</f>
        <v>0</v>
      </c>
      <c r="Q192" s="311" t="b">
        <f>P192=P193+P194+P195</f>
        <v>1</v>
      </c>
      <c r="R192" s="325"/>
    </row>
    <row r="193" spans="1:17" ht="91.5" x14ac:dyDescent="0.2">
      <c r="A193" s="335">
        <v>3718600</v>
      </c>
      <c r="B193" s="335">
        <v>8600</v>
      </c>
      <c r="C193" s="556" t="s">
        <v>781</v>
      </c>
      <c r="D193" s="335" t="s">
        <v>782</v>
      </c>
      <c r="E193" s="567">
        <f>'dod3 Квітень+Комісії+Сесія'!E192-'dod3 квітень чистий'!E187</f>
        <v>0</v>
      </c>
      <c r="F193" s="567">
        <f>'dod3 Квітень+Комісії+Сесія'!F192-'dod3 квітень чистий'!F187</f>
        <v>0</v>
      </c>
      <c r="G193" s="567">
        <f>'dod3 Квітень+Комісії+Сесія'!G192-'dod3 квітень чистий'!G187</f>
        <v>0</v>
      </c>
      <c r="H193" s="567">
        <f>'dod3 Квітень+Комісії+Сесія'!H192-'dod3 квітень чистий'!H187</f>
        <v>0</v>
      </c>
      <c r="I193" s="567">
        <f>'dod3 Квітень+Комісії+Сесія'!I192-'dod3 квітень чистий'!I187</f>
        <v>0</v>
      </c>
      <c r="J193" s="567">
        <f>'dod3 Квітень+Комісії+Сесія'!J192-'dod3 квітень чистий'!J187</f>
        <v>0</v>
      </c>
      <c r="K193" s="567">
        <f>'dod3 Квітень+Комісії+Сесія'!K192-'dod3 квітень чистий'!K187</f>
        <v>0</v>
      </c>
      <c r="L193" s="567">
        <f>'dod3 Квітень+Комісії+Сесія'!L192-'dod3 квітень чистий'!L187</f>
        <v>0</v>
      </c>
      <c r="M193" s="567">
        <f>'dod3 Квітень+Комісії+Сесія'!M192-'dod3 квітень чистий'!M187</f>
        <v>0</v>
      </c>
      <c r="N193" s="567">
        <f>'dod3 Квітень+Комісії+Сесія'!N192-'dod3 квітень чистий'!N187</f>
        <v>0</v>
      </c>
      <c r="O193" s="567">
        <f>'dod3 Квітень+Комісії+Сесія'!O192-'dod3 квітень чистий'!O187</f>
        <v>0</v>
      </c>
      <c r="P193" s="567">
        <f>'dod3 Квітень+Комісії+Сесія'!P192-'dod3 квітень чистий'!P187</f>
        <v>0</v>
      </c>
    </row>
    <row r="194" spans="1:17" ht="69" customHeight="1" x14ac:dyDescent="0.2">
      <c r="A194" s="335">
        <v>3718700</v>
      </c>
      <c r="B194" s="335">
        <v>8700</v>
      </c>
      <c r="C194" s="556" t="s">
        <v>102</v>
      </c>
      <c r="D194" s="309" t="s">
        <v>100</v>
      </c>
      <c r="E194" s="567">
        <f>'dod3 Квітень+Комісії+Сесія'!E193-'dod3 квітень чистий'!E186</f>
        <v>0</v>
      </c>
      <c r="F194" s="567">
        <f>'dod3 Квітень+Комісії+Сесія'!F193-'dod3 квітень чистий'!F186</f>
        <v>0</v>
      </c>
      <c r="G194" s="567">
        <f>'dod3 Квітень+Комісії+Сесія'!G193-'dod3 квітень чистий'!G186</f>
        <v>0</v>
      </c>
      <c r="H194" s="567">
        <f>'dod3 Квітень+Комісії+Сесія'!H193-'dod3 квітень чистий'!H186</f>
        <v>0</v>
      </c>
      <c r="I194" s="567">
        <f>'dod3 Квітень+Комісії+Сесія'!I193-'dod3 квітень чистий'!I186</f>
        <v>0</v>
      </c>
      <c r="J194" s="567">
        <f>'dod3 Квітень+Комісії+Сесія'!J193-'dod3 квітень чистий'!J186</f>
        <v>0</v>
      </c>
      <c r="K194" s="567">
        <f>'dod3 Квітень+Комісії+Сесія'!K193-'dod3 квітень чистий'!K186</f>
        <v>0</v>
      </c>
      <c r="L194" s="567">
        <f>'dod3 Квітень+Комісії+Сесія'!L193-'dod3 квітень чистий'!L186</f>
        <v>0</v>
      </c>
      <c r="M194" s="567">
        <f>'dod3 Квітень+Комісії+Сесія'!M193-'dod3 квітень чистий'!M186</f>
        <v>0</v>
      </c>
      <c r="N194" s="567">
        <f>'dod3 Квітень+Комісії+Сесія'!N193-'dod3 квітень чистий'!N186</f>
        <v>0</v>
      </c>
      <c r="O194" s="567">
        <f>'dod3 Квітень+Комісії+Сесія'!O193-'dod3 квітень чистий'!O186</f>
        <v>0</v>
      </c>
      <c r="P194" s="567">
        <f>'dod3 Квітень+Комісії+Сесія'!P193-'dod3 квітень чистий'!P186</f>
        <v>0</v>
      </c>
    </row>
    <row r="195" spans="1:17" ht="65.25" customHeight="1" x14ac:dyDescent="0.2">
      <c r="A195" s="335">
        <v>3719110</v>
      </c>
      <c r="B195" s="335">
        <v>9110</v>
      </c>
      <c r="C195" s="556" t="s">
        <v>103</v>
      </c>
      <c r="D195" s="309" t="s">
        <v>101</v>
      </c>
      <c r="E195" s="567">
        <f>'dod3 Квітень+Комісії+Сесія'!E194-'dod3 квітень чистий'!E188</f>
        <v>0</v>
      </c>
      <c r="F195" s="567">
        <f>'dod3 Квітень+Комісії+Сесія'!F194-'dod3 квітень чистий'!F188</f>
        <v>0</v>
      </c>
      <c r="G195" s="567">
        <f>'dod3 Квітень+Комісії+Сесія'!G194-'dod3 квітень чистий'!G188</f>
        <v>0</v>
      </c>
      <c r="H195" s="567">
        <f>'dod3 Квітень+Комісії+Сесія'!H194-'dod3 квітень чистий'!H188</f>
        <v>0</v>
      </c>
      <c r="I195" s="567">
        <f>'dod3 Квітень+Комісії+Сесія'!I194-'dod3 квітень чистий'!I188</f>
        <v>0</v>
      </c>
      <c r="J195" s="567">
        <f>'dod3 Квітень+Комісії+Сесія'!J194-'dod3 квітень чистий'!J188</f>
        <v>0</v>
      </c>
      <c r="K195" s="567">
        <f>'dod3 Квітень+Комісії+Сесія'!K194-'dod3 квітень чистий'!K188</f>
        <v>0</v>
      </c>
      <c r="L195" s="567">
        <f>'dod3 Квітень+Комісії+Сесія'!L194-'dod3 квітень чистий'!L188</f>
        <v>0</v>
      </c>
      <c r="M195" s="567">
        <f>'dod3 Квітень+Комісії+Сесія'!M194-'dod3 квітень чистий'!M188</f>
        <v>0</v>
      </c>
      <c r="N195" s="567">
        <f>'dod3 Квітень+Комісії+Сесія'!N194-'dod3 квітень чистий'!N188</f>
        <v>0</v>
      </c>
      <c r="O195" s="567">
        <f>'dod3 Квітень+Комісії+Сесія'!O194-'dod3 квітень чистий'!O188</f>
        <v>0</v>
      </c>
      <c r="P195" s="567">
        <f>'dod3 Квітень+Комісії+Сесія'!P194-'dod3 квітень чистий'!P188</f>
        <v>0</v>
      </c>
    </row>
    <row r="196" spans="1:17" s="5" customFormat="1" ht="81.75" customHeight="1" x14ac:dyDescent="0.55000000000000004">
      <c r="A196" s="731" t="s">
        <v>8</v>
      </c>
      <c r="B196" s="731"/>
      <c r="C196" s="731"/>
      <c r="D196" s="731"/>
      <c r="E196" s="249">
        <f>E13+E30+E123+E44+E59+E111+E145+E164+E171+E192+E174+E181+E188</f>
        <v>2092802</v>
      </c>
      <c r="F196" s="250">
        <f>F13+F30+F123+F44+F58+F111+F145+F164+F171+F192+F174+F181+F188</f>
        <v>2092802</v>
      </c>
      <c r="G196" s="249">
        <f t="shared" ref="G196:O196" si="32">G13+G30+G123+G44+G59+G111+G145+G164+G171+G192+G174+G181+G188</f>
        <v>0</v>
      </c>
      <c r="H196" s="249">
        <f t="shared" si="32"/>
        <v>-319423</v>
      </c>
      <c r="I196" s="250">
        <f t="shared" si="32"/>
        <v>0</v>
      </c>
      <c r="J196" s="249">
        <f t="shared" si="32"/>
        <v>43183773.629999995</v>
      </c>
      <c r="K196" s="250">
        <f t="shared" si="32"/>
        <v>935560</v>
      </c>
      <c r="L196" s="249">
        <f t="shared" si="32"/>
        <v>0</v>
      </c>
      <c r="M196" s="249">
        <f t="shared" si="32"/>
        <v>982912</v>
      </c>
      <c r="N196" s="250">
        <f t="shared" si="32"/>
        <v>42248213.629999995</v>
      </c>
      <c r="O196" s="249">
        <f t="shared" si="32"/>
        <v>43183773.629999995</v>
      </c>
      <c r="P196" s="249">
        <f>P13+P30+P123+P44+P58+P111+P145+P164+P171+P192+P174+P181+P188</f>
        <v>45276575.629999995</v>
      </c>
      <c r="Q196" s="182"/>
    </row>
    <row r="197" spans="1:17" ht="31.5" customHeight="1" x14ac:dyDescent="0.2">
      <c r="A197" s="732" t="s">
        <v>574</v>
      </c>
      <c r="B197" s="733"/>
      <c r="C197" s="733"/>
      <c r="D197" s="733"/>
      <c r="E197" s="733"/>
      <c r="F197" s="733"/>
      <c r="G197" s="733"/>
      <c r="H197" s="733"/>
      <c r="I197" s="733"/>
      <c r="J197" s="733"/>
      <c r="K197" s="733"/>
      <c r="L197" s="733"/>
      <c r="M197" s="733"/>
      <c r="N197" s="733"/>
      <c r="O197" s="733"/>
      <c r="P197" s="733"/>
      <c r="Q197" s="24"/>
    </row>
    <row r="198" spans="1:17" ht="31.5" customHeight="1" x14ac:dyDescent="0.2">
      <c r="A198" s="198"/>
      <c r="B198" s="199"/>
      <c r="C198" s="199"/>
      <c r="D198" s="199"/>
      <c r="E198" s="199"/>
      <c r="F198" s="200"/>
      <c r="G198" s="199"/>
      <c r="H198" s="199"/>
      <c r="I198" s="200"/>
      <c r="J198" s="199"/>
      <c r="K198" s="200"/>
      <c r="L198" s="199"/>
      <c r="M198" s="199"/>
      <c r="N198" s="200"/>
      <c r="O198" s="199"/>
      <c r="P198" s="199"/>
      <c r="Q198" s="24"/>
    </row>
    <row r="199" spans="1:17" ht="61.5" customHeight="1" x14ac:dyDescent="0.65">
      <c r="A199" s="564"/>
      <c r="B199" s="564"/>
      <c r="C199" s="564"/>
      <c r="D199" s="734" t="s">
        <v>290</v>
      </c>
      <c r="E199" s="734"/>
      <c r="F199" s="734"/>
      <c r="G199" s="734"/>
      <c r="H199" s="734"/>
      <c r="I199" s="734"/>
      <c r="J199" s="734"/>
      <c r="K199" s="734"/>
      <c r="L199" s="734"/>
      <c r="M199" s="734"/>
      <c r="N199" s="734"/>
      <c r="O199" s="734"/>
      <c r="P199" s="734"/>
      <c r="Q199" s="25"/>
    </row>
    <row r="200" spans="1:17" ht="45.75" x14ac:dyDescent="0.2">
      <c r="E200" s="57"/>
      <c r="F200" s="12"/>
      <c r="J200" s="10"/>
      <c r="N200" s="52"/>
      <c r="O200" s="56"/>
      <c r="P200" s="48"/>
    </row>
    <row r="201" spans="1:17" ht="45" x14ac:dyDescent="0.55000000000000004">
      <c r="D201" s="7"/>
      <c r="E201" s="51"/>
      <c r="F201" s="230"/>
      <c r="H201" s="7"/>
      <c r="I201" s="205"/>
      <c r="J201" s="51"/>
      <c r="N201" s="205"/>
      <c r="O201" s="51"/>
      <c r="P201" s="51"/>
      <c r="Q201" s="26"/>
    </row>
    <row r="202" spans="1:17" x14ac:dyDescent="0.2">
      <c r="E202" s="8"/>
      <c r="F202" s="12"/>
      <c r="J202" s="8"/>
      <c r="O202" s="6"/>
    </row>
    <row r="203" spans="1:17" x14ac:dyDescent="0.2">
      <c r="E203" s="8"/>
      <c r="F203" s="12"/>
      <c r="J203" s="8"/>
    </row>
    <row r="204" spans="1:17" ht="45.75" x14ac:dyDescent="0.55000000000000004">
      <c r="E204" s="48"/>
      <c r="F204" s="50"/>
      <c r="G204" s="6"/>
      <c r="I204" s="202"/>
      <c r="J204" s="187"/>
      <c r="K204" s="202"/>
      <c r="L204" s="186"/>
      <c r="M204" s="186"/>
      <c r="N204" s="206"/>
      <c r="O204" s="188"/>
      <c r="P204" s="182" t="b">
        <f>E196+J196=P196</f>
        <v>1</v>
      </c>
    </row>
    <row r="205" spans="1:17" ht="13.5" x14ac:dyDescent="0.2">
      <c r="E205" s="11"/>
      <c r="F205" s="14"/>
      <c r="G205" s="4"/>
      <c r="H205" s="4"/>
      <c r="I205" s="4"/>
      <c r="J205" s="8"/>
    </row>
    <row r="206" spans="1:17" ht="45.75" x14ac:dyDescent="0.2">
      <c r="A206"/>
      <c r="B206"/>
      <c r="C206"/>
      <c r="D206" s="266" t="s">
        <v>943</v>
      </c>
      <c r="E206" s="267" t="b">
        <f>E196=F196</f>
        <v>1</v>
      </c>
      <c r="F206" s="52">
        <f>F194/P196*100</f>
        <v>0</v>
      </c>
      <c r="G206" s="218" t="s">
        <v>650</v>
      </c>
      <c r="I206" s="266"/>
      <c r="J206" s="267"/>
      <c r="K206" s="203"/>
      <c r="L206"/>
      <c r="M206"/>
      <c r="N206" s="203"/>
      <c r="O206"/>
      <c r="P206"/>
    </row>
    <row r="207" spans="1:17" ht="60.75" x14ac:dyDescent="0.2">
      <c r="D207" s="266" t="s">
        <v>944</v>
      </c>
      <c r="E207" s="267" t="b">
        <f>G196=839900+735946698</f>
        <v>0</v>
      </c>
      <c r="G207" s="55"/>
      <c r="I207" s="266" t="s">
        <v>944</v>
      </c>
      <c r="J207" s="267" t="b">
        <f>L196=0+27261672</f>
        <v>0</v>
      </c>
      <c r="P207" s="196"/>
      <c r="Q207" s="197"/>
    </row>
    <row r="208" spans="1:17" ht="60.75" x14ac:dyDescent="0.2">
      <c r="A208"/>
      <c r="B208"/>
      <c r="C208"/>
      <c r="D208" s="266" t="s">
        <v>945</v>
      </c>
      <c r="E208" s="267" t="b">
        <f>H196=97533765+11500</f>
        <v>0</v>
      </c>
      <c r="F208" s="52"/>
      <c r="G208" s="6"/>
      <c r="I208" s="266" t="s">
        <v>945</v>
      </c>
      <c r="J208" s="267" t="b">
        <f>M196=0+7617512</f>
        <v>0</v>
      </c>
      <c r="K208" s="203"/>
      <c r="L208"/>
      <c r="M208"/>
      <c r="N208" s="203"/>
      <c r="O208"/>
      <c r="P208" s="196"/>
      <c r="Q208" s="197"/>
    </row>
    <row r="209" spans="1:16" ht="60.75" x14ac:dyDescent="0.2">
      <c r="D209" s="266"/>
      <c r="E209" s="267"/>
      <c r="F209" s="54"/>
      <c r="P209" s="196"/>
    </row>
    <row r="210" spans="1:16" ht="60.75" x14ac:dyDescent="0.2">
      <c r="A210"/>
      <c r="B210"/>
      <c r="C210"/>
      <c r="D210" s="266"/>
      <c r="E210" s="267"/>
      <c r="F210" s="52"/>
      <c r="G210" s="6"/>
      <c r="J210" s="8"/>
      <c r="K210" s="203"/>
      <c r="L210"/>
      <c r="M210"/>
      <c r="N210" s="203"/>
      <c r="O210"/>
      <c r="P210" s="196"/>
    </row>
    <row r="211" spans="1:16" ht="45.75" x14ac:dyDescent="0.2">
      <c r="A211"/>
      <c r="B211"/>
      <c r="C211"/>
      <c r="D211"/>
      <c r="E211" s="51"/>
      <c r="F211" s="52"/>
      <c r="J211" s="8"/>
      <c r="K211" s="203"/>
      <c r="L211"/>
      <c r="M211"/>
      <c r="N211" s="203"/>
      <c r="O211"/>
      <c r="P211"/>
    </row>
    <row r="212" spans="1:16" ht="45.75" x14ac:dyDescent="0.2">
      <c r="E212" s="53"/>
      <c r="F212" s="54"/>
    </row>
    <row r="213" spans="1:16" ht="45.75" x14ac:dyDescent="0.2">
      <c r="A213"/>
      <c r="B213"/>
      <c r="C213"/>
      <c r="D213"/>
      <c r="E213" s="51"/>
      <c r="F213" s="52"/>
      <c r="K213" s="203"/>
      <c r="L213"/>
      <c r="M213"/>
      <c r="N213" s="203"/>
      <c r="O213"/>
      <c r="P213"/>
    </row>
    <row r="214" spans="1:16" ht="45.75" x14ac:dyDescent="0.2">
      <c r="E214" s="53"/>
      <c r="F214" s="54"/>
    </row>
    <row r="215" spans="1:16" ht="45.75" x14ac:dyDescent="0.2">
      <c r="E215" s="53"/>
      <c r="F215" s="54"/>
    </row>
    <row r="216" spans="1:16" ht="45.75" x14ac:dyDescent="0.2">
      <c r="E216" s="53"/>
      <c r="F216" s="54"/>
    </row>
    <row r="217" spans="1:16" ht="45.75" x14ac:dyDescent="0.2">
      <c r="A217"/>
      <c r="B217"/>
      <c r="C217"/>
      <c r="D217"/>
      <c r="E217" s="53"/>
      <c r="F217" s="54"/>
      <c r="G217"/>
      <c r="H217"/>
      <c r="I217" s="203"/>
      <c r="J217"/>
      <c r="K217" s="203"/>
      <c r="L217"/>
      <c r="M217"/>
      <c r="N217" s="203"/>
      <c r="O217"/>
      <c r="P217"/>
    </row>
    <row r="218" spans="1:16" ht="45.75" x14ac:dyDescent="0.2">
      <c r="A218"/>
      <c r="B218"/>
      <c r="C218"/>
      <c r="D218"/>
      <c r="E218" s="53"/>
      <c r="F218" s="54"/>
      <c r="G218"/>
      <c r="H218"/>
      <c r="I218" s="203"/>
      <c r="J218"/>
      <c r="K218" s="203"/>
      <c r="L218"/>
      <c r="M218"/>
      <c r="N218" s="203"/>
      <c r="O218"/>
      <c r="P218"/>
    </row>
    <row r="219" spans="1:16" ht="45.75" x14ac:dyDescent="0.2">
      <c r="A219"/>
      <c r="B219"/>
      <c r="C219"/>
      <c r="D219"/>
      <c r="E219" s="53"/>
      <c r="F219" s="54"/>
      <c r="G219"/>
      <c r="H219"/>
      <c r="I219" s="203"/>
      <c r="J219"/>
      <c r="K219" s="203"/>
      <c r="L219"/>
      <c r="M219"/>
      <c r="N219" s="203"/>
      <c r="O219"/>
      <c r="P219"/>
    </row>
    <row r="220" spans="1:16" ht="45.75" x14ac:dyDescent="0.2">
      <c r="A220"/>
      <c r="B220"/>
      <c r="C220"/>
      <c r="D220"/>
      <c r="E220" s="53"/>
      <c r="F220" s="54"/>
      <c r="G220"/>
      <c r="H220"/>
      <c r="I220" s="203"/>
      <c r="J220"/>
      <c r="K220" s="203"/>
      <c r="L220"/>
      <c r="M220"/>
      <c r="N220" s="203"/>
      <c r="O220"/>
      <c r="P220"/>
    </row>
  </sheetData>
  <mergeCells count="83">
    <mergeCell ref="A196:D196"/>
    <mergeCell ref="A197:P197"/>
    <mergeCell ref="D199:P199"/>
    <mergeCell ref="K103:K104"/>
    <mergeCell ref="L103:L104"/>
    <mergeCell ref="M103:M104"/>
    <mergeCell ref="N103:N104"/>
    <mergeCell ref="O103:O104"/>
    <mergeCell ref="P103:P104"/>
    <mergeCell ref="P100:P102"/>
    <mergeCell ref="A103:A104"/>
    <mergeCell ref="B103:B104"/>
    <mergeCell ref="C103:C104"/>
    <mergeCell ref="E103:E104"/>
    <mergeCell ref="F103:F104"/>
    <mergeCell ref="G103:G104"/>
    <mergeCell ref="H103:H104"/>
    <mergeCell ref="I103:I104"/>
    <mergeCell ref="J103:J104"/>
    <mergeCell ref="J100:J102"/>
    <mergeCell ref="K100:K102"/>
    <mergeCell ref="L100:L102"/>
    <mergeCell ref="M100:M102"/>
    <mergeCell ref="N100:N102"/>
    <mergeCell ref="O100:O102"/>
    <mergeCell ref="O81:O82"/>
    <mergeCell ref="P81:P82"/>
    <mergeCell ref="A100:A102"/>
    <mergeCell ref="B100:B102"/>
    <mergeCell ref="C100:C102"/>
    <mergeCell ref="E100:E102"/>
    <mergeCell ref="F100:F102"/>
    <mergeCell ref="G100:G102"/>
    <mergeCell ref="H100:H102"/>
    <mergeCell ref="I100:I102"/>
    <mergeCell ref="I81:I82"/>
    <mergeCell ref="J81:J82"/>
    <mergeCell ref="K81:K82"/>
    <mergeCell ref="L81:L82"/>
    <mergeCell ref="M81:M82"/>
    <mergeCell ref="N81:N82"/>
    <mergeCell ref="G81:G82"/>
    <mergeCell ref="H81:H82"/>
    <mergeCell ref="H24:H25"/>
    <mergeCell ref="I24:I25"/>
    <mergeCell ref="J24:J25"/>
    <mergeCell ref="G24:G25"/>
    <mergeCell ref="A81:A82"/>
    <mergeCell ref="B81:B82"/>
    <mergeCell ref="C81:C82"/>
    <mergeCell ref="E81:E82"/>
    <mergeCell ref="F81:F82"/>
    <mergeCell ref="A24:A25"/>
    <mergeCell ref="B24:B25"/>
    <mergeCell ref="C24:C25"/>
    <mergeCell ref="E24:E25"/>
    <mergeCell ref="F24:F25"/>
    <mergeCell ref="J8:N8"/>
    <mergeCell ref="P8:P10"/>
    <mergeCell ref="E9:E10"/>
    <mergeCell ref="F9:F10"/>
    <mergeCell ref="G9:H9"/>
    <mergeCell ref="I9:I10"/>
    <mergeCell ref="J9:J10"/>
    <mergeCell ref="K9:K10"/>
    <mergeCell ref="L9:M9"/>
    <mergeCell ref="N9:N10"/>
    <mergeCell ref="N24:N25"/>
    <mergeCell ref="O24:O25"/>
    <mergeCell ref="P24:P25"/>
    <mergeCell ref="K24:K25"/>
    <mergeCell ref="L24:L25"/>
    <mergeCell ref="M24:M25"/>
    <mergeCell ref="N1:P1"/>
    <mergeCell ref="N2:P2"/>
    <mergeCell ref="N3:P3"/>
    <mergeCell ref="A5:P5"/>
    <mergeCell ref="A6:P6"/>
    <mergeCell ref="A8:A10"/>
    <mergeCell ref="B8:B10"/>
    <mergeCell ref="C8:C10"/>
    <mergeCell ref="D8:D10"/>
    <mergeCell ref="E8:I8"/>
  </mergeCells>
  <conditionalFormatting sqref="Q171:R171">
    <cfRule type="iconSet" priority="5">
      <iconSet iconSet="3Arrows">
        <cfvo type="percent" val="0"/>
        <cfvo type="percent" val="33"/>
        <cfvo type="percent" val="67"/>
      </iconSet>
    </cfRule>
  </conditionalFormatting>
  <conditionalFormatting sqref="Q174:R174">
    <cfRule type="iconSet" priority="4">
      <iconSet iconSet="3Arrows">
        <cfvo type="percent" val="0"/>
        <cfvo type="percent" val="33"/>
        <cfvo type="percent" val="67"/>
      </iconSet>
    </cfRule>
  </conditionalFormatting>
  <conditionalFormatting sqref="Q181:R181">
    <cfRule type="iconSet" priority="3">
      <iconSet iconSet="3Arrows">
        <cfvo type="percent" val="0"/>
        <cfvo type="percent" val="33"/>
        <cfvo type="percent" val="67"/>
      </iconSet>
    </cfRule>
  </conditionalFormatting>
  <conditionalFormatting sqref="Q192:R192">
    <cfRule type="iconSet" priority="2">
      <iconSet iconSet="3Arrows">
        <cfvo type="percent" val="0"/>
        <cfvo type="percent" val="33"/>
        <cfvo type="percent" val="67"/>
      </iconSet>
    </cfRule>
  </conditionalFormatting>
  <conditionalFormatting sqref="Q188:R188">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8" max="15" man="1"/>
    <brk id="50" max="15" man="1"/>
    <brk id="68" max="15" man="1"/>
    <brk id="87" max="15" man="1"/>
    <brk id="132" max="15" man="1"/>
    <brk id="154"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V227"/>
  <sheetViews>
    <sheetView view="pageBreakPreview" zoomScale="25" zoomScaleNormal="25" zoomScaleSheetLayoutView="25" zoomScalePageLayoutView="10" workbookViewId="0">
      <pane ySplit="11" topLeftCell="A194" activePane="bottomLeft" state="frozen"/>
      <selection pane="bottomLeft" activeCell="E200" sqref="E200:P202"/>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66.42578125" bestFit="1" customWidth="1"/>
    <col min="20" max="20" width="24.7109375" bestFit="1" customWidth="1"/>
  </cols>
  <sheetData>
    <row r="1" spans="1:18" ht="45.75" x14ac:dyDescent="0.2">
      <c r="D1" s="594"/>
      <c r="E1" s="595"/>
      <c r="F1" s="17"/>
      <c r="G1" s="18"/>
      <c r="H1" s="18"/>
      <c r="I1" s="18"/>
      <c r="J1" s="595"/>
      <c r="K1" s="18"/>
      <c r="L1" s="18"/>
      <c r="M1" s="18"/>
      <c r="N1" s="711"/>
      <c r="O1" s="711"/>
      <c r="P1" s="711"/>
    </row>
    <row r="2" spans="1:18" ht="45.75" x14ac:dyDescent="0.2">
      <c r="A2" s="594"/>
      <c r="B2" s="594"/>
      <c r="C2" s="594"/>
      <c r="D2" s="594"/>
      <c r="E2" s="595"/>
      <c r="F2" s="17"/>
      <c r="G2" s="18"/>
      <c r="H2" s="18"/>
      <c r="I2" s="18"/>
      <c r="J2" s="595"/>
      <c r="K2" s="18"/>
      <c r="L2" s="18"/>
      <c r="M2" s="18"/>
      <c r="N2" s="711"/>
      <c r="O2" s="712"/>
      <c r="P2" s="712"/>
    </row>
    <row r="3" spans="1:18" ht="40.5" customHeight="1" x14ac:dyDescent="0.2">
      <c r="A3" s="594"/>
      <c r="B3" s="594"/>
      <c r="C3" s="594"/>
      <c r="D3" s="594"/>
      <c r="E3" s="595"/>
      <c r="F3" s="17"/>
      <c r="G3" s="18"/>
      <c r="H3" s="18"/>
      <c r="I3" s="18"/>
      <c r="J3" s="595"/>
      <c r="K3" s="18"/>
      <c r="L3" s="18"/>
      <c r="M3" s="18"/>
      <c r="N3" s="711"/>
      <c r="O3" s="712"/>
      <c r="P3" s="712"/>
    </row>
    <row r="4" spans="1:18" ht="45.75" hidden="1" x14ac:dyDescent="0.2">
      <c r="A4" s="594"/>
      <c r="B4" s="594"/>
      <c r="C4" s="594"/>
      <c r="D4" s="594"/>
      <c r="E4" s="595"/>
      <c r="F4" s="17"/>
      <c r="G4" s="18"/>
      <c r="H4" s="18"/>
      <c r="I4" s="18"/>
      <c r="J4" s="595"/>
      <c r="K4" s="18"/>
      <c r="L4" s="18"/>
      <c r="M4" s="18"/>
      <c r="N4" s="204"/>
      <c r="O4" s="594"/>
      <c r="P4" s="593"/>
    </row>
    <row r="5" spans="1:18" ht="45" x14ac:dyDescent="0.2">
      <c r="A5" s="713" t="s">
        <v>1023</v>
      </c>
      <c r="B5" s="713"/>
      <c r="C5" s="713"/>
      <c r="D5" s="713"/>
      <c r="E5" s="713"/>
      <c r="F5" s="713"/>
      <c r="G5" s="713"/>
      <c r="H5" s="713"/>
      <c r="I5" s="713"/>
      <c r="J5" s="713"/>
      <c r="K5" s="713"/>
      <c r="L5" s="713"/>
      <c r="M5" s="713"/>
      <c r="N5" s="713"/>
      <c r="O5" s="713"/>
      <c r="P5" s="713"/>
    </row>
    <row r="6" spans="1:18" ht="45" x14ac:dyDescent="0.2">
      <c r="A6" s="713" t="s">
        <v>641</v>
      </c>
      <c r="B6" s="713"/>
      <c r="C6" s="713"/>
      <c r="D6" s="713"/>
      <c r="E6" s="713"/>
      <c r="F6" s="713"/>
      <c r="G6" s="713"/>
      <c r="H6" s="713"/>
      <c r="I6" s="713"/>
      <c r="J6" s="713"/>
      <c r="K6" s="713"/>
      <c r="L6" s="713"/>
      <c r="M6" s="713"/>
      <c r="N6" s="713"/>
      <c r="O6" s="713"/>
      <c r="P6" s="713"/>
    </row>
    <row r="7" spans="1:18" ht="53.25" customHeight="1" x14ac:dyDescent="0.2">
      <c r="A7" s="595"/>
      <c r="B7" s="595"/>
      <c r="C7" s="595"/>
      <c r="D7" s="595"/>
      <c r="E7" s="595"/>
      <c r="F7" s="17"/>
      <c r="G7" s="595"/>
      <c r="H7" s="595"/>
      <c r="I7" s="18"/>
      <c r="J7" s="595"/>
      <c r="K7" s="18"/>
      <c r="L7" s="595"/>
      <c r="M7" s="595"/>
      <c r="N7" s="18"/>
      <c r="O7" s="595"/>
      <c r="P7" s="20" t="s">
        <v>134</v>
      </c>
    </row>
    <row r="8" spans="1:18" ht="62.25" customHeight="1" x14ac:dyDescent="0.2">
      <c r="A8" s="705" t="s">
        <v>41</v>
      </c>
      <c r="B8" s="705" t="s">
        <v>42</v>
      </c>
      <c r="C8" s="709" t="s">
        <v>43</v>
      </c>
      <c r="D8" s="705" t="s">
        <v>45</v>
      </c>
      <c r="E8" s="710" t="s">
        <v>36</v>
      </c>
      <c r="F8" s="710"/>
      <c r="G8" s="710"/>
      <c r="H8" s="710"/>
      <c r="I8" s="710"/>
      <c r="J8" s="710" t="s">
        <v>124</v>
      </c>
      <c r="K8" s="710"/>
      <c r="L8" s="710"/>
      <c r="M8" s="710"/>
      <c r="N8" s="710"/>
      <c r="O8" s="21"/>
      <c r="P8" s="710" t="s">
        <v>35</v>
      </c>
    </row>
    <row r="9" spans="1:18" ht="255" customHeight="1" x14ac:dyDescent="0.2">
      <c r="A9" s="706"/>
      <c r="B9" s="708"/>
      <c r="C9" s="708"/>
      <c r="D9" s="706"/>
      <c r="E9" s="716" t="s">
        <v>7</v>
      </c>
      <c r="F9" s="717" t="s">
        <v>125</v>
      </c>
      <c r="G9" s="716" t="s">
        <v>37</v>
      </c>
      <c r="H9" s="716"/>
      <c r="I9" s="717" t="s">
        <v>127</v>
      </c>
      <c r="J9" s="716" t="s">
        <v>7</v>
      </c>
      <c r="K9" s="717" t="s">
        <v>125</v>
      </c>
      <c r="L9" s="716" t="s">
        <v>37</v>
      </c>
      <c r="M9" s="716"/>
      <c r="N9" s="717" t="s">
        <v>127</v>
      </c>
      <c r="O9" s="591" t="s">
        <v>37</v>
      </c>
      <c r="P9" s="710"/>
    </row>
    <row r="10" spans="1:18" ht="137.25" x14ac:dyDescent="0.2">
      <c r="A10" s="707"/>
      <c r="B10" s="707"/>
      <c r="C10" s="707"/>
      <c r="D10" s="707"/>
      <c r="E10" s="716"/>
      <c r="F10" s="717"/>
      <c r="G10" s="591" t="s">
        <v>126</v>
      </c>
      <c r="H10" s="591" t="s">
        <v>40</v>
      </c>
      <c r="I10" s="717"/>
      <c r="J10" s="716"/>
      <c r="K10" s="717"/>
      <c r="L10" s="591" t="s">
        <v>126</v>
      </c>
      <c r="M10" s="591" t="s">
        <v>40</v>
      </c>
      <c r="N10" s="717"/>
      <c r="O10" s="591" t="s">
        <v>32</v>
      </c>
      <c r="P10" s="710"/>
    </row>
    <row r="11" spans="1:18" s="3" customFormat="1" ht="45.75" x14ac:dyDescent="0.2">
      <c r="A11" s="22" t="s">
        <v>9</v>
      </c>
      <c r="B11" s="22" t="s">
        <v>10</v>
      </c>
      <c r="C11" s="22" t="s">
        <v>39</v>
      </c>
      <c r="D11" s="22" t="s">
        <v>12</v>
      </c>
      <c r="E11" s="23">
        <v>5</v>
      </c>
      <c r="F11" s="592">
        <v>6</v>
      </c>
      <c r="G11" s="23">
        <v>7</v>
      </c>
      <c r="H11" s="23">
        <v>8</v>
      </c>
      <c r="I11" s="201">
        <v>9</v>
      </c>
      <c r="J11" s="23">
        <v>10</v>
      </c>
      <c r="K11" s="201">
        <v>11</v>
      </c>
      <c r="L11" s="23">
        <v>12</v>
      </c>
      <c r="M11" s="23">
        <v>13</v>
      </c>
      <c r="N11" s="201">
        <v>14</v>
      </c>
      <c r="O11" s="23">
        <v>15</v>
      </c>
      <c r="P11" s="23">
        <v>16</v>
      </c>
    </row>
    <row r="12" spans="1:18" s="3" customFormat="1" ht="135" x14ac:dyDescent="0.2">
      <c r="A12" s="277" t="s">
        <v>302</v>
      </c>
      <c r="B12" s="277"/>
      <c r="C12" s="277"/>
      <c r="D12" s="278" t="s">
        <v>304</v>
      </c>
      <c r="E12" s="245">
        <f>E13</f>
        <v>14490150</v>
      </c>
      <c r="F12" s="245">
        <f t="shared" ref="F12:P12" si="0">F13</f>
        <v>14490150</v>
      </c>
      <c r="G12" s="245">
        <f t="shared" si="0"/>
        <v>10307000</v>
      </c>
      <c r="H12" s="245">
        <f t="shared" si="0"/>
        <v>226400</v>
      </c>
      <c r="I12" s="245">
        <f t="shared" si="0"/>
        <v>0</v>
      </c>
      <c r="J12" s="245">
        <f t="shared" si="0"/>
        <v>1347401.25</v>
      </c>
      <c r="K12" s="245">
        <f t="shared" si="0"/>
        <v>600000</v>
      </c>
      <c r="L12" s="245">
        <f t="shared" si="0"/>
        <v>0</v>
      </c>
      <c r="M12" s="245">
        <f t="shared" si="0"/>
        <v>0</v>
      </c>
      <c r="N12" s="245">
        <f t="shared" si="0"/>
        <v>747401.25</v>
      </c>
      <c r="O12" s="279">
        <f t="shared" si="0"/>
        <v>1347401.25</v>
      </c>
      <c r="P12" s="245">
        <f t="shared" si="0"/>
        <v>15837551.25</v>
      </c>
    </row>
    <row r="13" spans="1:18" s="3" customFormat="1" ht="135" x14ac:dyDescent="0.2">
      <c r="A13" s="280" t="s">
        <v>303</v>
      </c>
      <c r="B13" s="280"/>
      <c r="C13" s="280"/>
      <c r="D13" s="281" t="s">
        <v>305</v>
      </c>
      <c r="E13" s="244">
        <f>F13</f>
        <v>14490150</v>
      </c>
      <c r="F13" s="243">
        <f>F14+F15+F26+F20+F27+F16+F22+F21+F29+F17+F28</f>
        <v>14490150</v>
      </c>
      <c r="G13" s="243">
        <f t="shared" ref="G13:H13" si="1">G14+G15+G26+G20+G27+G16+G22+G21+G29+G17</f>
        <v>10307000</v>
      </c>
      <c r="H13" s="243">
        <f t="shared" si="1"/>
        <v>226400</v>
      </c>
      <c r="I13" s="243">
        <v>0</v>
      </c>
      <c r="J13" s="246">
        <f t="shared" ref="J13" si="2">K13+N13</f>
        <v>1347401.25</v>
      </c>
      <c r="K13" s="243">
        <f>K14+K15+K26+K20+K27+K16+K23+K21+K29+K17+K18+K28</f>
        <v>600000</v>
      </c>
      <c r="L13" s="243">
        <f>L14+L15+L26+L20+L27+L16</f>
        <v>0</v>
      </c>
      <c r="M13" s="243">
        <f>M14+M15+M26+M20+M27+M16</f>
        <v>0</v>
      </c>
      <c r="N13" s="243">
        <f>N14+N15+N26+N20+N27+N16+N23+N21+N29+N18+N28</f>
        <v>747401.25</v>
      </c>
      <c r="O13" s="243">
        <f>O14+O15+O26+O20+O27+O16+O23+O21+O29+O18+O28</f>
        <v>1347401.25</v>
      </c>
      <c r="P13" s="244">
        <f>J13+E13</f>
        <v>15837551.25</v>
      </c>
      <c r="Q13" s="240"/>
      <c r="R13" s="240"/>
    </row>
    <row r="14" spans="1:18" ht="320.25" x14ac:dyDescent="0.2">
      <c r="A14" s="590" t="s">
        <v>428</v>
      </c>
      <c r="B14" s="590" t="s">
        <v>429</v>
      </c>
      <c r="C14" s="590" t="s">
        <v>430</v>
      </c>
      <c r="D14" s="590" t="s">
        <v>427</v>
      </c>
      <c r="E14" s="596">
        <f>'dod3'!E14-'dod3 квітень чистий'!E14</f>
        <v>5239630</v>
      </c>
      <c r="F14" s="596">
        <f>'dod3'!F14-'dod3 квітень чистий'!F14</f>
        <v>5239630</v>
      </c>
      <c r="G14" s="596">
        <f>'dod3'!G14-'dod3 квітень чистий'!G14</f>
        <v>4210430</v>
      </c>
      <c r="H14" s="596">
        <f>'dod3'!H14-'dod3 квітень чистий'!H14</f>
        <v>12500</v>
      </c>
      <c r="I14" s="596">
        <f>'dod3'!I14-'dod3 квітень чистий'!I14</f>
        <v>0</v>
      </c>
      <c r="J14" s="596">
        <f>'dod3'!J14-'dod3 квітень чистий'!J14</f>
        <v>-501200</v>
      </c>
      <c r="K14" s="596">
        <f>'dod3'!K14-'dod3 квітень чистий'!K14</f>
        <v>0</v>
      </c>
      <c r="L14" s="596">
        <f>'dod3'!L14-'dod3 квітень чистий'!L14</f>
        <v>0</v>
      </c>
      <c r="M14" s="596">
        <f>'dod3'!M14-'dod3 квітень чистий'!M14</f>
        <v>0</v>
      </c>
      <c r="N14" s="596">
        <f>'dod3'!N14-'dod3 квітень чистий'!N14</f>
        <v>-501200</v>
      </c>
      <c r="O14" s="596">
        <f>'dod3'!O14-'dod3 квітень чистий'!O14</f>
        <v>-501200</v>
      </c>
      <c r="P14" s="596">
        <f>'dod3'!P14-'dod3 квітень чистий'!P14</f>
        <v>4738430</v>
      </c>
    </row>
    <row r="15" spans="1:18" ht="228.75" x14ac:dyDescent="0.2">
      <c r="A15" s="590" t="s">
        <v>432</v>
      </c>
      <c r="B15" s="590" t="s">
        <v>433</v>
      </c>
      <c r="C15" s="590" t="s">
        <v>430</v>
      </c>
      <c r="D15" s="590" t="s">
        <v>431</v>
      </c>
      <c r="E15" s="596">
        <f>'dod3'!E15-'dod3 квітень чистий'!E15</f>
        <v>8413470</v>
      </c>
      <c r="F15" s="596">
        <f>'dod3'!F15-'dod3 квітень чистий'!F15</f>
        <v>8413470</v>
      </c>
      <c r="G15" s="596">
        <f>'dod3'!G15-'dod3 квітень чистий'!G15</f>
        <v>6055570</v>
      </c>
      <c r="H15" s="596">
        <f>'dod3'!H15-'dod3 квітень чистий'!H15</f>
        <v>213900</v>
      </c>
      <c r="I15" s="596">
        <f>'dod3'!I15-'dod3 квітень чистий'!I15</f>
        <v>0</v>
      </c>
      <c r="J15" s="596">
        <f>'dod3'!J15-'dod3 квітень чистий'!J15</f>
        <v>6000</v>
      </c>
      <c r="K15" s="596">
        <f>'dod3'!K15-'dod3 квітень чистий'!K15</f>
        <v>0</v>
      </c>
      <c r="L15" s="596">
        <f>'dod3'!L15-'dod3 квітень чистий'!L15</f>
        <v>0</v>
      </c>
      <c r="M15" s="596">
        <f>'dod3'!M15-'dod3 квітень чистий'!M15</f>
        <v>0</v>
      </c>
      <c r="N15" s="596">
        <f>'dod3'!N15-'dod3 квітень чистий'!N15</f>
        <v>6000</v>
      </c>
      <c r="O15" s="596">
        <f>'dod3'!O15-'dod3 квітень чистий'!O15</f>
        <v>6000</v>
      </c>
      <c r="P15" s="596">
        <f>'dod3'!P15-'dod3 квітень чистий'!P15</f>
        <v>8419470</v>
      </c>
    </row>
    <row r="16" spans="1:18" ht="91.5" x14ac:dyDescent="0.2">
      <c r="A16" s="590" t="s">
        <v>445</v>
      </c>
      <c r="B16" s="590" t="s">
        <v>103</v>
      </c>
      <c r="C16" s="590" t="s">
        <v>102</v>
      </c>
      <c r="D16" s="590" t="s">
        <v>446</v>
      </c>
      <c r="E16" s="596">
        <f>'dod3'!E16-'dod3 квітень чистий'!E16</f>
        <v>-88750</v>
      </c>
      <c r="F16" s="596">
        <f>'dod3'!F16-'dod3 квітень чистий'!F16</f>
        <v>-88750</v>
      </c>
      <c r="G16" s="596">
        <f>'dod3'!G16-'dod3 квітень чистий'!G16</f>
        <v>-150000</v>
      </c>
      <c r="H16" s="596">
        <f>'dod3'!H16-'dod3 квітень чистий'!H16</f>
        <v>0</v>
      </c>
      <c r="I16" s="596">
        <f>'dod3'!I16-'dod3 квітень чистий'!I16</f>
        <v>0</v>
      </c>
      <c r="J16" s="596">
        <f>'dod3'!J16-'dod3 квітень чистий'!J16</f>
        <v>0</v>
      </c>
      <c r="K16" s="596">
        <f>'dod3'!K16-'dod3 квітень чистий'!K16</f>
        <v>0</v>
      </c>
      <c r="L16" s="596">
        <f>'dod3'!L16-'dod3 квітень чистий'!L16</f>
        <v>0</v>
      </c>
      <c r="M16" s="596">
        <f>'dod3'!M16-'dod3 квітень чистий'!M16</f>
        <v>0</v>
      </c>
      <c r="N16" s="596">
        <f>'dod3'!N16-'dod3 квітень чистий'!N16</f>
        <v>0</v>
      </c>
      <c r="O16" s="596">
        <f>'dod3'!O16-'dod3 квітень чистий'!O16</f>
        <v>0</v>
      </c>
      <c r="P16" s="596">
        <f>'dod3'!P16-'dod3 квітень чистий'!P16</f>
        <v>-88750</v>
      </c>
    </row>
    <row r="17" spans="1:18" ht="91.5" x14ac:dyDescent="0.2">
      <c r="A17" s="590" t="s">
        <v>929</v>
      </c>
      <c r="B17" s="590" t="s">
        <v>930</v>
      </c>
      <c r="C17" s="590" t="s">
        <v>931</v>
      </c>
      <c r="D17" s="590" t="s">
        <v>928</v>
      </c>
      <c r="E17" s="596">
        <f>'dod3'!E17-0</f>
        <v>233000</v>
      </c>
      <c r="F17" s="596">
        <f>'dod3'!F17-0</f>
        <v>233000</v>
      </c>
      <c r="G17" s="596">
        <f>'dod3'!G17-0</f>
        <v>191000</v>
      </c>
      <c r="H17" s="596">
        <f>'dod3'!H17-0</f>
        <v>0</v>
      </c>
      <c r="I17" s="596">
        <f>'dod3'!I17-0</f>
        <v>0</v>
      </c>
      <c r="J17" s="596">
        <f>'dod3'!J17-0</f>
        <v>0</v>
      </c>
      <c r="K17" s="596">
        <f>'dod3'!K17-0</f>
        <v>0</v>
      </c>
      <c r="L17" s="596">
        <f>'dod3'!L17-0</f>
        <v>0</v>
      </c>
      <c r="M17" s="596">
        <f>'dod3'!M17-0</f>
        <v>0</v>
      </c>
      <c r="N17" s="596">
        <f>'dod3'!N17-0</f>
        <v>0</v>
      </c>
      <c r="O17" s="596">
        <f>'dod3'!O17-0</f>
        <v>0</v>
      </c>
      <c r="P17" s="596">
        <f>'dod3'!P17-0</f>
        <v>233000</v>
      </c>
    </row>
    <row r="18" spans="1:18" ht="91.5" x14ac:dyDescent="0.2">
      <c r="A18" s="590" t="s">
        <v>942</v>
      </c>
      <c r="B18" s="590" t="s">
        <v>706</v>
      </c>
      <c r="C18" s="590"/>
      <c r="D18" s="590" t="s">
        <v>833</v>
      </c>
      <c r="E18" s="596">
        <f>'dod3'!E18-0</f>
        <v>0</v>
      </c>
      <c r="F18" s="596">
        <f>'dod3'!F18-0</f>
        <v>0</v>
      </c>
      <c r="G18" s="596">
        <f>'dod3'!G18-0</f>
        <v>0</v>
      </c>
      <c r="H18" s="596">
        <f>'dod3'!H18-0</f>
        <v>0</v>
      </c>
      <c r="I18" s="596">
        <f>'dod3'!I18-0</f>
        <v>0</v>
      </c>
      <c r="J18" s="596">
        <f>'dod3'!J18-0</f>
        <v>660842</v>
      </c>
      <c r="K18" s="596">
        <f>'dod3'!K18-0</f>
        <v>0</v>
      </c>
      <c r="L18" s="596">
        <f>'dod3'!L18-0</f>
        <v>0</v>
      </c>
      <c r="M18" s="596">
        <f>'dod3'!M18-0</f>
        <v>0</v>
      </c>
      <c r="N18" s="596">
        <f>'dod3'!N18-0</f>
        <v>660842</v>
      </c>
      <c r="O18" s="596">
        <f>'dod3'!O18-0</f>
        <v>660842</v>
      </c>
      <c r="P18" s="596">
        <f>'dod3'!P18-0</f>
        <v>660842</v>
      </c>
    </row>
    <row r="19" spans="1:18" ht="366" x14ac:dyDescent="0.2">
      <c r="A19" s="588" t="s">
        <v>939</v>
      </c>
      <c r="B19" s="588" t="s">
        <v>940</v>
      </c>
      <c r="C19" s="588" t="s">
        <v>708</v>
      </c>
      <c r="D19" s="588" t="s">
        <v>941</v>
      </c>
      <c r="E19" s="596">
        <f>'dod3'!E19-0</f>
        <v>0</v>
      </c>
      <c r="F19" s="596">
        <f>'dod3'!F19-0</f>
        <v>0</v>
      </c>
      <c r="G19" s="596">
        <f>'dod3'!G19-0</f>
        <v>0</v>
      </c>
      <c r="H19" s="596">
        <f>'dod3'!H19-0</f>
        <v>0</v>
      </c>
      <c r="I19" s="596">
        <f>'dod3'!I19-0</f>
        <v>0</v>
      </c>
      <c r="J19" s="596">
        <f>'dod3'!J19-0</f>
        <v>660842</v>
      </c>
      <c r="K19" s="596">
        <f>'dod3'!K19-0</f>
        <v>0</v>
      </c>
      <c r="L19" s="596">
        <f>'dod3'!L19-0</f>
        <v>0</v>
      </c>
      <c r="M19" s="596">
        <f>'dod3'!M19-0</f>
        <v>0</v>
      </c>
      <c r="N19" s="596">
        <f>'dod3'!N19-0</f>
        <v>660842</v>
      </c>
      <c r="O19" s="596">
        <f>'dod3'!O19-0</f>
        <v>660842</v>
      </c>
      <c r="P19" s="596">
        <f>'dod3'!P19-0</f>
        <v>660842</v>
      </c>
    </row>
    <row r="20" spans="1:18" ht="91.5" x14ac:dyDescent="0.2">
      <c r="A20" s="590" t="s">
        <v>435</v>
      </c>
      <c r="B20" s="590" t="s">
        <v>436</v>
      </c>
      <c r="C20" s="590" t="s">
        <v>437</v>
      </c>
      <c r="D20" s="590" t="s">
        <v>434</v>
      </c>
      <c r="E20" s="596">
        <f>'dod3'!E20-'dod3 квітень чистий'!E17</f>
        <v>0</v>
      </c>
      <c r="F20" s="596">
        <f>'dod3'!F20-'dod3 квітень чистий'!F17</f>
        <v>0</v>
      </c>
      <c r="G20" s="596">
        <f>'dod3'!G20-'dod3 квітень чистий'!G17</f>
        <v>0</v>
      </c>
      <c r="H20" s="596">
        <f>'dod3'!H20-'dod3 квітень чистий'!H17</f>
        <v>0</v>
      </c>
      <c r="I20" s="596">
        <f>'dod3'!I20-'dod3 квітень чистий'!I17</f>
        <v>0</v>
      </c>
      <c r="J20" s="596">
        <f>'dod3'!J20-'dod3 квітень чистий'!J17</f>
        <v>0</v>
      </c>
      <c r="K20" s="596">
        <f>'dod3'!K20-'dod3 квітень чистий'!K17</f>
        <v>0</v>
      </c>
      <c r="L20" s="596">
        <f>'dod3'!L20-'dod3 квітень чистий'!L17</f>
        <v>0</v>
      </c>
      <c r="M20" s="596">
        <f>'dod3'!M20-'dod3 квітень чистий'!M17</f>
        <v>0</v>
      </c>
      <c r="N20" s="596">
        <f>'dod3'!N20-'dod3 квітень чистий'!N17</f>
        <v>0</v>
      </c>
      <c r="O20" s="596">
        <f>'dod3'!O20-'dod3 квітень чистий'!O17</f>
        <v>0</v>
      </c>
      <c r="P20" s="596">
        <f>'dod3'!P20-'dod3 квітень чистий'!P17</f>
        <v>0</v>
      </c>
    </row>
    <row r="21" spans="1:18" ht="91.5" x14ac:dyDescent="0.2">
      <c r="A21" s="590" t="s">
        <v>646</v>
      </c>
      <c r="B21" s="272" t="s">
        <v>373</v>
      </c>
      <c r="C21" s="272" t="s">
        <v>324</v>
      </c>
      <c r="D21" s="590" t="s">
        <v>89</v>
      </c>
      <c r="E21" s="596">
        <f>'dod3'!E21-'dod3 квітень чистий'!E18</f>
        <v>0</v>
      </c>
      <c r="F21" s="596">
        <f>'dod3'!F21-'dod3 квітень чистий'!F18</f>
        <v>0</v>
      </c>
      <c r="G21" s="596">
        <f>'dod3'!G21-'dod3 квітень чистий'!G18</f>
        <v>0</v>
      </c>
      <c r="H21" s="596">
        <f>'dod3'!H21-'dod3 квітень чистий'!H18</f>
        <v>0</v>
      </c>
      <c r="I21" s="596">
        <f>'dod3'!I21-'dod3 квітень чистий'!I18</f>
        <v>0</v>
      </c>
      <c r="J21" s="596">
        <f>'dod3'!J21-'dod3 квітень чистий'!J18</f>
        <v>-2500000</v>
      </c>
      <c r="K21" s="596">
        <f>'dod3'!K21-'dod3 квітень чистий'!K18</f>
        <v>0</v>
      </c>
      <c r="L21" s="596">
        <f>'dod3'!L21-'dod3 квітень чистий'!L18</f>
        <v>0</v>
      </c>
      <c r="M21" s="596">
        <f>'dod3'!M21-'dod3 квітень чистий'!M18</f>
        <v>0</v>
      </c>
      <c r="N21" s="596">
        <f>'dod3'!N21-'dod3 квітень чистий'!N18</f>
        <v>-2500000</v>
      </c>
      <c r="O21" s="596">
        <f>'dod3'!O21-'dod3 квітень чистий'!O18</f>
        <v>-2500000</v>
      </c>
      <c r="P21" s="596">
        <f>'dod3'!P21-'dod3 квітень чистий'!P18</f>
        <v>-2500000</v>
      </c>
    </row>
    <row r="22" spans="1:18" ht="137.25" x14ac:dyDescent="0.2">
      <c r="A22" s="590" t="s">
        <v>565</v>
      </c>
      <c r="B22" s="590" t="s">
        <v>566</v>
      </c>
      <c r="C22" s="590" t="s">
        <v>324</v>
      </c>
      <c r="D22" s="589" t="s">
        <v>564</v>
      </c>
      <c r="E22" s="596">
        <f>'dod3'!E22-'dod3 квітень чистий'!E19</f>
        <v>0</v>
      </c>
      <c r="F22" s="596">
        <f>'dod3'!F22-'dod3 квітень чистий'!F19</f>
        <v>0</v>
      </c>
      <c r="G22" s="596">
        <f>'dod3'!G22-'dod3 квітень чистий'!G19</f>
        <v>0</v>
      </c>
      <c r="H22" s="596">
        <f>'dod3'!H22-'dod3 квітень чистий'!H19</f>
        <v>0</v>
      </c>
      <c r="I22" s="596">
        <f>'dod3'!I22-'dod3 квітень чистий'!I19</f>
        <v>0</v>
      </c>
      <c r="J22" s="596">
        <f>'dod3'!J22-'dod3 квітень чистий'!J19</f>
        <v>0</v>
      </c>
      <c r="K22" s="596">
        <f>'dod3'!K22-'dod3 квітень чистий'!K19</f>
        <v>0</v>
      </c>
      <c r="L22" s="596">
        <f>'dod3'!L22-'dod3 квітень чистий'!L19</f>
        <v>0</v>
      </c>
      <c r="M22" s="596">
        <f>'dod3'!M22-'dod3 квітень чистий'!M19</f>
        <v>0</v>
      </c>
      <c r="N22" s="596">
        <f>'dod3'!N22-'dod3 квітень чистий'!N19</f>
        <v>0</v>
      </c>
      <c r="O22" s="596">
        <f>'dod3'!O22-'dod3 квітень чистий'!O19</f>
        <v>0</v>
      </c>
      <c r="P22" s="596">
        <f>'dod3'!P22-'dod3 квітень чистий'!P19</f>
        <v>0</v>
      </c>
    </row>
    <row r="23" spans="1:18" ht="46.5" x14ac:dyDescent="0.2">
      <c r="A23" s="590" t="s">
        <v>448</v>
      </c>
      <c r="B23" s="590" t="s">
        <v>449</v>
      </c>
      <c r="C23" s="590"/>
      <c r="D23" s="274" t="s">
        <v>447</v>
      </c>
      <c r="E23" s="596">
        <f>'dod3'!E23-'dod3 квітень чистий'!E20</f>
        <v>0</v>
      </c>
      <c r="F23" s="596">
        <f>'dod3'!F23-'dod3 квітень чистий'!F20</f>
        <v>0</v>
      </c>
      <c r="G23" s="596">
        <f>'dod3'!G23-'dod3 квітень чистий'!G20</f>
        <v>0</v>
      </c>
      <c r="H23" s="596">
        <f>'dod3'!H23-'dod3 квітень чистий'!H20</f>
        <v>0</v>
      </c>
      <c r="I23" s="596">
        <f>'dod3'!I23-'dod3 квітень чистий'!I20</f>
        <v>0</v>
      </c>
      <c r="J23" s="596">
        <f>'dod3'!J23-'dod3 квітень чистий'!J20</f>
        <v>0</v>
      </c>
      <c r="K23" s="596">
        <f>'dod3'!K23-'dod3 квітень чистий'!K20</f>
        <v>600000</v>
      </c>
      <c r="L23" s="596">
        <f>'dod3'!L23-'dod3 квітень чистий'!L20</f>
        <v>0</v>
      </c>
      <c r="M23" s="596">
        <f>'dod3'!M23-'dod3 квітень чистий'!M20</f>
        <v>0</v>
      </c>
      <c r="N23" s="596">
        <f>'dod3'!N23-'dod3 квітень чистий'!N20</f>
        <v>-600000</v>
      </c>
      <c r="O23" s="596">
        <f>'dod3'!O23-'dod3 квітень чистий'!O20</f>
        <v>0</v>
      </c>
      <c r="P23" s="596">
        <f>'dod3'!P23-'dod3 квітень чистий'!P20</f>
        <v>0</v>
      </c>
    </row>
    <row r="24" spans="1:18" s="203" customFormat="1" ht="409.5" x14ac:dyDescent="0.2">
      <c r="A24" s="718" t="s">
        <v>700</v>
      </c>
      <c r="B24" s="718" t="s">
        <v>699</v>
      </c>
      <c r="C24" s="718" t="s">
        <v>324</v>
      </c>
      <c r="D24" s="275" t="s">
        <v>728</v>
      </c>
      <c r="E24" s="738">
        <f>'dod3'!E24-'dod3 квітень чистий'!E21</f>
        <v>0</v>
      </c>
      <c r="F24" s="738">
        <f>'dod3'!F24-'dod3 квітень чистий'!F21</f>
        <v>0</v>
      </c>
      <c r="G24" s="738">
        <f>'dod3'!G24-'dod3 квітень чистий'!G21</f>
        <v>0</v>
      </c>
      <c r="H24" s="738">
        <f>'dod3'!H24-'dod3 квітень чистий'!H21</f>
        <v>0</v>
      </c>
      <c r="I24" s="738">
        <f>'dod3'!I24-'dod3 квітень чистий'!I21</f>
        <v>0</v>
      </c>
      <c r="J24" s="738">
        <f>'dod3'!J24-'dod3 квітень чистий'!J21</f>
        <v>0</v>
      </c>
      <c r="K24" s="738">
        <f>'dod3'!K24-'dod3 квітень чистий'!K21</f>
        <v>600000</v>
      </c>
      <c r="L24" s="738">
        <f>'dod3'!L24-'dod3 квітень чистий'!L21</f>
        <v>0</v>
      </c>
      <c r="M24" s="738">
        <f>'dod3'!M24-'dod3 квітень чистий'!M21</f>
        <v>0</v>
      </c>
      <c r="N24" s="738">
        <f>'dod3'!N24-'dod3 квітень чистий'!N21</f>
        <v>-600000</v>
      </c>
      <c r="O24" s="738">
        <f>'dod3'!O24-'dod3 квітень чистий'!O21</f>
        <v>0</v>
      </c>
      <c r="P24" s="738">
        <f>'dod3'!P24-'dod3 квітень чистий'!P21</f>
        <v>0</v>
      </c>
    </row>
    <row r="25" spans="1:18" s="203" customFormat="1" ht="137.25" x14ac:dyDescent="0.2">
      <c r="A25" s="719"/>
      <c r="B25" s="719"/>
      <c r="C25" s="719"/>
      <c r="D25" s="276" t="s">
        <v>729</v>
      </c>
      <c r="E25" s="743"/>
      <c r="F25" s="743"/>
      <c r="G25" s="743"/>
      <c r="H25" s="743"/>
      <c r="I25" s="743"/>
      <c r="J25" s="743"/>
      <c r="K25" s="743"/>
      <c r="L25" s="743"/>
      <c r="M25" s="743"/>
      <c r="N25" s="743"/>
      <c r="O25" s="743"/>
      <c r="P25" s="743"/>
    </row>
    <row r="26" spans="1:18" ht="91.5" x14ac:dyDescent="0.2">
      <c r="A26" s="590" t="s">
        <v>438</v>
      </c>
      <c r="B26" s="590" t="s">
        <v>439</v>
      </c>
      <c r="C26" s="590" t="s">
        <v>440</v>
      </c>
      <c r="D26" s="589" t="s">
        <v>441</v>
      </c>
      <c r="E26" s="596">
        <f>'dod3'!E26-'dod3 квітень чистий'!E23</f>
        <v>470000</v>
      </c>
      <c r="F26" s="596">
        <f>'dod3'!F26-'dod3 квітень чистий'!F23</f>
        <v>470000</v>
      </c>
      <c r="G26" s="596">
        <f>'dod3'!G26-'dod3 квітень чистий'!G23</f>
        <v>0</v>
      </c>
      <c r="H26" s="596">
        <f>'dod3'!H26-'dod3 квітень чистий'!H23</f>
        <v>0</v>
      </c>
      <c r="I26" s="596">
        <f>'dod3'!I26-'dod3 квітень чистий'!I23</f>
        <v>0</v>
      </c>
      <c r="J26" s="596">
        <f>'dod3'!J26-'dod3 квітень чистий'!J23</f>
        <v>2800000</v>
      </c>
      <c r="K26" s="596">
        <f>'dod3'!K26-'dod3 квітень чистий'!K23</f>
        <v>0</v>
      </c>
      <c r="L26" s="596">
        <f>'dod3'!L26-'dod3 квітень чистий'!L23</f>
        <v>0</v>
      </c>
      <c r="M26" s="596">
        <f>'dod3'!M26-'dod3 квітень чистий'!M23</f>
        <v>0</v>
      </c>
      <c r="N26" s="596">
        <f>'dod3'!N26-'dod3 квітень чистий'!N23</f>
        <v>2800000</v>
      </c>
      <c r="O26" s="596">
        <f>'dod3'!O26-'dod3 квітень чистий'!O23</f>
        <v>2800000</v>
      </c>
      <c r="P26" s="596">
        <f>'dod3'!P26-'dod3 квітень чистий'!P23</f>
        <v>3270000</v>
      </c>
    </row>
    <row r="27" spans="1:18" ht="274.5" x14ac:dyDescent="0.2">
      <c r="A27" s="590" t="s">
        <v>442</v>
      </c>
      <c r="B27" s="590" t="s">
        <v>443</v>
      </c>
      <c r="C27" s="590" t="s">
        <v>103</v>
      </c>
      <c r="D27" s="590" t="s">
        <v>444</v>
      </c>
      <c r="E27" s="596">
        <f>'dod3'!E27-'dod3 квітень чистий'!E24</f>
        <v>0</v>
      </c>
      <c r="F27" s="596">
        <f>'dod3'!F27-'dod3 квітень чистий'!F24</f>
        <v>0</v>
      </c>
      <c r="G27" s="596">
        <f>'dod3'!G27-'dod3 квітень чистий'!G24</f>
        <v>0</v>
      </c>
      <c r="H27" s="596">
        <f>'dod3'!H27-'dod3 квітень чистий'!H24</f>
        <v>0</v>
      </c>
      <c r="I27" s="596">
        <f>'dod3'!I27-'dod3 квітень чистий'!I24</f>
        <v>0</v>
      </c>
      <c r="J27" s="596">
        <f>'dod3'!J27-'dod3 квітень чистий'!J24</f>
        <v>0</v>
      </c>
      <c r="K27" s="596">
        <f>'dod3'!K27-'dod3 квітень чистий'!K24</f>
        <v>0</v>
      </c>
      <c r="L27" s="596">
        <f>'dod3'!L27-'dod3 квітень чистий'!L24</f>
        <v>0</v>
      </c>
      <c r="M27" s="596">
        <f>'dod3'!M27-'dod3 квітень чистий'!M24</f>
        <v>0</v>
      </c>
      <c r="N27" s="596">
        <f>'dod3'!N27-'dod3 квітень чистий'!N24</f>
        <v>0</v>
      </c>
      <c r="O27" s="596">
        <f>'dod3'!O27-'dod3 квітень чистий'!O24</f>
        <v>0</v>
      </c>
      <c r="P27" s="596">
        <f>'dod3'!P27-'dod3 квітень чистий'!P24</f>
        <v>0</v>
      </c>
    </row>
    <row r="28" spans="1:18" ht="91.5" x14ac:dyDescent="0.2">
      <c r="A28" s="590" t="s">
        <v>966</v>
      </c>
      <c r="B28" s="590" t="s">
        <v>800</v>
      </c>
      <c r="C28" s="590" t="s">
        <v>103</v>
      </c>
      <c r="D28" s="590" t="s">
        <v>801</v>
      </c>
      <c r="E28" s="596">
        <f>'dod3'!E28-0</f>
        <v>0</v>
      </c>
      <c r="F28" s="596">
        <f>'dod3'!F28-0</f>
        <v>0</v>
      </c>
      <c r="G28" s="596">
        <f>'dod3'!G28-0</f>
        <v>0</v>
      </c>
      <c r="H28" s="596">
        <f>'dod3'!H28-0</f>
        <v>0</v>
      </c>
      <c r="I28" s="596">
        <f>'dod3'!I28-0</f>
        <v>0</v>
      </c>
      <c r="J28" s="596">
        <f>'dod3'!J28-0</f>
        <v>100000</v>
      </c>
      <c r="K28" s="596">
        <f>'dod3'!K28-0</f>
        <v>0</v>
      </c>
      <c r="L28" s="596">
        <f>'dod3'!L28-0</f>
        <v>0</v>
      </c>
      <c r="M28" s="596">
        <f>'dod3'!M28-0</f>
        <v>0</v>
      </c>
      <c r="N28" s="596">
        <f>'dod3'!N28-0</f>
        <v>100000</v>
      </c>
      <c r="O28" s="596">
        <f>'dod3'!O28-0</f>
        <v>100000</v>
      </c>
      <c r="P28" s="596">
        <f>'dod3'!P28-0</f>
        <v>100000</v>
      </c>
    </row>
    <row r="29" spans="1:18" ht="183" x14ac:dyDescent="0.2">
      <c r="A29" s="590" t="s">
        <v>822</v>
      </c>
      <c r="B29" s="590" t="s">
        <v>823</v>
      </c>
      <c r="C29" s="590" t="s">
        <v>103</v>
      </c>
      <c r="D29" s="590" t="s">
        <v>824</v>
      </c>
      <c r="E29" s="596">
        <f>'dod3'!E29-'dod3 квітень чистий'!E25</f>
        <v>222800</v>
      </c>
      <c r="F29" s="596">
        <f>'dod3'!F29-'dod3 квітень чистий'!F25</f>
        <v>222800</v>
      </c>
      <c r="G29" s="596">
        <f>'dod3'!G29-'dod3 квітень чистий'!G25</f>
        <v>0</v>
      </c>
      <c r="H29" s="596">
        <f>'dod3'!H29-'dod3 квітень чистий'!H25</f>
        <v>0</v>
      </c>
      <c r="I29" s="596">
        <f>'dod3'!I29-'dod3 квітень чистий'!I25</f>
        <v>0</v>
      </c>
      <c r="J29" s="596">
        <f>'dod3'!J29-'dod3 квітень чистий'!J25</f>
        <v>781759.25</v>
      </c>
      <c r="K29" s="596">
        <f>'dod3'!K29-'dod3 квітень чистий'!K25</f>
        <v>0</v>
      </c>
      <c r="L29" s="596">
        <f>'dod3'!L29-'dod3 квітень чистий'!L25</f>
        <v>0</v>
      </c>
      <c r="M29" s="596">
        <f>'dod3'!M29-'dod3 квітень чистий'!M25</f>
        <v>0</v>
      </c>
      <c r="N29" s="596">
        <f>'dod3'!N29-'dod3 квітень чистий'!N25</f>
        <v>781759.25</v>
      </c>
      <c r="O29" s="596">
        <f>'dod3'!O29-'dod3 квітень чистий'!O25</f>
        <v>781759.25</v>
      </c>
      <c r="P29" s="596">
        <f>'dod3'!P29-'dod3 квітень чистий'!P25</f>
        <v>1004559.25</v>
      </c>
    </row>
    <row r="30" spans="1:18" ht="135" x14ac:dyDescent="0.2">
      <c r="A30" s="277" t="s">
        <v>306</v>
      </c>
      <c r="B30" s="277"/>
      <c r="C30" s="277"/>
      <c r="D30" s="278" t="s">
        <v>1</v>
      </c>
      <c r="E30" s="243">
        <f>E31</f>
        <v>1053407.0000000019</v>
      </c>
      <c r="F30" s="243">
        <f t="shared" ref="F30:P30" si="3">F31</f>
        <v>1053407.0000000019</v>
      </c>
      <c r="G30" s="243">
        <f t="shared" si="3"/>
        <v>2013900</v>
      </c>
      <c r="H30" s="243">
        <f t="shared" si="3"/>
        <v>-120423</v>
      </c>
      <c r="I30" s="243">
        <f t="shared" si="3"/>
        <v>0</v>
      </c>
      <c r="J30" s="243">
        <f t="shared" si="3"/>
        <v>8307568</v>
      </c>
      <c r="K30" s="243">
        <f t="shared" si="3"/>
        <v>2187420</v>
      </c>
      <c r="L30" s="243">
        <f t="shared" si="3"/>
        <v>709932</v>
      </c>
      <c r="M30" s="243">
        <f t="shared" si="3"/>
        <v>1412734</v>
      </c>
      <c r="N30" s="243">
        <f t="shared" si="3"/>
        <v>6120148</v>
      </c>
      <c r="O30" s="244">
        <f t="shared" si="3"/>
        <v>6455708</v>
      </c>
      <c r="P30" s="243">
        <f t="shared" si="3"/>
        <v>9360975.0000000019</v>
      </c>
    </row>
    <row r="31" spans="1:18" ht="135" x14ac:dyDescent="0.2">
      <c r="A31" s="280" t="s">
        <v>307</v>
      </c>
      <c r="B31" s="280"/>
      <c r="C31" s="280"/>
      <c r="D31" s="281" t="s">
        <v>2</v>
      </c>
      <c r="E31" s="244">
        <f>E32+E33+E34+E35+E36+E38+E39+E37+E43+E42</f>
        <v>1053407.0000000019</v>
      </c>
      <c r="F31" s="244">
        <f t="shared" ref="F31:I31" si="4">F32+F33+F34+F35+F36+F38+F39+F37+F43+F42</f>
        <v>1053407.0000000019</v>
      </c>
      <c r="G31" s="244">
        <f t="shared" si="4"/>
        <v>2013900</v>
      </c>
      <c r="H31" s="244">
        <f t="shared" si="4"/>
        <v>-120423</v>
      </c>
      <c r="I31" s="244">
        <f t="shared" si="4"/>
        <v>0</v>
      </c>
      <c r="J31" s="244">
        <f t="shared" ref="J31:O31" si="5">J32+J33+J34+J35+J36+J38+J39+J37+J43</f>
        <v>8307568</v>
      </c>
      <c r="K31" s="243">
        <f t="shared" si="5"/>
        <v>2187420</v>
      </c>
      <c r="L31" s="244">
        <f t="shared" si="5"/>
        <v>709932</v>
      </c>
      <c r="M31" s="244">
        <f t="shared" si="5"/>
        <v>1412734</v>
      </c>
      <c r="N31" s="243">
        <f t="shared" si="5"/>
        <v>6120148</v>
      </c>
      <c r="O31" s="244">
        <f t="shared" si="5"/>
        <v>6455708</v>
      </c>
      <c r="P31" s="244">
        <f t="shared" ref="P31" si="6">E31+J31</f>
        <v>9360975.0000000019</v>
      </c>
      <c r="Q31" s="240"/>
      <c r="R31" s="240"/>
    </row>
    <row r="32" spans="1:18" ht="67.5" customHeight="1" x14ac:dyDescent="0.55000000000000004">
      <c r="A32" s="590" t="s">
        <v>376</v>
      </c>
      <c r="B32" s="590" t="s">
        <v>377</v>
      </c>
      <c r="C32" s="590" t="s">
        <v>379</v>
      </c>
      <c r="D32" s="590" t="s">
        <v>380</v>
      </c>
      <c r="E32" s="596">
        <f>'dod3'!E32-'dod3 квітень чистий'!E28</f>
        <v>-9167420</v>
      </c>
      <c r="F32" s="596">
        <f>'dod3'!F32-'dod3 квітень чистий'!F28</f>
        <v>-9167420</v>
      </c>
      <c r="G32" s="596">
        <f>'dod3'!G32-'dod3 квітень чистий'!G28</f>
        <v>-3687600</v>
      </c>
      <c r="H32" s="596">
        <f>'dod3'!H32-'dod3 квітень чистий'!H28</f>
        <v>-12000</v>
      </c>
      <c r="I32" s="596">
        <f>'dod3'!I32-'dod3 квітень чистий'!I28</f>
        <v>0</v>
      </c>
      <c r="J32" s="596">
        <f>'dod3'!J32-'dod3 квітень чистий'!J28</f>
        <v>1032000</v>
      </c>
      <c r="K32" s="596">
        <f>'dod3'!K32-'dod3 квітень чистий'!K28</f>
        <v>0</v>
      </c>
      <c r="L32" s="596">
        <f>'dod3'!L32-'dod3 квітень чистий'!L28</f>
        <v>0</v>
      </c>
      <c r="M32" s="596">
        <f>'dod3'!M32-'dod3 квітень чистий'!M28</f>
        <v>0</v>
      </c>
      <c r="N32" s="596">
        <f>'dod3'!N32-'dod3 квітень чистий'!N28</f>
        <v>1032000</v>
      </c>
      <c r="O32" s="596">
        <f>'dod3'!O32-'dod3 квітень чистий'!O28</f>
        <v>1152000</v>
      </c>
      <c r="P32" s="596">
        <f>'dod3'!P32-'dod3 квітень чистий'!P28</f>
        <v>-8135420</v>
      </c>
      <c r="Q32" s="26"/>
      <c r="R32" s="26"/>
    </row>
    <row r="33" spans="1:20" ht="389.25" customHeight="1" x14ac:dyDescent="0.55000000000000004">
      <c r="A33" s="590" t="s">
        <v>382</v>
      </c>
      <c r="B33" s="590" t="s">
        <v>378</v>
      </c>
      <c r="C33" s="590" t="s">
        <v>383</v>
      </c>
      <c r="D33" s="590" t="s">
        <v>914</v>
      </c>
      <c r="E33" s="596">
        <f>'dod3'!E33-'dod3 квітень чистий'!E29</f>
        <v>17370851.060000002</v>
      </c>
      <c r="F33" s="596">
        <f>'dod3'!F33-'dod3 квітень чистий'!F29</f>
        <v>17370851.060000002</v>
      </c>
      <c r="G33" s="596">
        <f>'dod3'!G33-'dod3 квітень чистий'!G29</f>
        <v>11034000</v>
      </c>
      <c r="H33" s="596">
        <f>'dod3'!H33-'dod3 квітень чистий'!H29</f>
        <v>80721</v>
      </c>
      <c r="I33" s="596">
        <f>'dod3'!I33-'dod3 квітень чистий'!I29</f>
        <v>0</v>
      </c>
      <c r="J33" s="596">
        <f>'dod3'!J33-'dod3 квітень чистий'!J29</f>
        <v>2354808</v>
      </c>
      <c r="K33" s="596">
        <f>'dod3'!K33-'dod3 квітень чистий'!K29</f>
        <v>0</v>
      </c>
      <c r="L33" s="596">
        <f>'dod3'!L33-'dod3 квітень чистий'!L29</f>
        <v>0</v>
      </c>
      <c r="M33" s="596">
        <f>'dod3'!M33-'dod3 квітень чистий'!M29</f>
        <v>0</v>
      </c>
      <c r="N33" s="596">
        <f>'dod3'!N33-'dod3 квітень чистий'!N29</f>
        <v>2354808</v>
      </c>
      <c r="O33" s="596">
        <f>'dod3'!O33-'dod3 квітень чистий'!O29</f>
        <v>2534808</v>
      </c>
      <c r="P33" s="596">
        <f>'dod3'!P33-'dod3 квітень чистий'!P29</f>
        <v>19725659.059999943</v>
      </c>
      <c r="Q33" s="26"/>
      <c r="R33" s="26"/>
      <c r="T33" s="181"/>
    </row>
    <row r="34" spans="1:20" ht="137.25" x14ac:dyDescent="0.2">
      <c r="A34" s="590" t="s">
        <v>384</v>
      </c>
      <c r="B34" s="590" t="s">
        <v>385</v>
      </c>
      <c r="C34" s="590" t="s">
        <v>383</v>
      </c>
      <c r="D34" s="590" t="s">
        <v>46</v>
      </c>
      <c r="E34" s="596">
        <f>'dod3'!E34-'dod3 квітень чистий'!E30</f>
        <v>-521544.06000000006</v>
      </c>
      <c r="F34" s="596">
        <f>'dod3'!F34-'dod3 квітень чистий'!F30</f>
        <v>-521544.06000000006</v>
      </c>
      <c r="G34" s="596">
        <f>'dod3'!G34-'dod3 квітень чистий'!G30</f>
        <v>-300000</v>
      </c>
      <c r="H34" s="596">
        <f>'dod3'!H34-'dod3 квітень чистий'!H30</f>
        <v>-100721</v>
      </c>
      <c r="I34" s="596">
        <f>'dod3'!I34-'dod3 квітень чистий'!I30</f>
        <v>0</v>
      </c>
      <c r="J34" s="596">
        <f>'dod3'!J34-'dod3 квітень чистий'!J30</f>
        <v>0</v>
      </c>
      <c r="K34" s="596">
        <f>'dod3'!K34-'dod3 квітень чистий'!K30</f>
        <v>0</v>
      </c>
      <c r="L34" s="596">
        <f>'dod3'!L34-'dod3 квітень чистий'!L30</f>
        <v>0</v>
      </c>
      <c r="M34" s="596">
        <f>'dod3'!M34-'dod3 квітень чистий'!M30</f>
        <v>0</v>
      </c>
      <c r="N34" s="596">
        <f>'dod3'!N34-'dod3 квітень чистий'!N30</f>
        <v>0</v>
      </c>
      <c r="O34" s="596">
        <f>'dod3'!O34-'dod3 квітень чистий'!O30</f>
        <v>0</v>
      </c>
      <c r="P34" s="596">
        <f>'dod3'!P34-'dod3 квітень чистий'!P30</f>
        <v>-521544.06000000006</v>
      </c>
    </row>
    <row r="35" spans="1:20" ht="409.6" customHeight="1" x14ac:dyDescent="0.2">
      <c r="A35" s="590" t="s">
        <v>387</v>
      </c>
      <c r="B35" s="590" t="s">
        <v>386</v>
      </c>
      <c r="C35" s="590" t="s">
        <v>388</v>
      </c>
      <c r="D35" s="590" t="s">
        <v>47</v>
      </c>
      <c r="E35" s="596">
        <f>'dod3'!E35-'dod3 квітень чистий'!E31</f>
        <v>159400</v>
      </c>
      <c r="F35" s="596">
        <f>'dod3'!F35-'dod3 квітень чистий'!F31</f>
        <v>159400</v>
      </c>
      <c r="G35" s="596">
        <f>'dod3'!G35-'dod3 квітень чистий'!G31</f>
        <v>157000</v>
      </c>
      <c r="H35" s="596">
        <f>'dod3'!H35-'dod3 квітень чистий'!H31</f>
        <v>0</v>
      </c>
      <c r="I35" s="596">
        <f>'dod3'!I35-'dod3 квітень чистий'!I31</f>
        <v>0</v>
      </c>
      <c r="J35" s="596">
        <f>'dod3'!J35-'dod3 квітень чистий'!J31</f>
        <v>33000</v>
      </c>
      <c r="K35" s="596">
        <f>'dod3'!K35-'dod3 квітень чистий'!K31</f>
        <v>0</v>
      </c>
      <c r="L35" s="596">
        <f>'dod3'!L35-'dod3 квітень чистий'!L31</f>
        <v>0</v>
      </c>
      <c r="M35" s="596">
        <f>'dod3'!M35-'dod3 квітень чистий'!M31</f>
        <v>0</v>
      </c>
      <c r="N35" s="596">
        <f>'dod3'!N35-'dod3 квітень чистий'!N31</f>
        <v>33000</v>
      </c>
      <c r="O35" s="596">
        <f>'dod3'!O35-'dod3 квітень чистий'!O31</f>
        <v>33000</v>
      </c>
      <c r="P35" s="596">
        <f>'dod3'!P35-'dod3 квітень чистий'!P31</f>
        <v>192400</v>
      </c>
    </row>
    <row r="36" spans="1:20" ht="183" x14ac:dyDescent="0.2">
      <c r="A36" s="590" t="s">
        <v>389</v>
      </c>
      <c r="B36" s="590" t="s">
        <v>363</v>
      </c>
      <c r="C36" s="590" t="s">
        <v>344</v>
      </c>
      <c r="D36" s="590" t="s">
        <v>48</v>
      </c>
      <c r="E36" s="596">
        <f>'dod3'!E36-'dod3 квітень чистий'!E32</f>
        <v>-2596180</v>
      </c>
      <c r="F36" s="596">
        <f>'dod3'!F36-'dod3 квітень чистий'!F32</f>
        <v>-2596180</v>
      </c>
      <c r="G36" s="596">
        <f>'dod3'!G36-'dod3 квітень чистий'!G32</f>
        <v>-2376200</v>
      </c>
      <c r="H36" s="596">
        <f>'dod3'!H36-'dod3 квітень чистий'!H32</f>
        <v>-61000</v>
      </c>
      <c r="I36" s="596">
        <f>'dod3'!I36-'dod3 квітень чистий'!I32</f>
        <v>0</v>
      </c>
      <c r="J36" s="596">
        <f>'dod3'!J36-'dod3 квітень чистий'!J32</f>
        <v>2285000</v>
      </c>
      <c r="K36" s="596">
        <f>'dod3'!K36-'dod3 квітень чистий'!K32</f>
        <v>0</v>
      </c>
      <c r="L36" s="596">
        <f>'dod3'!L36-'dod3 квітень чистий'!L32</f>
        <v>0</v>
      </c>
      <c r="M36" s="596">
        <f>'dod3'!M36-'dod3 квітень чистий'!M32</f>
        <v>0</v>
      </c>
      <c r="N36" s="596">
        <f>'dod3'!N36-'dod3 квітень чистий'!N32</f>
        <v>2285000</v>
      </c>
      <c r="O36" s="596">
        <f>'dod3'!O36-'dod3 квітень чистий'!O32</f>
        <v>1985000</v>
      </c>
      <c r="P36" s="596">
        <f>'dod3'!P36-'dod3 квітень чистий'!P32</f>
        <v>-311180</v>
      </c>
    </row>
    <row r="37" spans="1:20" ht="155.25" customHeight="1" x14ac:dyDescent="0.2">
      <c r="A37" s="590" t="s">
        <v>390</v>
      </c>
      <c r="B37" s="590" t="s">
        <v>391</v>
      </c>
      <c r="C37" s="590" t="s">
        <v>392</v>
      </c>
      <c r="D37" s="590" t="s">
        <v>393</v>
      </c>
      <c r="E37" s="596">
        <f>'dod3'!E37-'dod3 квітень чистий'!E33</f>
        <v>-4138800</v>
      </c>
      <c r="F37" s="596">
        <f>'dod3'!F37-'dod3 квітень чистий'!F33</f>
        <v>-4138800</v>
      </c>
      <c r="G37" s="596">
        <f>'dod3'!G37-'dod3 квітень чистий'!G33</f>
        <v>-2818800</v>
      </c>
      <c r="H37" s="596">
        <f>'dod3'!H37-'dod3 квітень чистий'!H33</f>
        <v>0</v>
      </c>
      <c r="I37" s="596">
        <f>'dod3'!I37-'dod3 квітень чистий'!I33</f>
        <v>0</v>
      </c>
      <c r="J37" s="596">
        <f>'dod3'!J37-'dod3 квітень чистий'!J33</f>
        <v>1851860</v>
      </c>
      <c r="K37" s="596">
        <f>'dod3'!K37-'dod3 квітень чистий'!K33</f>
        <v>2187420</v>
      </c>
      <c r="L37" s="596">
        <f>'dod3'!L37-'dod3 квітень чистий'!L33</f>
        <v>709932</v>
      </c>
      <c r="M37" s="596">
        <f>'dod3'!M37-'dod3 квітень чистий'!M33</f>
        <v>1412734</v>
      </c>
      <c r="N37" s="596">
        <f>'dod3'!N37-'dod3 квітень чистий'!N33</f>
        <v>-335560</v>
      </c>
      <c r="O37" s="596">
        <f>'dod3'!O37-'dod3 квітень чистий'!O33</f>
        <v>0</v>
      </c>
      <c r="P37" s="596">
        <f>'dod3'!P37-'dod3 квітень чистий'!P33</f>
        <v>-2286940</v>
      </c>
    </row>
    <row r="38" spans="1:20" ht="130.5" customHeight="1" x14ac:dyDescent="0.2">
      <c r="A38" s="590" t="s">
        <v>395</v>
      </c>
      <c r="B38" s="590" t="s">
        <v>396</v>
      </c>
      <c r="C38" s="590" t="s">
        <v>397</v>
      </c>
      <c r="D38" s="590" t="s">
        <v>394</v>
      </c>
      <c r="E38" s="596">
        <f>'dod3'!E38-'dod3 квітень чистий'!E34</f>
        <v>33300</v>
      </c>
      <c r="F38" s="596">
        <f>'dod3'!F38-'dod3 квітень чистий'!F34</f>
        <v>33300</v>
      </c>
      <c r="G38" s="596">
        <f>'dod3'!G38-'dod3 квітень чистий'!G34</f>
        <v>5500</v>
      </c>
      <c r="H38" s="596">
        <f>'dod3'!H38-'dod3 квітень чистий'!H34</f>
        <v>0</v>
      </c>
      <c r="I38" s="596">
        <f>'dod3'!I38-'dod3 квітень чистий'!I34</f>
        <v>0</v>
      </c>
      <c r="J38" s="596">
        <f>'dod3'!J38-'dod3 квітень чистий'!J34</f>
        <v>0</v>
      </c>
      <c r="K38" s="596">
        <f>'dod3'!K38-'dod3 квітень чистий'!K34</f>
        <v>0</v>
      </c>
      <c r="L38" s="596">
        <f>'dod3'!L38-'dod3 квітень чистий'!L34</f>
        <v>0</v>
      </c>
      <c r="M38" s="596">
        <f>'dod3'!M38-'dod3 квітень чистий'!M34</f>
        <v>0</v>
      </c>
      <c r="N38" s="596">
        <f>'dod3'!N38-'dod3 квітень чистий'!N34</f>
        <v>0</v>
      </c>
      <c r="O38" s="596">
        <f>'dod3'!O38-'dod3 квітень чистий'!O34</f>
        <v>0</v>
      </c>
      <c r="P38" s="596">
        <f>'dod3'!P38-'dod3 квітень чистий'!P34</f>
        <v>33300</v>
      </c>
    </row>
    <row r="39" spans="1:20" ht="112.5" customHeight="1" x14ac:dyDescent="0.2">
      <c r="A39" s="590" t="s">
        <v>399</v>
      </c>
      <c r="B39" s="590" t="s">
        <v>400</v>
      </c>
      <c r="C39" s="590"/>
      <c r="D39" s="589" t="s">
        <v>398</v>
      </c>
      <c r="E39" s="596">
        <f>'dod3'!E39-'dod3 квітень чистий'!E35</f>
        <v>-59000</v>
      </c>
      <c r="F39" s="596">
        <f>'dod3'!F39-'dod3 квітень чистий'!F35</f>
        <v>-59000</v>
      </c>
      <c r="G39" s="596">
        <f>'dod3'!G39-'dod3 квітень чистий'!G35</f>
        <v>0</v>
      </c>
      <c r="H39" s="596">
        <f>'dod3'!H39-'dod3 квітень чистий'!H35</f>
        <v>-27423</v>
      </c>
      <c r="I39" s="596">
        <f>'dod3'!I39-'dod3 квітень чистий'!I35</f>
        <v>0</v>
      </c>
      <c r="J39" s="596">
        <f>'dod3'!J39-'dod3 квітень чистий'!J35</f>
        <v>750900</v>
      </c>
      <c r="K39" s="596">
        <f>'dod3'!K39-'dod3 квітень чистий'!K35</f>
        <v>0</v>
      </c>
      <c r="L39" s="596">
        <f>'dod3'!L39-'dod3 квітень чистий'!L35</f>
        <v>0</v>
      </c>
      <c r="M39" s="596">
        <f>'dod3'!M39-'dod3 квітень чистий'!M35</f>
        <v>0</v>
      </c>
      <c r="N39" s="596">
        <f>'dod3'!N39-'dod3 квітень чистий'!N35</f>
        <v>750900</v>
      </c>
      <c r="O39" s="596">
        <f>'dod3'!O39-'dod3 квітень чистий'!O35</f>
        <v>750900</v>
      </c>
      <c r="P39" s="596">
        <f>'dod3'!P39-'dod3 квітень чистий'!P35</f>
        <v>691900</v>
      </c>
    </row>
    <row r="40" spans="1:20" s="203" customFormat="1" ht="139.5" customHeight="1" x14ac:dyDescent="0.2">
      <c r="A40" s="587" t="s">
        <v>656</v>
      </c>
      <c r="B40" s="587" t="s">
        <v>657</v>
      </c>
      <c r="C40" s="587" t="s">
        <v>397</v>
      </c>
      <c r="D40" s="587" t="s">
        <v>655</v>
      </c>
      <c r="E40" s="596">
        <f>'dod3'!E40-'dod3 квітень чистий'!E36</f>
        <v>-86200</v>
      </c>
      <c r="F40" s="596">
        <f>'dod3'!F40-'dod3 квітень чистий'!F36</f>
        <v>-86200</v>
      </c>
      <c r="G40" s="596">
        <f>'dod3'!G40-'dod3 квітень чистий'!G36</f>
        <v>0</v>
      </c>
      <c r="H40" s="596">
        <f>'dod3'!H40-'dod3 квітень чистий'!H36</f>
        <v>-27423</v>
      </c>
      <c r="I40" s="596">
        <f>'dod3'!I40-'dod3 квітень чистий'!I36</f>
        <v>0</v>
      </c>
      <c r="J40" s="596">
        <f>'dod3'!J40-'dod3 квітень чистий'!J36</f>
        <v>750900</v>
      </c>
      <c r="K40" s="596">
        <f>'dod3'!K40-'dod3 квітень чистий'!K36</f>
        <v>0</v>
      </c>
      <c r="L40" s="596">
        <f>'dod3'!L40-'dod3 квітень чистий'!L36</f>
        <v>0</v>
      </c>
      <c r="M40" s="596">
        <f>'dod3'!M40-'dod3 квітень чистий'!M36</f>
        <v>0</v>
      </c>
      <c r="N40" s="596">
        <f>'dod3'!N40-'dod3 квітень чистий'!N36</f>
        <v>750900</v>
      </c>
      <c r="O40" s="596">
        <f>'dod3'!O40-'dod3 квітень чистий'!O36</f>
        <v>750900</v>
      </c>
      <c r="P40" s="596">
        <f>'dod3'!P40-'dod3 квітень чистий'!P36</f>
        <v>664700</v>
      </c>
    </row>
    <row r="41" spans="1:20" s="203" customFormat="1" ht="124.5" customHeight="1" x14ac:dyDescent="0.2">
      <c r="A41" s="587" t="s">
        <v>697</v>
      </c>
      <c r="B41" s="587" t="s">
        <v>698</v>
      </c>
      <c r="C41" s="587" t="s">
        <v>397</v>
      </c>
      <c r="D41" s="588" t="s">
        <v>696</v>
      </c>
      <c r="E41" s="596">
        <f>'dod3'!E41-'dod3 квітень чистий'!E37</f>
        <v>27200</v>
      </c>
      <c r="F41" s="596">
        <f>'dod3'!F41-'dod3 квітень чистий'!F37</f>
        <v>27200</v>
      </c>
      <c r="G41" s="596">
        <f>'dod3'!G41-'dod3 квітень чистий'!G37</f>
        <v>0</v>
      </c>
      <c r="H41" s="596">
        <f>'dod3'!H41-'dod3 квітень чистий'!H37</f>
        <v>0</v>
      </c>
      <c r="I41" s="596">
        <f>'dod3'!I41-'dod3 квітень чистий'!I37</f>
        <v>0</v>
      </c>
      <c r="J41" s="596">
        <f>'dod3'!J41-'dod3 квітень чистий'!J37</f>
        <v>0</v>
      </c>
      <c r="K41" s="596">
        <f>'dod3'!K41-'dod3 квітень чистий'!K37</f>
        <v>0</v>
      </c>
      <c r="L41" s="596">
        <f>'dod3'!L41-'dod3 квітень чистий'!L37</f>
        <v>0</v>
      </c>
      <c r="M41" s="596">
        <f>'dod3'!M41-'dod3 квітень чистий'!M37</f>
        <v>0</v>
      </c>
      <c r="N41" s="596">
        <f>'dod3'!N41-'dod3 квітень чистий'!N37</f>
        <v>0</v>
      </c>
      <c r="O41" s="596">
        <f>'dod3'!O41-'dod3 квітень чистий'!O37</f>
        <v>0</v>
      </c>
      <c r="P41" s="596">
        <f>'dod3'!P41-'dod3 квітень чистий'!P37</f>
        <v>27200</v>
      </c>
    </row>
    <row r="42" spans="1:20" s="203" customFormat="1" ht="183" x14ac:dyDescent="0.2">
      <c r="A42" s="589" t="s">
        <v>1018</v>
      </c>
      <c r="B42" s="589" t="s">
        <v>1019</v>
      </c>
      <c r="C42" s="589" t="s">
        <v>397</v>
      </c>
      <c r="D42" s="590" t="s">
        <v>1020</v>
      </c>
      <c r="E42" s="596">
        <f>0-'dod3 квітень чистий'!E38</f>
        <v>-27200</v>
      </c>
      <c r="F42" s="596">
        <f>0-'dod3 квітень чистий'!F38</f>
        <v>-27200</v>
      </c>
      <c r="G42" s="596">
        <f>0-'dod3 квітень чистий'!G38</f>
        <v>0</v>
      </c>
      <c r="H42" s="596">
        <f>0-'dod3 квітень чистий'!H38</f>
        <v>0</v>
      </c>
      <c r="I42" s="596">
        <f>0-'dod3 квітень чистий'!I38</f>
        <v>0</v>
      </c>
      <c r="J42" s="596">
        <f>0-'dod3 квітень чистий'!J38</f>
        <v>0</v>
      </c>
      <c r="K42" s="596">
        <f>0-'dod3 квітень чистий'!K38</f>
        <v>0</v>
      </c>
      <c r="L42" s="596">
        <f>0-'dod3 квітень чистий'!L38</f>
        <v>0</v>
      </c>
      <c r="M42" s="596">
        <f>0-'dod3 квітень чистий'!M38</f>
        <v>0</v>
      </c>
      <c r="N42" s="596">
        <f>0-'dod3 квітень чистий'!N38</f>
        <v>0</v>
      </c>
      <c r="O42" s="596">
        <f>0-'dod3 квітень чистий'!O38</f>
        <v>0</v>
      </c>
      <c r="P42" s="596">
        <f>0-'dod3 квітень чистий'!P38</f>
        <v>-27200</v>
      </c>
    </row>
    <row r="43" spans="1:20" ht="46.5" x14ac:dyDescent="0.2">
      <c r="A43" s="590" t="s">
        <v>402</v>
      </c>
      <c r="B43" s="590" t="s">
        <v>403</v>
      </c>
      <c r="C43" s="590" t="s">
        <v>404</v>
      </c>
      <c r="D43" s="590" t="s">
        <v>99</v>
      </c>
      <c r="E43" s="596">
        <f>'dod3'!E42-'dod3 квітень чистий'!E39</f>
        <v>0</v>
      </c>
      <c r="F43" s="596">
        <f>'dod3'!F42-'dod3 квітень чистий'!F39</f>
        <v>0</v>
      </c>
      <c r="G43" s="596">
        <f>'dod3'!G42-'dod3 квітень чистий'!G39</f>
        <v>0</v>
      </c>
      <c r="H43" s="596">
        <f>'dod3'!H42-'dod3 квітень чистий'!H39</f>
        <v>0</v>
      </c>
      <c r="I43" s="596">
        <f>'dod3'!I42-'dod3 квітень чистий'!I39</f>
        <v>0</v>
      </c>
      <c r="J43" s="596">
        <f>'dod3'!J42-'dod3 квітень чистий'!J39</f>
        <v>0</v>
      </c>
      <c r="K43" s="596">
        <f>'dod3'!K42-'dod3 квітень чистий'!K39</f>
        <v>0</v>
      </c>
      <c r="L43" s="596">
        <f>'dod3'!L42-'dod3 квітень чистий'!L39</f>
        <v>0</v>
      </c>
      <c r="M43" s="596">
        <f>'dod3'!M42-'dod3 квітень чистий'!M39</f>
        <v>0</v>
      </c>
      <c r="N43" s="596">
        <f>'dod3'!N42-'dod3 квітень чистий'!N39</f>
        <v>0</v>
      </c>
      <c r="O43" s="596">
        <f>'dod3'!O42-'dod3 квітень чистий'!O39</f>
        <v>0</v>
      </c>
      <c r="P43" s="596">
        <f>'dod3'!P42-'dod3 квітень чистий'!P39</f>
        <v>0</v>
      </c>
    </row>
    <row r="44" spans="1:20" ht="135" x14ac:dyDescent="0.2">
      <c r="A44" s="299" t="s">
        <v>308</v>
      </c>
      <c r="B44" s="300"/>
      <c r="C44" s="300"/>
      <c r="D44" s="278" t="s">
        <v>53</v>
      </c>
      <c r="E44" s="246">
        <f>E45</f>
        <v>6512832</v>
      </c>
      <c r="F44" s="247">
        <f t="shared" ref="F44:P44" si="7">F45</f>
        <v>6512832</v>
      </c>
      <c r="G44" s="246">
        <f t="shared" si="7"/>
        <v>0</v>
      </c>
      <c r="H44" s="246">
        <f t="shared" si="7"/>
        <v>0</v>
      </c>
      <c r="I44" s="247">
        <f t="shared" si="7"/>
        <v>0</v>
      </c>
      <c r="J44" s="246">
        <f t="shared" si="7"/>
        <v>5675602</v>
      </c>
      <c r="K44" s="247">
        <f t="shared" si="7"/>
        <v>-37549</v>
      </c>
      <c r="L44" s="246">
        <f t="shared" si="7"/>
        <v>0</v>
      </c>
      <c r="M44" s="246">
        <f t="shared" si="7"/>
        <v>0</v>
      </c>
      <c r="N44" s="247">
        <f t="shared" si="7"/>
        <v>5713151</v>
      </c>
      <c r="O44" s="246">
        <f t="shared" si="7"/>
        <v>5675602</v>
      </c>
      <c r="P44" s="246">
        <f t="shared" si="7"/>
        <v>12188434</v>
      </c>
    </row>
    <row r="45" spans="1:20" ht="135" x14ac:dyDescent="0.2">
      <c r="A45" s="277" t="s">
        <v>309</v>
      </c>
      <c r="B45" s="277"/>
      <c r="C45" s="277"/>
      <c r="D45" s="281" t="s">
        <v>91</v>
      </c>
      <c r="E45" s="244">
        <f>E46+E47+E48+E49+E55+E50+E52+E58</f>
        <v>6512832</v>
      </c>
      <c r="F45" s="243">
        <f>F46+F47+F48+F49+F55+F50+F52+F58</f>
        <v>6512832</v>
      </c>
      <c r="G45" s="244">
        <f>G46+G47+G48+G49+G55+G50+G52</f>
        <v>0</v>
      </c>
      <c r="H45" s="244">
        <f>H46+H47+H48+H49+H55+H50+H52</f>
        <v>0</v>
      </c>
      <c r="I45" s="243">
        <v>0</v>
      </c>
      <c r="J45" s="244">
        <f t="shared" ref="J45" si="8">K45+N45</f>
        <v>5675602</v>
      </c>
      <c r="K45" s="243">
        <f>K46+K47+K48+K49+K55+K50+K52+K58</f>
        <v>-37549</v>
      </c>
      <c r="L45" s="244">
        <f>L46+L47+L48+L49+L55+L50+L52</f>
        <v>0</v>
      </c>
      <c r="M45" s="244">
        <f>M46+M47+M48+M49+M55+M50+M52</f>
        <v>0</v>
      </c>
      <c r="N45" s="243">
        <f>N46+N47+N48+N49+N55+N50+N52+N58</f>
        <v>5713151</v>
      </c>
      <c r="O45" s="244">
        <f>O46+O47+O48+O49+O55+O50+O58</f>
        <v>5675602</v>
      </c>
      <c r="P45" s="244">
        <f t="shared" ref="P45" si="9">E45+J45</f>
        <v>12188434</v>
      </c>
      <c r="Q45" s="240"/>
      <c r="R45" s="240"/>
    </row>
    <row r="46" spans="1:20" ht="91.5" x14ac:dyDescent="0.2">
      <c r="A46" s="590" t="s">
        <v>405</v>
      </c>
      <c r="B46" s="590" t="s">
        <v>401</v>
      </c>
      <c r="C46" s="590" t="s">
        <v>406</v>
      </c>
      <c r="D46" s="590" t="s">
        <v>55</v>
      </c>
      <c r="E46" s="596">
        <f>'dod3'!E45-'dod3 квітень чистий'!E42</f>
        <v>-1013130</v>
      </c>
      <c r="F46" s="596">
        <f>'dod3'!F45-'dod3 квітень чистий'!F42</f>
        <v>-1013130</v>
      </c>
      <c r="G46" s="596">
        <f>'dod3'!G45-'dod3 квітень чистий'!G42</f>
        <v>0</v>
      </c>
      <c r="H46" s="596">
        <f>'dod3'!H45-'dod3 квітень чистий'!H42</f>
        <v>0</v>
      </c>
      <c r="I46" s="596">
        <f>'dod3'!I45-'dod3 квітень чистий'!I42</f>
        <v>0</v>
      </c>
      <c r="J46" s="596">
        <f>'dod3'!J45-'dod3 квітень чистий'!J42</f>
        <v>3197580</v>
      </c>
      <c r="K46" s="596">
        <f>'dod3'!K45-'dod3 квітень чистий'!K42</f>
        <v>0</v>
      </c>
      <c r="L46" s="596">
        <f>'dod3'!L45-'dod3 квітень чистий'!L42</f>
        <v>0</v>
      </c>
      <c r="M46" s="596">
        <f>'dod3'!M45-'dod3 квітень чистий'!M42</f>
        <v>0</v>
      </c>
      <c r="N46" s="596">
        <f>'dod3'!N45-'dod3 квітень чистий'!N42</f>
        <v>3197580</v>
      </c>
      <c r="O46" s="596">
        <f>'dod3'!O45-'dod3 квітень чистий'!O42</f>
        <v>3197580</v>
      </c>
      <c r="P46" s="596">
        <f>'dod3'!P45-'dod3 квітень чистий'!P42</f>
        <v>2184450</v>
      </c>
    </row>
    <row r="47" spans="1:20" ht="137.25" x14ac:dyDescent="0.2">
      <c r="A47" s="590" t="s">
        <v>407</v>
      </c>
      <c r="B47" s="590" t="s">
        <v>408</v>
      </c>
      <c r="C47" s="590" t="s">
        <v>409</v>
      </c>
      <c r="D47" s="590" t="s">
        <v>410</v>
      </c>
      <c r="E47" s="596">
        <f>'dod3'!E46-'dod3 квітень чистий'!E43</f>
        <v>150000</v>
      </c>
      <c r="F47" s="596">
        <f>'dod3'!F46-'dod3 квітень чистий'!F43</f>
        <v>150000</v>
      </c>
      <c r="G47" s="596">
        <f>'dod3'!G46-'dod3 квітень чистий'!G43</f>
        <v>0</v>
      </c>
      <c r="H47" s="596">
        <f>'dod3'!H46-'dod3 квітень чистий'!H43</f>
        <v>0</v>
      </c>
      <c r="I47" s="596">
        <f>'dod3'!I46-'dod3 квітень чистий'!I43</f>
        <v>0</v>
      </c>
      <c r="J47" s="596">
        <f>'dod3'!J46-'dod3 квітень чистий'!J43</f>
        <v>271500</v>
      </c>
      <c r="K47" s="596">
        <f>'dod3'!K46-'dod3 квітень чистий'!K43</f>
        <v>-11549</v>
      </c>
      <c r="L47" s="596">
        <f>'dod3'!L46-'dod3 квітень чистий'!L43</f>
        <v>0</v>
      </c>
      <c r="M47" s="596">
        <f>'dod3'!M46-'dod3 квітень чистий'!M43</f>
        <v>0</v>
      </c>
      <c r="N47" s="596">
        <f>'dod3'!N46-'dod3 квітень чистий'!N43</f>
        <v>283049</v>
      </c>
      <c r="O47" s="596">
        <f>'dod3'!O46-'dod3 квітень чистий'!O43</f>
        <v>271500</v>
      </c>
      <c r="P47" s="596">
        <f>'dod3'!P46-'dod3 квітень чистий'!P43</f>
        <v>421500</v>
      </c>
    </row>
    <row r="48" spans="1:20" ht="137.25" x14ac:dyDescent="0.2">
      <c r="A48" s="590" t="s">
        <v>411</v>
      </c>
      <c r="B48" s="590" t="s">
        <v>412</v>
      </c>
      <c r="C48" s="590" t="s">
        <v>413</v>
      </c>
      <c r="D48" s="590" t="s">
        <v>730</v>
      </c>
      <c r="E48" s="596">
        <f>'dod3'!E47-'dod3 квітень чистий'!E44</f>
        <v>407386</v>
      </c>
      <c r="F48" s="596">
        <f>'dod3'!F47-'dod3 квітень чистий'!F44</f>
        <v>407386</v>
      </c>
      <c r="G48" s="596">
        <f>'dod3'!G47-'dod3 квітень чистий'!G44</f>
        <v>0</v>
      </c>
      <c r="H48" s="596">
        <f>'dod3'!H47-'dod3 квітень чистий'!H44</f>
        <v>0</v>
      </c>
      <c r="I48" s="596">
        <f>'dod3'!I47-'dod3 квітень чистий'!I44</f>
        <v>0</v>
      </c>
      <c r="J48" s="596">
        <f>'dod3'!J47-'dod3 квітень чистий'!J44</f>
        <v>1100985</v>
      </c>
      <c r="K48" s="596">
        <f>'dod3'!K47-'dod3 квітень чистий'!K44</f>
        <v>-26000</v>
      </c>
      <c r="L48" s="596">
        <f>'dod3'!L47-'dod3 квітень чистий'!L44</f>
        <v>0</v>
      </c>
      <c r="M48" s="596">
        <f>'dod3'!M47-'dod3 квітень чистий'!M44</f>
        <v>0</v>
      </c>
      <c r="N48" s="596">
        <f>'dod3'!N47-'dod3 квітень чистий'!N44</f>
        <v>1126985</v>
      </c>
      <c r="O48" s="596">
        <f>'dod3'!O47-'dod3 квітень чистий'!O44</f>
        <v>1100985</v>
      </c>
      <c r="P48" s="596">
        <f>'dod3'!P47-'dod3 квітень чистий'!P44</f>
        <v>1508371</v>
      </c>
    </row>
    <row r="49" spans="1:22" ht="91.5" x14ac:dyDescent="0.2">
      <c r="A49" s="590" t="s">
        <v>414</v>
      </c>
      <c r="B49" s="590" t="s">
        <v>415</v>
      </c>
      <c r="C49" s="590" t="s">
        <v>416</v>
      </c>
      <c r="D49" s="590" t="s">
        <v>417</v>
      </c>
      <c r="E49" s="596">
        <f>'dod3'!E48-'dod3 квітень чистий'!E45</f>
        <v>600000</v>
      </c>
      <c r="F49" s="596">
        <f>'dod3'!F48-'dod3 квітень чистий'!F45</f>
        <v>600000</v>
      </c>
      <c r="G49" s="596">
        <f>'dod3'!G48-'dod3 квітень чистий'!G45</f>
        <v>0</v>
      </c>
      <c r="H49" s="596">
        <f>'dod3'!H48-'dod3 квітень чистий'!H45</f>
        <v>0</v>
      </c>
      <c r="I49" s="596">
        <f>'dod3'!I48-'dod3 квітень чистий'!I45</f>
        <v>0</v>
      </c>
      <c r="J49" s="596">
        <f>'dod3'!J48-'dod3 квітень чистий'!J45</f>
        <v>121000</v>
      </c>
      <c r="K49" s="596">
        <f>'dod3'!K48-'dod3 квітень чистий'!K45</f>
        <v>0</v>
      </c>
      <c r="L49" s="596">
        <f>'dod3'!L48-'dod3 квітень чистий'!L45</f>
        <v>0</v>
      </c>
      <c r="M49" s="596">
        <f>'dod3'!M48-'dod3 квітень чистий'!M45</f>
        <v>0</v>
      </c>
      <c r="N49" s="596">
        <f>'dod3'!N48-'dod3 квітень чистий'!N45</f>
        <v>121000</v>
      </c>
      <c r="O49" s="596">
        <f>'dod3'!O48-'dod3 квітень чистий'!O45</f>
        <v>121000</v>
      </c>
      <c r="P49" s="596">
        <f>'dod3'!P48-'dod3 квітень чистий'!P45</f>
        <v>721000</v>
      </c>
    </row>
    <row r="50" spans="1:22" ht="91.5" x14ac:dyDescent="0.2">
      <c r="A50" s="590" t="s">
        <v>418</v>
      </c>
      <c r="B50" s="590" t="s">
        <v>419</v>
      </c>
      <c r="C50" s="590"/>
      <c r="D50" s="590" t="s">
        <v>731</v>
      </c>
      <c r="E50" s="596">
        <f>'dod3'!E49-'dod3 квітень чистий'!E46</f>
        <v>-1026724</v>
      </c>
      <c r="F50" s="596">
        <f>'dod3'!F49-'dod3 квітень чистий'!F46</f>
        <v>-1026724</v>
      </c>
      <c r="G50" s="596">
        <f>'dod3'!G49-'dod3 квітень чистий'!G46</f>
        <v>0</v>
      </c>
      <c r="H50" s="596">
        <f>'dod3'!H49-'dod3 квітень чистий'!H46</f>
        <v>0</v>
      </c>
      <c r="I50" s="596">
        <f>'dod3'!I49-'dod3 квітень чистий'!I46</f>
        <v>0</v>
      </c>
      <c r="J50" s="596">
        <f>'dod3'!J49-'dod3 квітень чистий'!J46</f>
        <v>32500</v>
      </c>
      <c r="K50" s="596">
        <f>'dod3'!K49-'dod3 квітень чистий'!K46</f>
        <v>0</v>
      </c>
      <c r="L50" s="596">
        <f>'dod3'!L49-'dod3 квітень чистий'!L46</f>
        <v>0</v>
      </c>
      <c r="M50" s="596">
        <f>'dod3'!M49-'dod3 квітень чистий'!M46</f>
        <v>0</v>
      </c>
      <c r="N50" s="596">
        <f>'dod3'!N49-'dod3 квітень чистий'!N46</f>
        <v>32500</v>
      </c>
      <c r="O50" s="596">
        <f>'dod3'!O49-'dod3 квітень чистий'!O46</f>
        <v>32500</v>
      </c>
      <c r="P50" s="596">
        <f>'dod3'!P49-'dod3 квітень чистий'!P46</f>
        <v>-994224</v>
      </c>
    </row>
    <row r="51" spans="1:22" ht="183" x14ac:dyDescent="0.2">
      <c r="A51" s="588" t="s">
        <v>420</v>
      </c>
      <c r="B51" s="587" t="s">
        <v>421</v>
      </c>
      <c r="C51" s="587" t="s">
        <v>732</v>
      </c>
      <c r="D51" s="588" t="s">
        <v>422</v>
      </c>
      <c r="E51" s="596">
        <f>'dod3'!E50-'dod3 квітень чистий'!E47</f>
        <v>-1026724</v>
      </c>
      <c r="F51" s="596">
        <f>'dod3'!F50-'dod3 квітень чистий'!F47</f>
        <v>-1026724</v>
      </c>
      <c r="G51" s="596">
        <f>'dod3'!G50-'dod3 квітень чистий'!G47</f>
        <v>0</v>
      </c>
      <c r="H51" s="596">
        <f>'dod3'!H50-'dod3 квітень чистий'!H47</f>
        <v>0</v>
      </c>
      <c r="I51" s="596">
        <f>'dod3'!I50-'dod3 квітень чистий'!I47</f>
        <v>0</v>
      </c>
      <c r="J51" s="596">
        <f>'dod3'!J50-'dod3 квітень чистий'!J47</f>
        <v>32500</v>
      </c>
      <c r="K51" s="596">
        <f>'dod3'!K50-'dod3 квітень чистий'!K47</f>
        <v>0</v>
      </c>
      <c r="L51" s="596">
        <f>'dod3'!L50-'dod3 квітень чистий'!L47</f>
        <v>0</v>
      </c>
      <c r="M51" s="596">
        <f>'dod3'!M50-'dod3 квітень чистий'!M47</f>
        <v>0</v>
      </c>
      <c r="N51" s="596">
        <f>'dod3'!N50-'dod3 квітень чистий'!N47</f>
        <v>32500</v>
      </c>
      <c r="O51" s="596">
        <f>'dod3'!O50-'dod3 квітень чистий'!O47</f>
        <v>32500</v>
      </c>
      <c r="P51" s="596">
        <f>'dod3'!P50-'dod3 квітень чистий'!P47</f>
        <v>-994224</v>
      </c>
    </row>
    <row r="52" spans="1:22" ht="137.25" x14ac:dyDescent="0.2">
      <c r="A52" s="590" t="s">
        <v>783</v>
      </c>
      <c r="B52" s="589" t="s">
        <v>784</v>
      </c>
      <c r="C52" s="589"/>
      <c r="D52" s="589" t="s">
        <v>785</v>
      </c>
      <c r="E52" s="596">
        <f>'dod3'!E51-'dod3 квітень чистий'!E48</f>
        <v>7190900</v>
      </c>
      <c r="F52" s="596">
        <f>'dod3'!F51-'dod3 квітень чистий'!F48</f>
        <v>7190900</v>
      </c>
      <c r="G52" s="596">
        <f>'dod3'!G51-'dod3 квітень чистий'!G48</f>
        <v>0</v>
      </c>
      <c r="H52" s="596">
        <f>'dod3'!H51-'dod3 квітень чистий'!H48</f>
        <v>0</v>
      </c>
      <c r="I52" s="596">
        <f>'dod3'!I51-'dod3 квітень чистий'!I48</f>
        <v>0</v>
      </c>
      <c r="J52" s="596">
        <f>'dod3'!J51-'dod3 квітень чистий'!J48</f>
        <v>0</v>
      </c>
      <c r="K52" s="596">
        <f>'dod3'!K51-'dod3 квітень чистий'!K48</f>
        <v>0</v>
      </c>
      <c r="L52" s="596">
        <f>'dod3'!L51-'dod3 квітень чистий'!L48</f>
        <v>0</v>
      </c>
      <c r="M52" s="596">
        <f>'dod3'!M51-'dod3 квітень чистий'!M48</f>
        <v>0</v>
      </c>
      <c r="N52" s="596">
        <f>'dod3'!N51-'dod3 квітень чистий'!N48</f>
        <v>0</v>
      </c>
      <c r="O52" s="596">
        <f>'dod3'!O51-'dod3 квітень чистий'!O48</f>
        <v>0</v>
      </c>
      <c r="P52" s="596">
        <f>'dod3'!P51-'dod3 квітень чистий'!P48</f>
        <v>7190900</v>
      </c>
    </row>
    <row r="53" spans="1:22" ht="183" x14ac:dyDescent="0.2">
      <c r="A53" s="588" t="s">
        <v>786</v>
      </c>
      <c r="B53" s="588" t="s">
        <v>787</v>
      </c>
      <c r="C53" s="589" t="s">
        <v>425</v>
      </c>
      <c r="D53" s="298" t="s">
        <v>788</v>
      </c>
      <c r="E53" s="596">
        <f>'dod3'!E52-'dod3 квітень чистий'!E49</f>
        <v>3700700</v>
      </c>
      <c r="F53" s="596">
        <f>'dod3'!F52-'dod3 квітень чистий'!F49</f>
        <v>3700700</v>
      </c>
      <c r="G53" s="596">
        <f>'dod3'!G52-'dod3 квітень чистий'!G49</f>
        <v>0</v>
      </c>
      <c r="H53" s="596">
        <f>'dod3'!H52-'dod3 квітень чистий'!H49</f>
        <v>0</v>
      </c>
      <c r="I53" s="596">
        <f>'dod3'!I52-'dod3 квітень чистий'!I49</f>
        <v>0</v>
      </c>
      <c r="J53" s="596">
        <f>'dod3'!J52-'dod3 квітень чистий'!J49</f>
        <v>0</v>
      </c>
      <c r="K53" s="596">
        <f>'dod3'!K52-'dod3 квітень чистий'!K49</f>
        <v>0</v>
      </c>
      <c r="L53" s="596">
        <f>'dod3'!L52-'dod3 квітень чистий'!L49</f>
        <v>0</v>
      </c>
      <c r="M53" s="596">
        <f>'dod3'!M52-'dod3 квітень чистий'!M49</f>
        <v>0</v>
      </c>
      <c r="N53" s="596">
        <f>'dod3'!N52-'dod3 квітень чистий'!N49</f>
        <v>0</v>
      </c>
      <c r="O53" s="596">
        <f>'dod3'!O52-'dod3 квітень чистий'!O49</f>
        <v>0</v>
      </c>
      <c r="P53" s="596">
        <f>'dod3'!P52-'dod3 квітень чистий'!P49</f>
        <v>3700700</v>
      </c>
    </row>
    <row r="54" spans="1:22" ht="183" x14ac:dyDescent="0.2">
      <c r="A54" s="588" t="s">
        <v>791</v>
      </c>
      <c r="B54" s="588" t="s">
        <v>790</v>
      </c>
      <c r="C54" s="589" t="s">
        <v>425</v>
      </c>
      <c r="D54" s="298" t="s">
        <v>789</v>
      </c>
      <c r="E54" s="596">
        <f>'dod3'!E53-'dod3 квітень чистий'!E50</f>
        <v>3490200</v>
      </c>
      <c r="F54" s="596">
        <f>'dod3'!F53-'dod3 квітень чистий'!F50</f>
        <v>3490200</v>
      </c>
      <c r="G54" s="596">
        <f>'dod3'!G53-'dod3 квітень чистий'!G50</f>
        <v>0</v>
      </c>
      <c r="H54" s="596">
        <f>'dod3'!H53-'dod3 квітень чистий'!H50</f>
        <v>0</v>
      </c>
      <c r="I54" s="596">
        <f>'dod3'!I53-'dod3 квітень чистий'!I50</f>
        <v>0</v>
      </c>
      <c r="J54" s="596">
        <f>'dod3'!J53-'dod3 квітень чистий'!J50</f>
        <v>0</v>
      </c>
      <c r="K54" s="596">
        <f>'dod3'!K53-'dod3 квітень чистий'!K50</f>
        <v>0</v>
      </c>
      <c r="L54" s="596">
        <f>'dod3'!L53-'dod3 квітень чистий'!L50</f>
        <v>0</v>
      </c>
      <c r="M54" s="596">
        <f>'dod3'!M53-'dod3 квітень чистий'!M50</f>
        <v>0</v>
      </c>
      <c r="N54" s="596">
        <f>'dod3'!N53-'dod3 квітень чистий'!N50</f>
        <v>0</v>
      </c>
      <c r="O54" s="596">
        <f>'dod3'!O53-'dod3 квітень чистий'!O50</f>
        <v>0</v>
      </c>
      <c r="P54" s="596">
        <f>'dod3'!P53-'dod3 квітень чистий'!P50</f>
        <v>3490200</v>
      </c>
    </row>
    <row r="55" spans="1:22" ht="91.5" customHeight="1" x14ac:dyDescent="0.2">
      <c r="A55" s="590" t="s">
        <v>423</v>
      </c>
      <c r="B55" s="589" t="s">
        <v>424</v>
      </c>
      <c r="C55" s="589"/>
      <c r="D55" s="589" t="s">
        <v>426</v>
      </c>
      <c r="E55" s="596">
        <f>'dod3'!E54-'dod3 квітень чистий'!E51</f>
        <v>20000</v>
      </c>
      <c r="F55" s="596">
        <f>'dod3'!F54-'dod3 квітень чистий'!F51</f>
        <v>20000</v>
      </c>
      <c r="G55" s="596">
        <f>'dod3'!G54-'dod3 квітень чистий'!G51</f>
        <v>0</v>
      </c>
      <c r="H55" s="596">
        <f>'dod3'!H54-'dod3 квітень чистий'!H51</f>
        <v>0</v>
      </c>
      <c r="I55" s="596">
        <f>'dod3'!I54-'dod3 квітень чистий'!I51</f>
        <v>0</v>
      </c>
      <c r="J55" s="596">
        <f>'dod3'!J54-'dod3 квітень чистий'!J51</f>
        <v>-17600</v>
      </c>
      <c r="K55" s="596">
        <f>'dod3'!K54-'dod3 квітень чистий'!K51</f>
        <v>0</v>
      </c>
      <c r="L55" s="596">
        <f>'dod3'!L54-'dod3 квітень чистий'!L51</f>
        <v>0</v>
      </c>
      <c r="M55" s="596">
        <f>'dod3'!M54-'dod3 квітень чистий'!M51</f>
        <v>0</v>
      </c>
      <c r="N55" s="596">
        <f>'dod3'!N54-'dod3 квітень чистий'!N51</f>
        <v>-17600</v>
      </c>
      <c r="O55" s="596">
        <f>'dod3'!O54-'dod3 квітень чистий'!O51</f>
        <v>-17600</v>
      </c>
      <c r="P55" s="596">
        <f>'dod3'!P54-'dod3 квітень чистий'!P51</f>
        <v>2400</v>
      </c>
    </row>
    <row r="56" spans="1:22" s="203" customFormat="1" ht="137.25" x14ac:dyDescent="0.2">
      <c r="A56" s="588" t="s">
        <v>660</v>
      </c>
      <c r="B56" s="588" t="s">
        <v>662</v>
      </c>
      <c r="C56" s="587" t="s">
        <v>425</v>
      </c>
      <c r="D56" s="298" t="s">
        <v>658</v>
      </c>
      <c r="E56" s="596">
        <f>'dod3'!E55-'dod3 квітень чистий'!E52</f>
        <v>20000</v>
      </c>
      <c r="F56" s="596">
        <f>'dod3'!F55-'dod3 квітень чистий'!F52</f>
        <v>20000</v>
      </c>
      <c r="G56" s="596">
        <f>'dod3'!G55-'dod3 квітень чистий'!G52</f>
        <v>0</v>
      </c>
      <c r="H56" s="596">
        <f>'dod3'!H55-'dod3 квітень чистий'!H52</f>
        <v>0</v>
      </c>
      <c r="I56" s="596">
        <f>'dod3'!I55-'dod3 квітень чистий'!I52</f>
        <v>0</v>
      </c>
      <c r="J56" s="596">
        <f>'dod3'!J55-'dod3 квітень чистий'!J52</f>
        <v>-17600</v>
      </c>
      <c r="K56" s="596">
        <f>'dod3'!K55-'dod3 квітень чистий'!K52</f>
        <v>0</v>
      </c>
      <c r="L56" s="596">
        <f>'dod3'!L55-'dod3 квітень чистий'!L52</f>
        <v>0</v>
      </c>
      <c r="M56" s="596">
        <f>'dod3'!M55-'dod3 квітень чистий'!M52</f>
        <v>0</v>
      </c>
      <c r="N56" s="596">
        <f>'dod3'!N55-'dod3 квітень чистий'!N52</f>
        <v>-17600</v>
      </c>
      <c r="O56" s="596">
        <f>'dod3'!O55-'dod3 квітень чистий'!O52</f>
        <v>-17600</v>
      </c>
      <c r="P56" s="596">
        <f>'dod3'!P55-'dod3 квітень чистий'!P52</f>
        <v>2400</v>
      </c>
    </row>
    <row r="57" spans="1:22" s="203" customFormat="1" ht="91.5" x14ac:dyDescent="0.2">
      <c r="A57" s="588" t="s">
        <v>661</v>
      </c>
      <c r="B57" s="588" t="s">
        <v>663</v>
      </c>
      <c r="C57" s="587" t="s">
        <v>425</v>
      </c>
      <c r="D57" s="298" t="s">
        <v>659</v>
      </c>
      <c r="E57" s="596">
        <f>'dod3'!E56-'dod3 квітень чистий'!E53</f>
        <v>0</v>
      </c>
      <c r="F57" s="596">
        <f>'dod3'!F56-'dod3 квітень чистий'!F53</f>
        <v>0</v>
      </c>
      <c r="G57" s="596">
        <f>'dod3'!G56-'dod3 квітень чистий'!G53</f>
        <v>0</v>
      </c>
      <c r="H57" s="596">
        <f>'dod3'!H56-'dod3 квітень чистий'!H53</f>
        <v>0</v>
      </c>
      <c r="I57" s="596">
        <f>'dod3'!I56-'dod3 квітень чистий'!I53</f>
        <v>0</v>
      </c>
      <c r="J57" s="596">
        <f>'dod3'!J56-'dod3 квітень чистий'!J53</f>
        <v>0</v>
      </c>
      <c r="K57" s="596">
        <f>'dod3'!K56-'dod3 квітень чистий'!K53</f>
        <v>0</v>
      </c>
      <c r="L57" s="596">
        <f>'dod3'!L56-'dod3 квітень чистий'!L53</f>
        <v>0</v>
      </c>
      <c r="M57" s="596">
        <f>'dod3'!M56-'dod3 квітень чистий'!M53</f>
        <v>0</v>
      </c>
      <c r="N57" s="596">
        <f>'dod3'!N56-'dod3 квітень чистий'!N53</f>
        <v>0</v>
      </c>
      <c r="O57" s="596">
        <f>'dod3'!O56-'dod3 квітень чистий'!O53</f>
        <v>0</v>
      </c>
      <c r="P57" s="596">
        <f>'dod3'!P56-'dod3 квітень чистий'!P53</f>
        <v>0</v>
      </c>
    </row>
    <row r="58" spans="1:22" ht="91.5" x14ac:dyDescent="0.2">
      <c r="A58" s="590" t="s">
        <v>799</v>
      </c>
      <c r="B58" s="589" t="s">
        <v>800</v>
      </c>
      <c r="C58" s="589" t="s">
        <v>103</v>
      </c>
      <c r="D58" s="589" t="s">
        <v>801</v>
      </c>
      <c r="E58" s="596">
        <f>'dod3'!E57-'dod3 квітень чистий'!E54</f>
        <v>184400</v>
      </c>
      <c r="F58" s="596">
        <f>'dod3'!F57-'dod3 квітень чистий'!F54</f>
        <v>184400</v>
      </c>
      <c r="G58" s="596">
        <f>'dod3'!G57-'dod3 квітень чистий'!G54</f>
        <v>0</v>
      </c>
      <c r="H58" s="596">
        <f>'dod3'!H57-'dod3 квітень чистий'!H54</f>
        <v>0</v>
      </c>
      <c r="I58" s="596">
        <f>'dod3'!I57-'dod3 квітень чистий'!I54</f>
        <v>0</v>
      </c>
      <c r="J58" s="596">
        <f>'dod3'!J57-'dod3 квітень чистий'!J54</f>
        <v>969637</v>
      </c>
      <c r="K58" s="596">
        <f>'dod3'!K57-'dod3 квітень чистий'!K54</f>
        <v>0</v>
      </c>
      <c r="L58" s="596">
        <f>'dod3'!L57-'dod3 квітень чистий'!L54</f>
        <v>0</v>
      </c>
      <c r="M58" s="596">
        <f>'dod3'!M57-'dod3 квітень чистий'!M54</f>
        <v>0</v>
      </c>
      <c r="N58" s="596">
        <f>'dod3'!N57-'dod3 квітень чистий'!N54</f>
        <v>969637</v>
      </c>
      <c r="O58" s="596">
        <f>'dod3'!O57-'dod3 квітень чистий'!O54</f>
        <v>969637</v>
      </c>
      <c r="P58" s="596">
        <f>'dod3'!P57-'dod3 квітень чистий'!P54</f>
        <v>1154037</v>
      </c>
    </row>
    <row r="59" spans="1:22" ht="225" x14ac:dyDescent="0.2">
      <c r="A59" s="277" t="s">
        <v>310</v>
      </c>
      <c r="B59" s="277"/>
      <c r="C59" s="277"/>
      <c r="D59" s="278" t="s">
        <v>92</v>
      </c>
      <c r="E59" s="243">
        <f>E60</f>
        <v>5248970.0000000019</v>
      </c>
      <c r="F59" s="243">
        <f>F60</f>
        <v>5248970.0000000019</v>
      </c>
      <c r="G59" s="243">
        <f>G60</f>
        <v>36900</v>
      </c>
      <c r="H59" s="243">
        <f t="shared" ref="H59:O59" si="10">H60</f>
        <v>20200</v>
      </c>
      <c r="I59" s="243">
        <f t="shared" si="10"/>
        <v>0</v>
      </c>
      <c r="J59" s="243">
        <f t="shared" si="10"/>
        <v>7126222.6299999999</v>
      </c>
      <c r="K59" s="243">
        <f t="shared" si="10"/>
        <v>0</v>
      </c>
      <c r="L59" s="243">
        <f t="shared" si="10"/>
        <v>0</v>
      </c>
      <c r="M59" s="243">
        <f t="shared" si="10"/>
        <v>0</v>
      </c>
      <c r="N59" s="243">
        <f t="shared" si="10"/>
        <v>7126222.6299999999</v>
      </c>
      <c r="O59" s="244">
        <f t="shared" si="10"/>
        <v>7126222.6299999999</v>
      </c>
      <c r="P59" s="244">
        <f>P60</f>
        <v>12375192.630000003</v>
      </c>
    </row>
    <row r="60" spans="1:22" ht="225" x14ac:dyDescent="0.2">
      <c r="A60" s="280" t="s">
        <v>311</v>
      </c>
      <c r="B60" s="280"/>
      <c r="C60" s="280"/>
      <c r="D60" s="281" t="s">
        <v>93</v>
      </c>
      <c r="E60" s="244">
        <f>E98+E90+E106+E93+E73+E82+E67+E61+E64+E104+E81+E89+E94+E97</f>
        <v>5248970.0000000019</v>
      </c>
      <c r="F60" s="243">
        <f>F98+F90+F106+F93+F73+F82+F67+F61+F64+F104+F81+F89+F94+F97</f>
        <v>5248970.0000000019</v>
      </c>
      <c r="G60" s="244">
        <f>G98+G90+G106+G93+G73+G82+G67+G61+G64+G104+G81+G89</f>
        <v>36900</v>
      </c>
      <c r="H60" s="244">
        <f>H98+H90+H106+H93+H73+H82+H67+H61+H64+H104+H81+H89</f>
        <v>20200</v>
      </c>
      <c r="I60" s="243">
        <v>0</v>
      </c>
      <c r="J60" s="244">
        <f t="shared" ref="J60" si="11">K60+N60</f>
        <v>7126222.6299999999</v>
      </c>
      <c r="K60" s="243">
        <f>K98+K90+K106+K93+K73+K82+K67+K61+K64+K104+K81+K89+K109+K100</f>
        <v>0</v>
      </c>
      <c r="L60" s="244">
        <f>L98+L90+L106+L93+L73+L82+L67+L61+L64+L104+L81+L89</f>
        <v>0</v>
      </c>
      <c r="M60" s="244">
        <f>M98+M90+M106+M93+M73+M82+M67+M61+M64+M104+M81+M89</f>
        <v>0</v>
      </c>
      <c r="N60" s="243">
        <f>N98+N90+N106+N93+N73+N82+N67+N61+N64+N104+N81+N89+N109+N100</f>
        <v>7126222.6299999999</v>
      </c>
      <c r="O60" s="244">
        <f>O98+O90+O106+O93+O73+O82+O67+O61+O64+O104+O81+O89+O109+O100</f>
        <v>7126222.6299999999</v>
      </c>
      <c r="P60" s="244">
        <f t="shared" ref="P60" si="12">E60+J60</f>
        <v>12375192.630000003</v>
      </c>
      <c r="Q60" s="311"/>
      <c r="R60" s="325"/>
      <c r="S60" s="312"/>
      <c r="T60" s="311"/>
      <c r="U60" s="312"/>
      <c r="V60" s="312"/>
    </row>
    <row r="61" spans="1:22" ht="366" x14ac:dyDescent="0.2">
      <c r="A61" s="589" t="s">
        <v>451</v>
      </c>
      <c r="B61" s="589" t="s">
        <v>452</v>
      </c>
      <c r="C61" s="589"/>
      <c r="D61" s="589" t="s">
        <v>14</v>
      </c>
      <c r="E61" s="596">
        <f>'dod3'!E60-'dod3 квітень чистий'!E57</f>
        <v>0</v>
      </c>
      <c r="F61" s="596">
        <f>'dod3'!F60-'dod3 квітень чистий'!F57</f>
        <v>0</v>
      </c>
      <c r="G61" s="596">
        <f>'dod3'!G60-'dod3 квітень чистий'!G57</f>
        <v>0</v>
      </c>
      <c r="H61" s="596">
        <f>'dod3'!H60-'dod3 квітень чистий'!H57</f>
        <v>0</v>
      </c>
      <c r="I61" s="596">
        <f>'dod3'!I60-'dod3 квітень чистий'!I57</f>
        <v>0</v>
      </c>
      <c r="J61" s="596">
        <f>'dod3'!J60-'dod3 квітень чистий'!J57</f>
        <v>0</v>
      </c>
      <c r="K61" s="596">
        <f>'dod3'!K60-'dod3 квітень чистий'!K57</f>
        <v>0</v>
      </c>
      <c r="L61" s="596">
        <f>'dod3'!L60-'dod3 квітень чистий'!L57</f>
        <v>0</v>
      </c>
      <c r="M61" s="596">
        <f>'dod3'!M60-'dod3 квітень чистий'!M57</f>
        <v>0</v>
      </c>
      <c r="N61" s="596">
        <f>'dod3'!N60-'dod3 квітень чистий'!N57</f>
        <v>0</v>
      </c>
      <c r="O61" s="596">
        <f>'dod3'!O60-'dod3 квітень чистий'!O57</f>
        <v>0</v>
      </c>
      <c r="P61" s="596">
        <f>'dod3'!P60-'dod3 квітень чистий'!P57</f>
        <v>0</v>
      </c>
    </row>
    <row r="62" spans="1:22" ht="183" x14ac:dyDescent="0.2">
      <c r="A62" s="587" t="s">
        <v>453</v>
      </c>
      <c r="B62" s="587" t="s">
        <v>454</v>
      </c>
      <c r="C62" s="587" t="s">
        <v>385</v>
      </c>
      <c r="D62" s="301" t="s">
        <v>450</v>
      </c>
      <c r="E62" s="596">
        <f>'dod3'!E61-'dod3 квітень чистий'!E58</f>
        <v>0</v>
      </c>
      <c r="F62" s="596">
        <f>'dod3'!F61-'dod3 квітень чистий'!F58</f>
        <v>0</v>
      </c>
      <c r="G62" s="596">
        <f>'dod3'!G61-'dod3 квітень чистий'!G58</f>
        <v>0</v>
      </c>
      <c r="H62" s="596">
        <f>'dod3'!H61-'dod3 квітень чистий'!H58</f>
        <v>0</v>
      </c>
      <c r="I62" s="596">
        <f>'dod3'!I61-'dod3 квітень чистий'!I58</f>
        <v>0</v>
      </c>
      <c r="J62" s="596">
        <f>'dod3'!J61-'dod3 квітень чистий'!J58</f>
        <v>0</v>
      </c>
      <c r="K62" s="596">
        <f>'dod3'!K61-'dod3 квітень чистий'!K58</f>
        <v>0</v>
      </c>
      <c r="L62" s="596">
        <f>'dod3'!L61-'dod3 квітень чистий'!L58</f>
        <v>0</v>
      </c>
      <c r="M62" s="596">
        <f>'dod3'!M61-'dod3 квітень чистий'!M58</f>
        <v>0</v>
      </c>
      <c r="N62" s="596">
        <f>'dod3'!N61-'dod3 квітень чистий'!N58</f>
        <v>0</v>
      </c>
      <c r="O62" s="596">
        <f>'dod3'!O61-'dod3 квітень чистий'!O58</f>
        <v>0</v>
      </c>
      <c r="P62" s="596">
        <f>'dod3'!P61-'dod3 квітень чистий'!P58</f>
        <v>0</v>
      </c>
    </row>
    <row r="63" spans="1:22" ht="183" x14ac:dyDescent="0.2">
      <c r="A63" s="302" t="s">
        <v>476</v>
      </c>
      <c r="B63" s="587" t="s">
        <v>477</v>
      </c>
      <c r="C63" s="587" t="s">
        <v>117</v>
      </c>
      <c r="D63" s="588" t="s">
        <v>15</v>
      </c>
      <c r="E63" s="596">
        <f>'dod3'!E62-'dod3 квітень чистий'!E59</f>
        <v>0</v>
      </c>
      <c r="F63" s="596">
        <f>'dod3'!F62-'dod3 квітень чистий'!F59</f>
        <v>0</v>
      </c>
      <c r="G63" s="596">
        <f>'dod3'!G62-'dod3 квітень чистий'!G59</f>
        <v>0</v>
      </c>
      <c r="H63" s="596">
        <f>'dod3'!H62-'dod3 квітень чистий'!H59</f>
        <v>0</v>
      </c>
      <c r="I63" s="596">
        <f>'dod3'!I62-'dod3 квітень чистий'!I59</f>
        <v>0</v>
      </c>
      <c r="J63" s="596">
        <f>'dod3'!J62-'dod3 квітень чистий'!J59</f>
        <v>0</v>
      </c>
      <c r="K63" s="596">
        <f>'dod3'!K62-'dod3 квітень чистий'!K59</f>
        <v>0</v>
      </c>
      <c r="L63" s="596">
        <f>'dod3'!L62-'dod3 квітень чистий'!L59</f>
        <v>0</v>
      </c>
      <c r="M63" s="596">
        <f>'dod3'!M62-'dod3 квітень чистий'!M59</f>
        <v>0</v>
      </c>
      <c r="N63" s="596">
        <f>'dod3'!N62-'dod3 квітень чистий'!N59</f>
        <v>0</v>
      </c>
      <c r="O63" s="596">
        <f>'dod3'!O62-'dod3 квітень чистий'!O59</f>
        <v>0</v>
      </c>
      <c r="P63" s="596">
        <f>'dod3'!P62-'dod3 квітень чистий'!P59</f>
        <v>0</v>
      </c>
    </row>
    <row r="64" spans="1:22" ht="228.75" x14ac:dyDescent="0.2">
      <c r="A64" s="590" t="s">
        <v>478</v>
      </c>
      <c r="B64" s="590" t="s">
        <v>479</v>
      </c>
      <c r="C64" s="588"/>
      <c r="D64" s="590" t="s">
        <v>16</v>
      </c>
      <c r="E64" s="596">
        <f>'dod3'!E63-'dod3 квітень чистий'!E60</f>
        <v>0</v>
      </c>
      <c r="F64" s="596">
        <f>'dod3'!F63-'dod3 квітень чистий'!F60</f>
        <v>0</v>
      </c>
      <c r="G64" s="596">
        <f>'dod3'!G63-'dod3 квітень чистий'!G60</f>
        <v>0</v>
      </c>
      <c r="H64" s="596">
        <f>'dod3'!H63-'dod3 квітень чистий'!H60</f>
        <v>0</v>
      </c>
      <c r="I64" s="596">
        <f>'dod3'!I63-'dod3 квітень чистий'!I60</f>
        <v>0</v>
      </c>
      <c r="J64" s="596">
        <f>'dod3'!J63-'dod3 квітень чистий'!J60</f>
        <v>0</v>
      </c>
      <c r="K64" s="596">
        <f>'dod3'!K63-'dod3 квітень чистий'!K60</f>
        <v>0</v>
      </c>
      <c r="L64" s="596">
        <f>'dod3'!L63-'dod3 квітень чистий'!L60</f>
        <v>0</v>
      </c>
      <c r="M64" s="596">
        <f>'dod3'!M63-'dod3 квітень чистий'!M60</f>
        <v>0</v>
      </c>
      <c r="N64" s="596">
        <f>'dod3'!N63-'dod3 квітень чистий'!N60</f>
        <v>0</v>
      </c>
      <c r="O64" s="596">
        <f>'dod3'!O63-'dod3 квітень чистий'!O60</f>
        <v>0</v>
      </c>
      <c r="P64" s="596">
        <f>'dod3'!P63-'dod3 квітень чистий'!P60</f>
        <v>0</v>
      </c>
    </row>
    <row r="65" spans="1:16" ht="274.5" x14ac:dyDescent="0.2">
      <c r="A65" s="588" t="s">
        <v>481</v>
      </c>
      <c r="B65" s="588" t="s">
        <v>482</v>
      </c>
      <c r="C65" s="588" t="s">
        <v>385</v>
      </c>
      <c r="D65" s="303" t="s">
        <v>480</v>
      </c>
      <c r="E65" s="596">
        <f>'dod3'!E64-'dod3 квітень чистий'!E61</f>
        <v>0</v>
      </c>
      <c r="F65" s="596">
        <f>'dod3'!F64-'dod3 квітень чистий'!F61</f>
        <v>0</v>
      </c>
      <c r="G65" s="596">
        <f>'dod3'!G64-'dod3 квітень чистий'!G61</f>
        <v>0</v>
      </c>
      <c r="H65" s="596">
        <f>'dod3'!H64-'dod3 квітень чистий'!H61</f>
        <v>0</v>
      </c>
      <c r="I65" s="596">
        <f>'dod3'!I64-'dod3 квітень чистий'!I61</f>
        <v>0</v>
      </c>
      <c r="J65" s="596">
        <f>'dod3'!J64-'dod3 квітень чистий'!J61</f>
        <v>0</v>
      </c>
      <c r="K65" s="596">
        <f>'dod3'!K64-'dod3 квітень чистий'!K61</f>
        <v>0</v>
      </c>
      <c r="L65" s="596">
        <f>'dod3'!L64-'dod3 квітень чистий'!L61</f>
        <v>0</v>
      </c>
      <c r="M65" s="596">
        <f>'dod3'!M64-'dod3 квітень чистий'!M61</f>
        <v>0</v>
      </c>
      <c r="N65" s="596">
        <f>'dod3'!N64-'dod3 квітень чистий'!N61</f>
        <v>0</v>
      </c>
      <c r="O65" s="596">
        <f>'dod3'!O64-'dod3 квітень чистий'!O61</f>
        <v>0</v>
      </c>
      <c r="P65" s="596">
        <f>'dod3'!P64-'dod3 квітень чистий'!P61</f>
        <v>0</v>
      </c>
    </row>
    <row r="66" spans="1:16" ht="228.75" x14ac:dyDescent="0.2">
      <c r="A66" s="588" t="s">
        <v>483</v>
      </c>
      <c r="B66" s="588" t="s">
        <v>484</v>
      </c>
      <c r="C66" s="303">
        <v>1060</v>
      </c>
      <c r="D66" s="304" t="s">
        <v>27</v>
      </c>
      <c r="E66" s="596">
        <f>'dod3'!E65-'dod3 квітень чистий'!E62</f>
        <v>0</v>
      </c>
      <c r="F66" s="596">
        <f>'dod3'!F65-'dod3 квітень чистий'!F62</f>
        <v>0</v>
      </c>
      <c r="G66" s="596">
        <f>'dod3'!G65-'dod3 квітень чистий'!G62</f>
        <v>0</v>
      </c>
      <c r="H66" s="596">
        <f>'dod3'!H65-'dod3 квітень чистий'!H62</f>
        <v>0</v>
      </c>
      <c r="I66" s="596">
        <f>'dod3'!I65-'dod3 квітень чистий'!I62</f>
        <v>0</v>
      </c>
      <c r="J66" s="596">
        <f>'dod3'!J65-'dod3 квітень чистий'!J62</f>
        <v>0</v>
      </c>
      <c r="K66" s="596">
        <f>'dod3'!K65-'dod3 квітень чистий'!K62</f>
        <v>0</v>
      </c>
      <c r="L66" s="596">
        <f>'dod3'!L65-'dod3 квітень чистий'!L62</f>
        <v>0</v>
      </c>
      <c r="M66" s="596">
        <f>'dod3'!M65-'dod3 квітень чистий'!M62</f>
        <v>0</v>
      </c>
      <c r="N66" s="596">
        <f>'dod3'!N65-'dod3 квітень чистий'!N62</f>
        <v>0</v>
      </c>
      <c r="O66" s="596">
        <f>'dod3'!O65-'dod3 квітень чистий'!O62</f>
        <v>0</v>
      </c>
      <c r="P66" s="596">
        <f>'dod3'!P65-'dod3 квітень чистий'!P62</f>
        <v>0</v>
      </c>
    </row>
    <row r="67" spans="1:16" ht="274.5" x14ac:dyDescent="0.2">
      <c r="A67" s="589" t="s">
        <v>514</v>
      </c>
      <c r="B67" s="589" t="s">
        <v>515</v>
      </c>
      <c r="C67" s="589"/>
      <c r="D67" s="305" t="s">
        <v>513</v>
      </c>
      <c r="E67" s="596">
        <f>'dod3'!E66-'dod3 квітень чистий'!E63</f>
        <v>6800000</v>
      </c>
      <c r="F67" s="596">
        <f>'dod3'!F66-'dod3 квітень чистий'!F63</f>
        <v>6800000</v>
      </c>
      <c r="G67" s="596">
        <f>'dod3'!G66-'dod3 квітень чистий'!G63</f>
        <v>0</v>
      </c>
      <c r="H67" s="596">
        <f>'dod3'!H66-'dod3 квітень чистий'!H63</f>
        <v>0</v>
      </c>
      <c r="I67" s="596">
        <f>'dod3'!I66-'dod3 квітень чистий'!I63</f>
        <v>0</v>
      </c>
      <c r="J67" s="596">
        <f>'dod3'!J66-'dod3 квітень чистий'!J63</f>
        <v>0</v>
      </c>
      <c r="K67" s="596">
        <f>'dod3'!K66-'dod3 квітень чистий'!K63</f>
        <v>0</v>
      </c>
      <c r="L67" s="596">
        <f>'dod3'!L66-'dod3 квітень чистий'!L63</f>
        <v>0</v>
      </c>
      <c r="M67" s="596">
        <f>'dod3'!M66-'dod3 квітень чистий'!M63</f>
        <v>0</v>
      </c>
      <c r="N67" s="596">
        <f>'dod3'!N66-'dod3 квітень чистий'!N63</f>
        <v>0</v>
      </c>
      <c r="O67" s="596">
        <f>'dod3'!O66-'dod3 квітень чистий'!O63</f>
        <v>0</v>
      </c>
      <c r="P67" s="596">
        <f>'dod3'!P66-'dod3 квітень чистий'!P63</f>
        <v>6800000</v>
      </c>
    </row>
    <row r="68" spans="1:16" s="203" customFormat="1" ht="137.25" x14ac:dyDescent="0.2">
      <c r="A68" s="587" t="s">
        <v>516</v>
      </c>
      <c r="B68" s="587" t="s">
        <v>517</v>
      </c>
      <c r="C68" s="587" t="s">
        <v>385</v>
      </c>
      <c r="D68" s="306" t="s">
        <v>518</v>
      </c>
      <c r="E68" s="596">
        <f>'dod3'!E67-'dod3 квітень чистий'!E64</f>
        <v>0</v>
      </c>
      <c r="F68" s="596">
        <f>'dod3'!F67-'dod3 квітень чистий'!F64</f>
        <v>0</v>
      </c>
      <c r="G68" s="596">
        <f>'dod3'!G67-'dod3 квітень чистий'!G64</f>
        <v>0</v>
      </c>
      <c r="H68" s="596">
        <f>'dod3'!H67-'dod3 квітень чистий'!H64</f>
        <v>0</v>
      </c>
      <c r="I68" s="596">
        <f>'dod3'!I67-'dod3 квітень чистий'!I64</f>
        <v>0</v>
      </c>
      <c r="J68" s="596">
        <f>'dod3'!J67-'dod3 квітень чистий'!J64</f>
        <v>0</v>
      </c>
      <c r="K68" s="596">
        <f>'dod3'!K67-'dod3 квітень чистий'!K64</f>
        <v>0</v>
      </c>
      <c r="L68" s="596">
        <f>'dod3'!L67-'dod3 квітень чистий'!L64</f>
        <v>0</v>
      </c>
      <c r="M68" s="596">
        <f>'dod3'!M67-'dod3 квітень чистий'!M64</f>
        <v>0</v>
      </c>
      <c r="N68" s="596">
        <f>'dod3'!N67-'dod3 квітень чистий'!N64</f>
        <v>0</v>
      </c>
      <c r="O68" s="596">
        <f>'dod3'!O67-'dod3 квітень чистий'!O64</f>
        <v>0</v>
      </c>
      <c r="P68" s="596">
        <f>'dod3'!P67-'dod3 квітень чистий'!P64</f>
        <v>0</v>
      </c>
    </row>
    <row r="69" spans="1:16" s="203" customFormat="1" ht="137.25" x14ac:dyDescent="0.2">
      <c r="A69" s="588" t="s">
        <v>519</v>
      </c>
      <c r="B69" s="588" t="s">
        <v>520</v>
      </c>
      <c r="C69" s="588" t="s">
        <v>386</v>
      </c>
      <c r="D69" s="588" t="s">
        <v>24</v>
      </c>
      <c r="E69" s="596">
        <f>'dod3'!E68-'dod3 квітень чистий'!E65</f>
        <v>-200000</v>
      </c>
      <c r="F69" s="596">
        <f>'dod3'!F68-'dod3 квітень чистий'!F65</f>
        <v>-200000</v>
      </c>
      <c r="G69" s="596">
        <f>'dod3'!G68-'dod3 квітень чистий'!G65</f>
        <v>0</v>
      </c>
      <c r="H69" s="596">
        <f>'dod3'!H68-'dod3 квітень чистий'!H65</f>
        <v>0</v>
      </c>
      <c r="I69" s="596">
        <f>'dod3'!I68-'dod3 квітень чистий'!I65</f>
        <v>0</v>
      </c>
      <c r="J69" s="596">
        <f>'dod3'!J68-'dod3 квітень чистий'!J65</f>
        <v>0</v>
      </c>
      <c r="K69" s="596">
        <f>'dod3'!K68-'dod3 квітень чистий'!K65</f>
        <v>0</v>
      </c>
      <c r="L69" s="596">
        <f>'dod3'!L68-'dod3 квітень чистий'!L65</f>
        <v>0</v>
      </c>
      <c r="M69" s="596">
        <f>'dod3'!M68-'dod3 квітень чистий'!M65</f>
        <v>0</v>
      </c>
      <c r="N69" s="596">
        <f>'dod3'!N68-'dod3 квітень чистий'!N65</f>
        <v>0</v>
      </c>
      <c r="O69" s="596">
        <f>'dod3'!O68-'dod3 квітень чистий'!O65</f>
        <v>0</v>
      </c>
      <c r="P69" s="596">
        <f>'dod3'!P68-'dod3 квітень чистий'!P65</f>
        <v>-200000</v>
      </c>
    </row>
    <row r="70" spans="1:16" s="203" customFormat="1" ht="183" x14ac:dyDescent="0.2">
      <c r="A70" s="588" t="s">
        <v>522</v>
      </c>
      <c r="B70" s="588" t="s">
        <v>523</v>
      </c>
      <c r="C70" s="588" t="s">
        <v>386</v>
      </c>
      <c r="D70" s="587" t="s">
        <v>25</v>
      </c>
      <c r="E70" s="596">
        <f>'dod3'!E69-'dod3 квітень чистий'!E66</f>
        <v>0</v>
      </c>
      <c r="F70" s="596">
        <f>'dod3'!F69-'dod3 квітень чистий'!F66</f>
        <v>0</v>
      </c>
      <c r="G70" s="596">
        <f>'dod3'!G69-'dod3 квітень чистий'!G66</f>
        <v>0</v>
      </c>
      <c r="H70" s="596">
        <f>'dod3'!H69-'dod3 квітень чистий'!H66</f>
        <v>0</v>
      </c>
      <c r="I70" s="596">
        <f>'dod3'!I69-'dod3 квітень чистий'!I66</f>
        <v>0</v>
      </c>
      <c r="J70" s="596">
        <f>'dod3'!J69-'dod3 квітень чистий'!J66</f>
        <v>0</v>
      </c>
      <c r="K70" s="596">
        <f>'dod3'!K69-'dod3 квітень чистий'!K66</f>
        <v>0</v>
      </c>
      <c r="L70" s="596">
        <f>'dod3'!L69-'dod3 квітень чистий'!L66</f>
        <v>0</v>
      </c>
      <c r="M70" s="596">
        <f>'dod3'!M69-'dod3 квітень чистий'!M66</f>
        <v>0</v>
      </c>
      <c r="N70" s="596">
        <f>'dod3'!N69-'dod3 квітень чистий'!N66</f>
        <v>0</v>
      </c>
      <c r="O70" s="596">
        <f>'dod3'!O69-'dod3 квітень чистий'!O66</f>
        <v>0</v>
      </c>
      <c r="P70" s="596">
        <f>'dod3'!P69-'dod3 квітень чистий'!P66</f>
        <v>0</v>
      </c>
    </row>
    <row r="71" spans="1:16" s="203" customFormat="1" ht="183" x14ac:dyDescent="0.2">
      <c r="A71" s="587" t="s">
        <v>524</v>
      </c>
      <c r="B71" s="587" t="s">
        <v>521</v>
      </c>
      <c r="C71" s="587" t="s">
        <v>386</v>
      </c>
      <c r="D71" s="587" t="s">
        <v>26</v>
      </c>
      <c r="E71" s="596">
        <f>'dod3'!E70-'dod3 квітень чистий'!E67</f>
        <v>0</v>
      </c>
      <c r="F71" s="596">
        <f>'dod3'!F70-'dod3 квітень чистий'!F67</f>
        <v>0</v>
      </c>
      <c r="G71" s="596">
        <f>'dod3'!G70-'dod3 квітень чистий'!G67</f>
        <v>0</v>
      </c>
      <c r="H71" s="596">
        <f>'dod3'!H70-'dod3 квітень чистий'!H67</f>
        <v>0</v>
      </c>
      <c r="I71" s="596">
        <f>'dod3'!I70-'dod3 квітень чистий'!I67</f>
        <v>0</v>
      </c>
      <c r="J71" s="596">
        <f>'dod3'!J70-'dod3 квітень чистий'!J67</f>
        <v>0</v>
      </c>
      <c r="K71" s="596">
        <f>'dod3'!K70-'dod3 квітень чистий'!K67</f>
        <v>0</v>
      </c>
      <c r="L71" s="596">
        <f>'dod3'!L70-'dod3 квітень чистий'!L67</f>
        <v>0</v>
      </c>
      <c r="M71" s="596">
        <f>'dod3'!M70-'dod3 квітень чистий'!M67</f>
        <v>0</v>
      </c>
      <c r="N71" s="596">
        <f>'dod3'!N70-'dod3 квітень чистий'!N67</f>
        <v>0</v>
      </c>
      <c r="O71" s="596">
        <f>'dod3'!O70-'dod3 квітень чистий'!O67</f>
        <v>0</v>
      </c>
      <c r="P71" s="596">
        <f>'dod3'!P70-'dod3 квітень чистий'!P67</f>
        <v>0</v>
      </c>
    </row>
    <row r="72" spans="1:16" s="203" customFormat="1" ht="183" x14ac:dyDescent="0.2">
      <c r="A72" s="587" t="s">
        <v>525</v>
      </c>
      <c r="B72" s="587" t="s">
        <v>526</v>
      </c>
      <c r="C72" s="587" t="s">
        <v>386</v>
      </c>
      <c r="D72" s="587" t="s">
        <v>31</v>
      </c>
      <c r="E72" s="596">
        <f>'dod3'!E71-'dod3 квітень чистий'!E68</f>
        <v>7000000</v>
      </c>
      <c r="F72" s="596">
        <f>'dod3'!F71-'dod3 квітень чистий'!F68</f>
        <v>7000000</v>
      </c>
      <c r="G72" s="596">
        <f>'dod3'!G71-'dod3 квітень чистий'!G68</f>
        <v>0</v>
      </c>
      <c r="H72" s="596">
        <f>'dod3'!H71-'dod3 квітень чистий'!H68</f>
        <v>0</v>
      </c>
      <c r="I72" s="596">
        <f>'dod3'!I71-'dod3 квітень чистий'!I68</f>
        <v>0</v>
      </c>
      <c r="J72" s="596">
        <f>'dod3'!J71-'dod3 квітень чистий'!J68</f>
        <v>0</v>
      </c>
      <c r="K72" s="596">
        <f>'dod3'!K71-'dod3 квітень чистий'!K68</f>
        <v>0</v>
      </c>
      <c r="L72" s="596">
        <f>'dod3'!L71-'dod3 квітень чистий'!L68</f>
        <v>0</v>
      </c>
      <c r="M72" s="596">
        <f>'dod3'!M71-'dod3 квітень чистий'!M68</f>
        <v>0</v>
      </c>
      <c r="N72" s="596">
        <f>'dod3'!N71-'dod3 квітень чистий'!N68</f>
        <v>0</v>
      </c>
      <c r="O72" s="596">
        <f>'dod3'!O71-'dod3 квітень чистий'!O68</f>
        <v>0</v>
      </c>
      <c r="P72" s="596">
        <f>'dod3'!P71-'dod3 квітень чистий'!P68</f>
        <v>7000000</v>
      </c>
    </row>
    <row r="73" spans="1:16" ht="183" x14ac:dyDescent="0.2">
      <c r="A73" s="590" t="s">
        <v>455</v>
      </c>
      <c r="B73" s="590" t="s">
        <v>456</v>
      </c>
      <c r="C73" s="590"/>
      <c r="D73" s="590" t="s">
        <v>733</v>
      </c>
      <c r="E73" s="596">
        <f>'dod3'!E72-'dod3 квітень чистий'!E69</f>
        <v>-6661180</v>
      </c>
      <c r="F73" s="596">
        <f>'dod3'!F72-'dod3 квітень чистий'!F69</f>
        <v>-6661180</v>
      </c>
      <c r="G73" s="596">
        <f>'dod3'!G72-'dod3 квітень чистий'!G69</f>
        <v>0</v>
      </c>
      <c r="H73" s="596">
        <f>'dod3'!H72-'dod3 квітень чистий'!H69</f>
        <v>0</v>
      </c>
      <c r="I73" s="596">
        <f>'dod3'!I72-'dod3 квітень чистий'!I69</f>
        <v>0</v>
      </c>
      <c r="J73" s="596">
        <f>'dod3'!J72-'dod3 квітень чистий'!J69</f>
        <v>0</v>
      </c>
      <c r="K73" s="596">
        <f>'dod3'!K72-'dod3 квітень чистий'!K69</f>
        <v>0</v>
      </c>
      <c r="L73" s="596">
        <f>'dod3'!L72-'dod3 квітень чистий'!L69</f>
        <v>0</v>
      </c>
      <c r="M73" s="596">
        <f>'dod3'!M72-'dod3 квітень чистий'!M69</f>
        <v>0</v>
      </c>
      <c r="N73" s="596">
        <f>'dod3'!N72-'dod3 квітень чистий'!N69</f>
        <v>0</v>
      </c>
      <c r="O73" s="596">
        <f>'dod3'!O72-'dod3 квітень чистий'!O69</f>
        <v>0</v>
      </c>
      <c r="P73" s="596">
        <f>'dod3'!P72-'dod3 квітень чистий'!P69</f>
        <v>-6661180</v>
      </c>
    </row>
    <row r="74" spans="1:16" s="203" customFormat="1" ht="91.5" x14ac:dyDescent="0.2">
      <c r="A74" s="588" t="s">
        <v>465</v>
      </c>
      <c r="B74" s="588" t="s">
        <v>457</v>
      </c>
      <c r="C74" s="588" t="s">
        <v>353</v>
      </c>
      <c r="D74" s="588" t="s">
        <v>18</v>
      </c>
      <c r="E74" s="596">
        <f>'dod3'!E73-'dod3 квітень чистий'!E70</f>
        <v>0</v>
      </c>
      <c r="F74" s="596">
        <f>'dod3'!F73-'dod3 квітень чистий'!F70</f>
        <v>0</v>
      </c>
      <c r="G74" s="596">
        <f>'dod3'!G73-'dod3 квітень чистий'!G70</f>
        <v>0</v>
      </c>
      <c r="H74" s="596">
        <f>'dod3'!H73-'dod3 квітень чистий'!H70</f>
        <v>0</v>
      </c>
      <c r="I74" s="596">
        <f>'dod3'!I73-'dod3 квітень чистий'!I70</f>
        <v>0</v>
      </c>
      <c r="J74" s="596">
        <f>'dod3'!J73-'dod3 квітень чистий'!J70</f>
        <v>0</v>
      </c>
      <c r="K74" s="596">
        <f>'dod3'!K73-'dod3 квітень чистий'!K70</f>
        <v>0</v>
      </c>
      <c r="L74" s="596">
        <f>'dod3'!L73-'dod3 квітень чистий'!L70</f>
        <v>0</v>
      </c>
      <c r="M74" s="596">
        <f>'dod3'!M73-'dod3 квітень чистий'!M70</f>
        <v>0</v>
      </c>
      <c r="N74" s="596">
        <f>'dod3'!N73-'dod3 квітень чистий'!N70</f>
        <v>0</v>
      </c>
      <c r="O74" s="596">
        <f>'dod3'!O73-'dod3 квітень чистий'!O70</f>
        <v>0</v>
      </c>
      <c r="P74" s="596">
        <f>'dod3'!P73-'dod3 квітень чистий'!P70</f>
        <v>0</v>
      </c>
    </row>
    <row r="75" spans="1:16" s="203" customFormat="1" ht="91.5" x14ac:dyDescent="0.2">
      <c r="A75" s="588" t="s">
        <v>466</v>
      </c>
      <c r="B75" s="588" t="s">
        <v>458</v>
      </c>
      <c r="C75" s="588" t="s">
        <v>353</v>
      </c>
      <c r="D75" s="588" t="s">
        <v>464</v>
      </c>
      <c r="E75" s="596">
        <f>'dod3'!E74-'dod3 квітень чистий'!E71</f>
        <v>0</v>
      </c>
      <c r="F75" s="596">
        <f>'dod3'!F74-'dod3 квітень чистий'!F71</f>
        <v>0</v>
      </c>
      <c r="G75" s="596">
        <f>'dod3'!G74-'dod3 квітень чистий'!G71</f>
        <v>0</v>
      </c>
      <c r="H75" s="596">
        <f>'dod3'!H74-'dod3 квітень чистий'!H71</f>
        <v>0</v>
      </c>
      <c r="I75" s="596">
        <f>'dod3'!I74-'dod3 квітень чистий'!I71</f>
        <v>0</v>
      </c>
      <c r="J75" s="596">
        <f>'dod3'!J74-'dod3 квітень чистий'!J71</f>
        <v>0</v>
      </c>
      <c r="K75" s="596">
        <f>'dod3'!K74-'dod3 квітень чистий'!K71</f>
        <v>0</v>
      </c>
      <c r="L75" s="596">
        <f>'dod3'!L74-'dod3 квітень чистий'!L71</f>
        <v>0</v>
      </c>
      <c r="M75" s="596">
        <f>'dod3'!M74-'dod3 квітень чистий'!M71</f>
        <v>0</v>
      </c>
      <c r="N75" s="596">
        <f>'dod3'!N74-'dod3 квітень чистий'!N71</f>
        <v>0</v>
      </c>
      <c r="O75" s="596">
        <f>'dod3'!O74-'dod3 квітень чистий'!O71</f>
        <v>0</v>
      </c>
      <c r="P75" s="596">
        <f>'dod3'!P74-'dod3 квітень чистий'!P71</f>
        <v>0</v>
      </c>
    </row>
    <row r="76" spans="1:16" s="203" customFormat="1" ht="91.5" x14ac:dyDescent="0.2">
      <c r="A76" s="588" t="s">
        <v>467</v>
      </c>
      <c r="B76" s="588" t="s">
        <v>459</v>
      </c>
      <c r="C76" s="588" t="s">
        <v>353</v>
      </c>
      <c r="D76" s="588" t="s">
        <v>19</v>
      </c>
      <c r="E76" s="596">
        <f>'dod3'!E75-'dod3 квітень чистий'!E72</f>
        <v>-6661180</v>
      </c>
      <c r="F76" s="596">
        <f>'dod3'!F75-'dod3 квітень чистий'!F72</f>
        <v>-6661180</v>
      </c>
      <c r="G76" s="596">
        <f>'dod3'!G75-'dod3 квітень чистий'!G72</f>
        <v>0</v>
      </c>
      <c r="H76" s="596">
        <f>'dod3'!H75-'dod3 квітень чистий'!H72</f>
        <v>0</v>
      </c>
      <c r="I76" s="596">
        <f>'dod3'!I75-'dod3 квітень чистий'!I72</f>
        <v>0</v>
      </c>
      <c r="J76" s="596">
        <f>'dod3'!J75-'dod3 квітень чистий'!J72</f>
        <v>0</v>
      </c>
      <c r="K76" s="596">
        <f>'dod3'!K75-'dod3 квітень чистий'!K72</f>
        <v>0</v>
      </c>
      <c r="L76" s="596">
        <f>'dod3'!L75-'dod3 квітень чистий'!L72</f>
        <v>0</v>
      </c>
      <c r="M76" s="596">
        <f>'dod3'!M75-'dod3 квітень чистий'!M72</f>
        <v>0</v>
      </c>
      <c r="N76" s="596">
        <f>'dod3'!N75-'dod3 квітень чистий'!N72</f>
        <v>0</v>
      </c>
      <c r="O76" s="596">
        <f>'dod3'!O75-'dod3 квітень чистий'!O72</f>
        <v>0</v>
      </c>
      <c r="P76" s="596">
        <f>'dod3'!P75-'dod3 квітень чистий'!P72</f>
        <v>-6661180</v>
      </c>
    </row>
    <row r="77" spans="1:16" s="203" customFormat="1" ht="137.25" x14ac:dyDescent="0.2">
      <c r="A77" s="588" t="s">
        <v>468</v>
      </c>
      <c r="B77" s="588" t="s">
        <v>460</v>
      </c>
      <c r="C77" s="588" t="s">
        <v>353</v>
      </c>
      <c r="D77" s="588" t="s">
        <v>20</v>
      </c>
      <c r="E77" s="596">
        <f>'dod3'!E76-'dod3 квітень чистий'!E73</f>
        <v>0</v>
      </c>
      <c r="F77" s="596">
        <f>'dod3'!F76-'dod3 квітень чистий'!F73</f>
        <v>0</v>
      </c>
      <c r="G77" s="596">
        <f>'dod3'!G76-'dod3 квітень чистий'!G73</f>
        <v>0</v>
      </c>
      <c r="H77" s="596">
        <f>'dod3'!H76-'dod3 квітень чистий'!H73</f>
        <v>0</v>
      </c>
      <c r="I77" s="596">
        <f>'dod3'!I76-'dod3 квітень чистий'!I73</f>
        <v>0</v>
      </c>
      <c r="J77" s="596">
        <f>'dod3'!J76-'dod3 квітень чистий'!J73</f>
        <v>0</v>
      </c>
      <c r="K77" s="596">
        <f>'dod3'!K76-'dod3 квітень чистий'!K73</f>
        <v>0</v>
      </c>
      <c r="L77" s="596">
        <f>'dod3'!L76-'dod3 квітень чистий'!L73</f>
        <v>0</v>
      </c>
      <c r="M77" s="596">
        <f>'dod3'!M76-'dod3 квітень чистий'!M73</f>
        <v>0</v>
      </c>
      <c r="N77" s="596">
        <f>'dod3'!N76-'dod3 квітень чистий'!N73</f>
        <v>0</v>
      </c>
      <c r="O77" s="596">
        <f>'dod3'!O76-'dod3 квітень чистий'!O73</f>
        <v>0</v>
      </c>
      <c r="P77" s="596">
        <f>'dod3'!P76-'dod3 квітень чистий'!P73</f>
        <v>0</v>
      </c>
    </row>
    <row r="78" spans="1:16" s="203" customFormat="1" ht="91.5" x14ac:dyDescent="0.2">
      <c r="A78" s="588" t="s">
        <v>469</v>
      </c>
      <c r="B78" s="588" t="s">
        <v>461</v>
      </c>
      <c r="C78" s="588" t="s">
        <v>353</v>
      </c>
      <c r="D78" s="588" t="s">
        <v>21</v>
      </c>
      <c r="E78" s="596">
        <f>'dod3'!E77-'dod3 квітень чистий'!E74</f>
        <v>0</v>
      </c>
      <c r="F78" s="596">
        <f>'dod3'!F77-'dod3 квітень чистий'!F74</f>
        <v>0</v>
      </c>
      <c r="G78" s="596">
        <f>'dod3'!G77-'dod3 квітень чистий'!G74</f>
        <v>0</v>
      </c>
      <c r="H78" s="596">
        <f>'dod3'!H77-'dod3 квітень чистий'!H74</f>
        <v>0</v>
      </c>
      <c r="I78" s="596">
        <f>'dod3'!I77-'dod3 квітень чистий'!I74</f>
        <v>0</v>
      </c>
      <c r="J78" s="596">
        <f>'dod3'!J77-'dod3 квітень чистий'!J74</f>
        <v>0</v>
      </c>
      <c r="K78" s="596">
        <f>'dod3'!K77-'dod3 квітень чистий'!K74</f>
        <v>0</v>
      </c>
      <c r="L78" s="596">
        <f>'dod3'!L77-'dod3 квітень чистий'!L74</f>
        <v>0</v>
      </c>
      <c r="M78" s="596">
        <f>'dod3'!M77-'dod3 квітень чистий'!M74</f>
        <v>0</v>
      </c>
      <c r="N78" s="596">
        <f>'dod3'!N77-'dod3 квітень чистий'!N74</f>
        <v>0</v>
      </c>
      <c r="O78" s="596">
        <f>'dod3'!O77-'dod3 квітень чистий'!O74</f>
        <v>0</v>
      </c>
      <c r="P78" s="596">
        <f>'dod3'!P77-'dod3 квітень чистий'!P74</f>
        <v>0</v>
      </c>
    </row>
    <row r="79" spans="1:16" s="203" customFormat="1" ht="91.5" x14ac:dyDescent="0.2">
      <c r="A79" s="588" t="s">
        <v>470</v>
      </c>
      <c r="B79" s="588" t="s">
        <v>462</v>
      </c>
      <c r="C79" s="588" t="s">
        <v>353</v>
      </c>
      <c r="D79" s="588" t="s">
        <v>22</v>
      </c>
      <c r="E79" s="596">
        <f>'dod3'!E78-'dod3 квітень чистий'!E75</f>
        <v>0</v>
      </c>
      <c r="F79" s="596">
        <f>'dod3'!F78-'dod3 квітень чистий'!F75</f>
        <v>0</v>
      </c>
      <c r="G79" s="596">
        <f>'dod3'!G78-'dod3 квітень чистий'!G75</f>
        <v>0</v>
      </c>
      <c r="H79" s="596">
        <f>'dod3'!H78-'dod3 квітень чистий'!H75</f>
        <v>0</v>
      </c>
      <c r="I79" s="596">
        <f>'dod3'!I78-'dod3 квітень чистий'!I75</f>
        <v>0</v>
      </c>
      <c r="J79" s="596">
        <f>'dod3'!J78-'dod3 квітень чистий'!J75</f>
        <v>0</v>
      </c>
      <c r="K79" s="596">
        <f>'dod3'!K78-'dod3 квітень чистий'!K75</f>
        <v>0</v>
      </c>
      <c r="L79" s="596">
        <f>'dod3'!L78-'dod3 квітень чистий'!L75</f>
        <v>0</v>
      </c>
      <c r="M79" s="596">
        <f>'dod3'!M78-'dod3 квітень чистий'!M75</f>
        <v>0</v>
      </c>
      <c r="N79" s="596">
        <f>'dod3'!N78-'dod3 квітень чистий'!N75</f>
        <v>0</v>
      </c>
      <c r="O79" s="596">
        <f>'dod3'!O78-'dod3 квітень чистий'!O75</f>
        <v>0</v>
      </c>
      <c r="P79" s="596">
        <f>'dod3'!P78-'dod3 квітень чистий'!P75</f>
        <v>0</v>
      </c>
    </row>
    <row r="80" spans="1:16" s="203" customFormat="1" ht="137.25" x14ac:dyDescent="0.2">
      <c r="A80" s="588" t="s">
        <v>471</v>
      </c>
      <c r="B80" s="588" t="s">
        <v>463</v>
      </c>
      <c r="C80" s="588" t="s">
        <v>353</v>
      </c>
      <c r="D80" s="588" t="s">
        <v>23</v>
      </c>
      <c r="E80" s="596">
        <f>'dod3'!E79-'dod3 квітень чистий'!E76</f>
        <v>0</v>
      </c>
      <c r="F80" s="596">
        <f>'dod3'!F79-'dod3 квітень чистий'!F76</f>
        <v>0</v>
      </c>
      <c r="G80" s="596">
        <f>'dod3'!G79-'dod3 квітень чистий'!G76</f>
        <v>0</v>
      </c>
      <c r="H80" s="596">
        <f>'dod3'!H79-'dod3 квітень чистий'!H76</f>
        <v>0</v>
      </c>
      <c r="I80" s="596">
        <f>'dod3'!I79-'dod3 квітень чистий'!I76</f>
        <v>0</v>
      </c>
      <c r="J80" s="596">
        <f>'dod3'!J79-'dod3 квітень чистий'!J76</f>
        <v>0</v>
      </c>
      <c r="K80" s="596">
        <f>'dod3'!K79-'dod3 квітень чистий'!K76</f>
        <v>0</v>
      </c>
      <c r="L80" s="596">
        <f>'dod3'!L79-'dod3 квітень чистий'!L76</f>
        <v>0</v>
      </c>
      <c r="M80" s="596">
        <f>'dod3'!M79-'dod3 квітень чистий'!M76</f>
        <v>0</v>
      </c>
      <c r="N80" s="596">
        <f>'dod3'!N79-'dod3 квітень чистий'!N76</f>
        <v>0</v>
      </c>
      <c r="O80" s="596">
        <f>'dod3'!O79-'dod3 квітень чистий'!O76</f>
        <v>0</v>
      </c>
      <c r="P80" s="596">
        <f>'dod3'!P79-'dod3 квітень чистий'!P76</f>
        <v>0</v>
      </c>
    </row>
    <row r="81" spans="1:16" ht="183" x14ac:dyDescent="0.2">
      <c r="A81" s="590" t="s">
        <v>485</v>
      </c>
      <c r="B81" s="590" t="s">
        <v>472</v>
      </c>
      <c r="C81" s="590" t="s">
        <v>386</v>
      </c>
      <c r="D81" s="590" t="s">
        <v>17</v>
      </c>
      <c r="E81" s="596">
        <f>'dod3'!E80-'dod3 квітень чистий'!E77</f>
        <v>0</v>
      </c>
      <c r="F81" s="596">
        <f>'dod3'!F80-'dod3 квітень чистий'!F77</f>
        <v>0</v>
      </c>
      <c r="G81" s="596">
        <f>'dod3'!G80-'dod3 квітень чистий'!G77</f>
        <v>0</v>
      </c>
      <c r="H81" s="596">
        <f>'dod3'!H80-'dod3 квітень чистий'!H77</f>
        <v>0</v>
      </c>
      <c r="I81" s="596">
        <f>'dod3'!I80-'dod3 квітень чистий'!I77</f>
        <v>0</v>
      </c>
      <c r="J81" s="596">
        <f>'dod3'!J80-'dod3 квітень чистий'!J77</f>
        <v>0</v>
      </c>
      <c r="K81" s="596">
        <f>'dod3'!K80-'dod3 квітень чистий'!K77</f>
        <v>0</v>
      </c>
      <c r="L81" s="596">
        <f>'dod3'!L80-'dod3 квітень чистий'!L77</f>
        <v>0</v>
      </c>
      <c r="M81" s="596">
        <f>'dod3'!M80-'dod3 квітень чистий'!M77</f>
        <v>0</v>
      </c>
      <c r="N81" s="596">
        <f>'dod3'!N80-'dod3 квітень чистий'!N77</f>
        <v>0</v>
      </c>
      <c r="O81" s="596">
        <f>'dod3'!O80-'dod3 квітень чистий'!O77</f>
        <v>0</v>
      </c>
      <c r="P81" s="596">
        <f>'dod3'!P80-'dod3 квітень чистий'!P77</f>
        <v>0</v>
      </c>
    </row>
    <row r="82" spans="1:16" ht="361.5" customHeight="1" x14ac:dyDescent="0.2">
      <c r="A82" s="720" t="s">
        <v>475</v>
      </c>
      <c r="B82" s="721" t="s">
        <v>473</v>
      </c>
      <c r="C82" s="721"/>
      <c r="D82" s="307" t="s">
        <v>737</v>
      </c>
      <c r="E82" s="735">
        <f t="shared" ref="E82" si="13">F82</f>
        <v>1.862645149230957E-9</v>
      </c>
      <c r="F82" s="724">
        <f>SUM(F84:F88)</f>
        <v>1.862645149230957E-9</v>
      </c>
      <c r="G82" s="724"/>
      <c r="H82" s="724"/>
      <c r="I82" s="724"/>
      <c r="J82" s="738">
        <f t="shared" ref="J82" si="14">K82+N82</f>
        <v>0</v>
      </c>
      <c r="K82" s="724"/>
      <c r="L82" s="724"/>
      <c r="M82" s="724"/>
      <c r="N82" s="724">
        <f t="shared" ref="N82" si="15">O82</f>
        <v>0</v>
      </c>
      <c r="O82" s="724"/>
      <c r="P82" s="738">
        <f t="shared" ref="P82" si="16">E82+J82</f>
        <v>1.862645149230957E-9</v>
      </c>
    </row>
    <row r="83" spans="1:16" ht="336" customHeight="1" x14ac:dyDescent="0.2">
      <c r="A83" s="694"/>
      <c r="B83" s="722"/>
      <c r="C83" s="722"/>
      <c r="D83" s="308" t="s">
        <v>738</v>
      </c>
      <c r="E83" s="736"/>
      <c r="F83" s="719"/>
      <c r="G83" s="737"/>
      <c r="H83" s="737"/>
      <c r="I83" s="719"/>
      <c r="J83" s="737"/>
      <c r="K83" s="719"/>
      <c r="L83" s="737"/>
      <c r="M83" s="737"/>
      <c r="N83" s="719"/>
      <c r="O83" s="737"/>
      <c r="P83" s="737"/>
    </row>
    <row r="84" spans="1:16" s="203" customFormat="1" ht="183" x14ac:dyDescent="0.2">
      <c r="A84" s="588" t="s">
        <v>739</v>
      </c>
      <c r="B84" s="588" t="s">
        <v>740</v>
      </c>
      <c r="C84" s="588" t="s">
        <v>377</v>
      </c>
      <c r="D84" s="588" t="s">
        <v>736</v>
      </c>
      <c r="E84" s="596">
        <f>'dod3'!E83-'dod3 квітень чистий'!E80</f>
        <v>0</v>
      </c>
      <c r="F84" s="596">
        <f>'dod3'!F83-'dod3 квітень чистий'!F80</f>
        <v>0</v>
      </c>
      <c r="G84" s="596">
        <f>'dod3'!G83-'dod3 квітень чистий'!G80</f>
        <v>0</v>
      </c>
      <c r="H84" s="596">
        <f>'dod3'!H83-'dod3 квітень чистий'!H80</f>
        <v>0</v>
      </c>
      <c r="I84" s="596">
        <f>'dod3'!I83-'dod3 квітень чистий'!I80</f>
        <v>0</v>
      </c>
      <c r="J84" s="596">
        <f>'dod3'!J83-'dod3 квітень чистий'!J80</f>
        <v>0</v>
      </c>
      <c r="K84" s="596">
        <f>'dod3'!K83-'dod3 квітень чистий'!K80</f>
        <v>0</v>
      </c>
      <c r="L84" s="596">
        <f>'dod3'!L83-'dod3 квітень чистий'!L80</f>
        <v>0</v>
      </c>
      <c r="M84" s="596">
        <f>'dod3'!M83-'dod3 квітень чистий'!M80</f>
        <v>0</v>
      </c>
      <c r="N84" s="596">
        <f>'dod3'!N83-'dod3 квітень чистий'!N80</f>
        <v>0</v>
      </c>
      <c r="O84" s="596">
        <f>'dod3'!O83-'dod3 квітень чистий'!O80</f>
        <v>0</v>
      </c>
      <c r="P84" s="596">
        <f>'dod3'!P83-'dod3 квітень чистий'!P80</f>
        <v>0</v>
      </c>
    </row>
    <row r="85" spans="1:16" s="203" customFormat="1" ht="274.5" x14ac:dyDescent="0.2">
      <c r="A85" s="588" t="s">
        <v>846</v>
      </c>
      <c r="B85" s="588" t="s">
        <v>847</v>
      </c>
      <c r="C85" s="588" t="s">
        <v>377</v>
      </c>
      <c r="D85" s="588" t="s">
        <v>848</v>
      </c>
      <c r="E85" s="596">
        <f>'dod3'!E84-'dod3 квітень чистий'!E81</f>
        <v>5463052.2400000002</v>
      </c>
      <c r="F85" s="596">
        <f>'dod3'!F84-'dod3 квітень чистий'!F81</f>
        <v>5463052.2400000002</v>
      </c>
      <c r="G85" s="596">
        <f>'dod3'!G84-'dod3 квітень чистий'!G81</f>
        <v>0</v>
      </c>
      <c r="H85" s="596">
        <f>'dod3'!H84-'dod3 квітень чистий'!H81</f>
        <v>0</v>
      </c>
      <c r="I85" s="596">
        <f>'dod3'!I84-'dod3 квітень чистий'!I81</f>
        <v>0</v>
      </c>
      <c r="J85" s="596">
        <f>'dod3'!J84-'dod3 квітень чистий'!J81</f>
        <v>0</v>
      </c>
      <c r="K85" s="596">
        <f>'dod3'!K84-'dod3 квітень чистий'!K81</f>
        <v>0</v>
      </c>
      <c r="L85" s="596">
        <f>'dod3'!L84-'dod3 квітень чистий'!L81</f>
        <v>0</v>
      </c>
      <c r="M85" s="596">
        <f>'dod3'!M84-'dod3 квітень чистий'!M81</f>
        <v>0</v>
      </c>
      <c r="N85" s="596">
        <f>'dod3'!N84-'dod3 квітень чистий'!N81</f>
        <v>0</v>
      </c>
      <c r="O85" s="596">
        <f>'dod3'!O84-'dod3 квітень чистий'!O81</f>
        <v>0</v>
      </c>
      <c r="P85" s="596">
        <f>'dod3'!P84-'dod3 квітень чистий'!P81</f>
        <v>5463052.2400000002</v>
      </c>
    </row>
    <row r="86" spans="1:16" s="203" customFormat="1" ht="183" x14ac:dyDescent="0.2">
      <c r="A86" s="588" t="s">
        <v>734</v>
      </c>
      <c r="B86" s="588" t="s">
        <v>735</v>
      </c>
      <c r="C86" s="588" t="s">
        <v>377</v>
      </c>
      <c r="D86" s="588" t="s">
        <v>664</v>
      </c>
      <c r="E86" s="596">
        <f>'dod3'!E85-'dod3 квітень чистий'!E82</f>
        <v>-5463052.2399999984</v>
      </c>
      <c r="F86" s="596">
        <f>'dod3'!F85-'dod3 квітень чистий'!F82</f>
        <v>-5463052.2399999984</v>
      </c>
      <c r="G86" s="596">
        <f>'dod3'!G85-'dod3 квітень чистий'!G82</f>
        <v>0</v>
      </c>
      <c r="H86" s="596">
        <f>'dod3'!H85-'dod3 квітень чистий'!H82</f>
        <v>0</v>
      </c>
      <c r="I86" s="596">
        <f>'dod3'!I85-'dod3 квітень чистий'!I82</f>
        <v>0</v>
      </c>
      <c r="J86" s="596">
        <f>'dod3'!J85-'dod3 квітень чистий'!J82</f>
        <v>0</v>
      </c>
      <c r="K86" s="596">
        <f>'dod3'!K85-'dod3 квітень чистий'!K82</f>
        <v>0</v>
      </c>
      <c r="L86" s="596">
        <f>'dod3'!L85-'dod3 квітень чистий'!L82</f>
        <v>0</v>
      </c>
      <c r="M86" s="596">
        <f>'dod3'!M85-'dod3 квітень чистий'!M82</f>
        <v>0</v>
      </c>
      <c r="N86" s="596">
        <f>'dod3'!N85-'dod3 квітень чистий'!N82</f>
        <v>0</v>
      </c>
      <c r="O86" s="596">
        <f>'dod3'!O85-'dod3 квітень чистий'!O82</f>
        <v>0</v>
      </c>
      <c r="P86" s="596">
        <f>'dod3'!P85-'dod3 квітень чистий'!P82</f>
        <v>-5463052.2399999984</v>
      </c>
    </row>
    <row r="87" spans="1:16" s="203" customFormat="1" ht="274.5" x14ac:dyDescent="0.2">
      <c r="A87" s="588" t="s">
        <v>743</v>
      </c>
      <c r="B87" s="588" t="s">
        <v>744</v>
      </c>
      <c r="C87" s="588" t="s">
        <v>377</v>
      </c>
      <c r="D87" s="588" t="s">
        <v>745</v>
      </c>
      <c r="E87" s="596">
        <f>'dod3'!E86-'dod3 квітень чистий'!E83</f>
        <v>0</v>
      </c>
      <c r="F87" s="596">
        <f>'dod3'!F86-'dod3 квітень чистий'!F83</f>
        <v>0</v>
      </c>
      <c r="G87" s="596">
        <f>'dod3'!G86-'dod3 квітень чистий'!G83</f>
        <v>0</v>
      </c>
      <c r="H87" s="596">
        <f>'dod3'!H86-'dod3 квітень чистий'!H83</f>
        <v>0</v>
      </c>
      <c r="I87" s="596">
        <f>'dod3'!I86-'dod3 квітень чистий'!I83</f>
        <v>0</v>
      </c>
      <c r="J87" s="596">
        <f>'dod3'!J86-'dod3 квітень чистий'!J83</f>
        <v>0</v>
      </c>
      <c r="K87" s="596">
        <f>'dod3'!K86-'dod3 квітень чистий'!K83</f>
        <v>0</v>
      </c>
      <c r="L87" s="596">
        <f>'dod3'!L86-'dod3 квітень чистий'!L83</f>
        <v>0</v>
      </c>
      <c r="M87" s="596">
        <f>'dod3'!M86-'dod3 квітень чистий'!M83</f>
        <v>0</v>
      </c>
      <c r="N87" s="596">
        <f>'dod3'!N86-'dod3 квітень чистий'!N83</f>
        <v>0</v>
      </c>
      <c r="O87" s="596">
        <f>'dod3'!O86-'dod3 квітень чистий'!O83</f>
        <v>0</v>
      </c>
      <c r="P87" s="596">
        <f>'dod3'!P86-'dod3 квітень чистий'!P83</f>
        <v>0</v>
      </c>
    </row>
    <row r="88" spans="1:16" s="203" customFormat="1" ht="320.25" x14ac:dyDescent="0.2">
      <c r="A88" s="588" t="s">
        <v>741</v>
      </c>
      <c r="B88" s="588" t="s">
        <v>742</v>
      </c>
      <c r="C88" s="588" t="s">
        <v>377</v>
      </c>
      <c r="D88" s="588" t="s">
        <v>746</v>
      </c>
      <c r="E88" s="596">
        <f>'dod3'!E87-'dod3 квітень чистий'!E84</f>
        <v>0</v>
      </c>
      <c r="F88" s="596">
        <f>'dod3'!F87-'dod3 квітень чистий'!F84</f>
        <v>0</v>
      </c>
      <c r="G88" s="596">
        <f>'dod3'!G87-'dod3 квітень чистий'!G84</f>
        <v>0</v>
      </c>
      <c r="H88" s="596">
        <f>'dod3'!H87-'dod3 квітень чистий'!H84</f>
        <v>0</v>
      </c>
      <c r="I88" s="596">
        <f>'dod3'!I87-'dod3 квітень чистий'!I84</f>
        <v>0</v>
      </c>
      <c r="J88" s="596">
        <f>'dod3'!J87-'dod3 квітень чистий'!J84</f>
        <v>0</v>
      </c>
      <c r="K88" s="596">
        <f>'dod3'!K87-'dod3 квітень чистий'!K84</f>
        <v>0</v>
      </c>
      <c r="L88" s="596">
        <f>'dod3'!L87-'dod3 квітень чистий'!L84</f>
        <v>0</v>
      </c>
      <c r="M88" s="596">
        <f>'dod3'!M87-'dod3 квітень чистий'!M84</f>
        <v>0</v>
      </c>
      <c r="N88" s="596">
        <f>'dod3'!N87-'dod3 квітень чистий'!N84</f>
        <v>0</v>
      </c>
      <c r="O88" s="596">
        <f>'dod3'!O87-'dod3 квітень чистий'!O84</f>
        <v>0</v>
      </c>
      <c r="P88" s="596">
        <f>'dod3'!P87-'dod3 квітень чистий'!P84</f>
        <v>0</v>
      </c>
    </row>
    <row r="89" spans="1:16" ht="163.5" customHeight="1" x14ac:dyDescent="0.2">
      <c r="A89" s="590" t="s">
        <v>486</v>
      </c>
      <c r="B89" s="590" t="s">
        <v>474</v>
      </c>
      <c r="C89" s="590" t="s">
        <v>385</v>
      </c>
      <c r="D89" s="590" t="s">
        <v>665</v>
      </c>
      <c r="E89" s="596">
        <f>'dod3'!E88-'dod3 квітень чистий'!E85</f>
        <v>0</v>
      </c>
      <c r="F89" s="596">
        <f>'dod3'!F88-'dod3 квітень чистий'!F85</f>
        <v>0</v>
      </c>
      <c r="G89" s="596">
        <f>'dod3'!G88-'dod3 квітень чистий'!G85</f>
        <v>0</v>
      </c>
      <c r="H89" s="596">
        <f>'dod3'!H88-'dod3 квітень чистий'!H85</f>
        <v>0</v>
      </c>
      <c r="I89" s="596">
        <f>'dod3'!I88-'dod3 квітень чистий'!I85</f>
        <v>0</v>
      </c>
      <c r="J89" s="596">
        <f>'dod3'!J88-'dod3 квітень чистий'!J85</f>
        <v>0</v>
      </c>
      <c r="K89" s="596">
        <f>'dod3'!K88-'dod3 квітень чистий'!K85</f>
        <v>0</v>
      </c>
      <c r="L89" s="596">
        <f>'dod3'!L88-'dod3 квітень чистий'!L85</f>
        <v>0</v>
      </c>
      <c r="M89" s="596">
        <f>'dod3'!M88-'dod3 квітень чистий'!M85</f>
        <v>0</v>
      </c>
      <c r="N89" s="596">
        <f>'dod3'!N88-'dod3 квітень чистий'!N85</f>
        <v>0</v>
      </c>
      <c r="O89" s="596">
        <f>'dod3'!O88-'dod3 квітень чистий'!O85</f>
        <v>0</v>
      </c>
      <c r="P89" s="596">
        <f>'dod3'!P88-'dod3 квітень чистий'!P85</f>
        <v>0</v>
      </c>
    </row>
    <row r="90" spans="1:16" ht="274.5" x14ac:dyDescent="0.2">
      <c r="A90" s="590" t="s">
        <v>507</v>
      </c>
      <c r="B90" s="590" t="s">
        <v>508</v>
      </c>
      <c r="C90" s="590"/>
      <c r="D90" s="590" t="s">
        <v>666</v>
      </c>
      <c r="E90" s="596">
        <f>'dod3'!E89-'dod3 квітень чистий'!E86</f>
        <v>263200</v>
      </c>
      <c r="F90" s="596">
        <f>'dod3'!F89-'dod3 квітень чистий'!F86</f>
        <v>263200</v>
      </c>
      <c r="G90" s="596">
        <f>'dod3'!G89-'dod3 квітень чистий'!G86</f>
        <v>36900</v>
      </c>
      <c r="H90" s="596">
        <f>'dod3'!H89-'dod3 квітень чистий'!H86</f>
        <v>20200</v>
      </c>
      <c r="I90" s="596">
        <f>'dod3'!I89-'dod3 квітень чистий'!I86</f>
        <v>0</v>
      </c>
      <c r="J90" s="596">
        <f>'dod3'!J89-'dod3 квітень чистий'!J86</f>
        <v>35000</v>
      </c>
      <c r="K90" s="596">
        <f>'dod3'!K89-'dod3 квітень чистий'!K86</f>
        <v>0</v>
      </c>
      <c r="L90" s="596">
        <f>'dod3'!L89-'dod3 квітень чистий'!L86</f>
        <v>0</v>
      </c>
      <c r="M90" s="596">
        <f>'dod3'!M89-'dod3 квітень чистий'!M86</f>
        <v>0</v>
      </c>
      <c r="N90" s="596">
        <f>'dod3'!N89-'dod3 квітень чистий'!N86</f>
        <v>35000</v>
      </c>
      <c r="O90" s="596">
        <f>'dod3'!O89-'dod3 квітень чистий'!O86</f>
        <v>35000</v>
      </c>
      <c r="P90" s="596">
        <f>'dod3'!P89-'dod3 квітень чистий'!P86</f>
        <v>298200</v>
      </c>
    </row>
    <row r="91" spans="1:16" ht="301.5" customHeight="1" x14ac:dyDescent="0.2">
      <c r="A91" s="588" t="s">
        <v>511</v>
      </c>
      <c r="B91" s="588" t="s">
        <v>509</v>
      </c>
      <c r="C91" s="588" t="s">
        <v>378</v>
      </c>
      <c r="D91" s="588" t="s">
        <v>52</v>
      </c>
      <c r="E91" s="596">
        <f>'dod3'!E90-'dod3 квітень чистий'!E87</f>
        <v>263200</v>
      </c>
      <c r="F91" s="596">
        <f>'dod3'!F90-'dod3 квітень чистий'!F87</f>
        <v>263200</v>
      </c>
      <c r="G91" s="596">
        <f>'dod3'!G90-'dod3 квітень чистий'!G87</f>
        <v>36900</v>
      </c>
      <c r="H91" s="596">
        <f>'dod3'!H90-'dod3 квітень чистий'!H87</f>
        <v>20200</v>
      </c>
      <c r="I91" s="596">
        <f>'dod3'!I90-'dod3 квітень чистий'!I87</f>
        <v>0</v>
      </c>
      <c r="J91" s="596">
        <f>'dod3'!J90-'dod3 квітень чистий'!J87</f>
        <v>35000</v>
      </c>
      <c r="K91" s="596">
        <f>'dod3'!K90-'dod3 квітень чистий'!K87</f>
        <v>0</v>
      </c>
      <c r="L91" s="596">
        <f>'dod3'!L90-'dod3 квітень чистий'!L87</f>
        <v>0</v>
      </c>
      <c r="M91" s="596">
        <f>'dod3'!M90-'dod3 квітень чистий'!M87</f>
        <v>0</v>
      </c>
      <c r="N91" s="596">
        <f>'dod3'!N90-'dod3 квітень чистий'!N87</f>
        <v>35000</v>
      </c>
      <c r="O91" s="596">
        <f>'dod3'!O90-'dod3 квітень чистий'!O87</f>
        <v>35000</v>
      </c>
      <c r="P91" s="596">
        <f>'dod3'!P90-'dod3 квітень чистий'!P87</f>
        <v>298200</v>
      </c>
    </row>
    <row r="92" spans="1:16" ht="137.25" x14ac:dyDescent="0.2">
      <c r="A92" s="588" t="s">
        <v>512</v>
      </c>
      <c r="B92" s="588" t="s">
        <v>510</v>
      </c>
      <c r="C92" s="588" t="s">
        <v>377</v>
      </c>
      <c r="D92" s="588" t="s">
        <v>667</v>
      </c>
      <c r="E92" s="596">
        <f>'dod3'!E91-'dod3 квітень чистий'!E88</f>
        <v>0</v>
      </c>
      <c r="F92" s="596">
        <f>'dod3'!F91-'dod3 квітень чистий'!F88</f>
        <v>0</v>
      </c>
      <c r="G92" s="596">
        <f>'dod3'!G91-'dod3 квітень чистий'!G88</f>
        <v>0</v>
      </c>
      <c r="H92" s="596">
        <f>'dod3'!H91-'dod3 квітень чистий'!H88</f>
        <v>0</v>
      </c>
      <c r="I92" s="596">
        <f>'dod3'!I91-'dod3 квітень чистий'!I88</f>
        <v>0</v>
      </c>
      <c r="J92" s="596">
        <f>'dod3'!J91-'dod3 квітень чистий'!J88</f>
        <v>0</v>
      </c>
      <c r="K92" s="596">
        <f>'dod3'!K91-'dod3 квітень чистий'!K88</f>
        <v>0</v>
      </c>
      <c r="L92" s="596">
        <f>'dod3'!L91-'dod3 квітень чистий'!L88</f>
        <v>0</v>
      </c>
      <c r="M92" s="596">
        <f>'dod3'!M91-'dod3 квітень чистий'!M88</f>
        <v>0</v>
      </c>
      <c r="N92" s="596">
        <f>'dod3'!N91-'dod3 квітень чистий'!N88</f>
        <v>0</v>
      </c>
      <c r="O92" s="596">
        <f>'dod3'!O91-'dod3 квітень чистий'!O88</f>
        <v>0</v>
      </c>
      <c r="P92" s="596">
        <f>'dod3'!P91-'dod3 квітень чистий'!P88</f>
        <v>0</v>
      </c>
    </row>
    <row r="93" spans="1:16" ht="409.5" x14ac:dyDescent="0.2">
      <c r="A93" s="590" t="s">
        <v>504</v>
      </c>
      <c r="B93" s="590" t="s">
        <v>505</v>
      </c>
      <c r="C93" s="590" t="s">
        <v>377</v>
      </c>
      <c r="D93" s="590" t="s">
        <v>668</v>
      </c>
      <c r="E93" s="596">
        <f>'dod3'!E92-'dod3 квітень чистий'!E89</f>
        <v>0</v>
      </c>
      <c r="F93" s="596">
        <f>'dod3'!F92-'dod3 квітень чистий'!F89</f>
        <v>0</v>
      </c>
      <c r="G93" s="596">
        <f>'dod3'!G92-'dod3 квітень чистий'!G89</f>
        <v>0</v>
      </c>
      <c r="H93" s="596">
        <f>'dod3'!H92-'dod3 квітень чистий'!H89</f>
        <v>0</v>
      </c>
      <c r="I93" s="596">
        <f>'dod3'!I92-'dod3 квітень чистий'!I89</f>
        <v>0</v>
      </c>
      <c r="J93" s="596">
        <f>'dod3'!J92-'dod3 квітень чистий'!J89</f>
        <v>0</v>
      </c>
      <c r="K93" s="596">
        <f>'dod3'!K92-'dod3 квітень чистий'!K89</f>
        <v>0</v>
      </c>
      <c r="L93" s="596">
        <f>'dod3'!L92-'dod3 квітень чистий'!L89</f>
        <v>0</v>
      </c>
      <c r="M93" s="596">
        <f>'dod3'!M92-'dod3 квітень чистий'!M89</f>
        <v>0</v>
      </c>
      <c r="N93" s="596">
        <f>'dod3'!N92-'dod3 квітень чистий'!N89</f>
        <v>0</v>
      </c>
      <c r="O93" s="596">
        <f>'dod3'!O92-'dod3 квітень чистий'!O89</f>
        <v>0</v>
      </c>
      <c r="P93" s="596">
        <f>'dod3'!P92-'dod3 квітень чистий'!P89</f>
        <v>0</v>
      </c>
    </row>
    <row r="94" spans="1:16" ht="137.25" x14ac:dyDescent="0.2">
      <c r="A94" s="590" t="s">
        <v>669</v>
      </c>
      <c r="B94" s="590" t="s">
        <v>670</v>
      </c>
      <c r="C94" s="590"/>
      <c r="D94" s="590" t="s">
        <v>671</v>
      </c>
      <c r="E94" s="596">
        <f>'dod3'!E93-'dod3 квітень чистий'!E90</f>
        <v>0</v>
      </c>
      <c r="F94" s="596">
        <f>'dod3'!F93-'dod3 квітень чистий'!F90</f>
        <v>0</v>
      </c>
      <c r="G94" s="596">
        <f>'dod3'!G93-'dod3 квітень чистий'!G90</f>
        <v>0</v>
      </c>
      <c r="H94" s="596">
        <f>'dod3'!H93-'dod3 квітень чистий'!H90</f>
        <v>0</v>
      </c>
      <c r="I94" s="596">
        <f>'dod3'!I93-'dod3 квітень чистий'!I90</f>
        <v>0</v>
      </c>
      <c r="J94" s="596">
        <f>'dod3'!J93-'dod3 квітень чистий'!J90</f>
        <v>0</v>
      </c>
      <c r="K94" s="596">
        <f>'dod3'!K93-'dod3 квітень чистий'!K90</f>
        <v>0</v>
      </c>
      <c r="L94" s="596">
        <f>'dod3'!L93-'dod3 квітень чистий'!L90</f>
        <v>0</v>
      </c>
      <c r="M94" s="596">
        <f>'dod3'!M93-'dod3 квітень чистий'!M90</f>
        <v>0</v>
      </c>
      <c r="N94" s="596">
        <f>'dod3'!N93-'dod3 квітень чистий'!N90</f>
        <v>0</v>
      </c>
      <c r="O94" s="596">
        <f>'dod3'!O93-'dod3 квітень чистий'!O90</f>
        <v>0</v>
      </c>
      <c r="P94" s="596">
        <f>'dod3'!P93-'dod3 квітень чистий'!P90</f>
        <v>0</v>
      </c>
    </row>
    <row r="95" spans="1:16" ht="274.5" x14ac:dyDescent="0.2">
      <c r="A95" s="588" t="s">
        <v>672</v>
      </c>
      <c r="B95" s="588" t="s">
        <v>673</v>
      </c>
      <c r="C95" s="588" t="s">
        <v>377</v>
      </c>
      <c r="D95" s="588" t="s">
        <v>747</v>
      </c>
      <c r="E95" s="596">
        <f>'dod3'!E94-'dod3 квітень чистий'!E91</f>
        <v>0</v>
      </c>
      <c r="F95" s="596">
        <f>'dod3'!F94-'dod3 квітень чистий'!F91</f>
        <v>0</v>
      </c>
      <c r="G95" s="596">
        <f>'dod3'!G94-'dod3 квітень чистий'!G91</f>
        <v>0</v>
      </c>
      <c r="H95" s="596">
        <f>'dod3'!H94-'dod3 квітень чистий'!H91</f>
        <v>0</v>
      </c>
      <c r="I95" s="596">
        <f>'dod3'!I94-'dod3 квітень чистий'!I91</f>
        <v>0</v>
      </c>
      <c r="J95" s="596">
        <f>'dod3'!J94-'dod3 квітень чистий'!J91</f>
        <v>0</v>
      </c>
      <c r="K95" s="596">
        <f>'dod3'!K94-'dod3 квітень чистий'!K91</f>
        <v>0</v>
      </c>
      <c r="L95" s="596">
        <f>'dod3'!L94-'dod3 квітень чистий'!L91</f>
        <v>0</v>
      </c>
      <c r="M95" s="596">
        <f>'dod3'!M94-'dod3 квітень чистий'!M91</f>
        <v>0</v>
      </c>
      <c r="N95" s="596">
        <f>'dod3'!N94-'dod3 квітень чистий'!N91</f>
        <v>0</v>
      </c>
      <c r="O95" s="596">
        <f>'dod3'!O94-'dod3 квітень чистий'!O91</f>
        <v>0</v>
      </c>
      <c r="P95" s="596">
        <f>'dod3'!P94-'dod3 квітень чистий'!P91</f>
        <v>0</v>
      </c>
    </row>
    <row r="96" spans="1:16" ht="112.5" customHeight="1" x14ac:dyDescent="0.2">
      <c r="A96" s="588" t="s">
        <v>674</v>
      </c>
      <c r="B96" s="588" t="s">
        <v>675</v>
      </c>
      <c r="C96" s="588" t="s">
        <v>377</v>
      </c>
      <c r="D96" s="588" t="s">
        <v>748</v>
      </c>
      <c r="E96" s="596">
        <f>'dod3'!E95-'dod3 квітень чистий'!E92</f>
        <v>0</v>
      </c>
      <c r="F96" s="596">
        <f>'dod3'!F95-'dod3 квітень чистий'!F92</f>
        <v>0</v>
      </c>
      <c r="G96" s="596">
        <f>'dod3'!G95-'dod3 квітень чистий'!G92</f>
        <v>0</v>
      </c>
      <c r="H96" s="596">
        <f>'dod3'!H95-'dod3 квітень чистий'!H92</f>
        <v>0</v>
      </c>
      <c r="I96" s="596">
        <f>'dod3'!I95-'dod3 квітень чистий'!I92</f>
        <v>0</v>
      </c>
      <c r="J96" s="596">
        <f>'dod3'!J95-'dod3 квітень чистий'!J92</f>
        <v>0</v>
      </c>
      <c r="K96" s="596">
        <f>'dod3'!K95-'dod3 квітень чистий'!K92</f>
        <v>0</v>
      </c>
      <c r="L96" s="596">
        <f>'dod3'!L95-'dod3 квітень чистий'!L92</f>
        <v>0</v>
      </c>
      <c r="M96" s="596">
        <f>'dod3'!M95-'dod3 квітень чистий'!M92</f>
        <v>0</v>
      </c>
      <c r="N96" s="596">
        <f>'dod3'!N95-'dod3 квітень чистий'!N92</f>
        <v>0</v>
      </c>
      <c r="O96" s="596">
        <f>'dod3'!O95-'dod3 квітень чистий'!O92</f>
        <v>0</v>
      </c>
      <c r="P96" s="596">
        <f>'dod3'!P95-'dod3 квітень чистий'!P92</f>
        <v>0</v>
      </c>
    </row>
    <row r="97" spans="1:18" ht="366" x14ac:dyDescent="0.2">
      <c r="A97" s="590" t="s">
        <v>751</v>
      </c>
      <c r="B97" s="590" t="s">
        <v>750</v>
      </c>
      <c r="C97" s="590" t="s">
        <v>117</v>
      </c>
      <c r="D97" s="590" t="s">
        <v>749</v>
      </c>
      <c r="E97" s="596">
        <f>'dod3'!E96-'dod3 квітень чистий'!E93</f>
        <v>0</v>
      </c>
      <c r="F97" s="596">
        <f>'dod3'!F96-'dod3 квітень чистий'!F93</f>
        <v>0</v>
      </c>
      <c r="G97" s="596">
        <f>'dod3'!G96-'dod3 квітень чистий'!G93</f>
        <v>0</v>
      </c>
      <c r="H97" s="596">
        <f>'dod3'!H96-'dod3 квітень чистий'!H93</f>
        <v>0</v>
      </c>
      <c r="I97" s="596">
        <f>'dod3'!I96-'dod3 квітень чистий'!I93</f>
        <v>0</v>
      </c>
      <c r="J97" s="596">
        <f>'dod3'!J96-'dod3 квітень чистий'!J93</f>
        <v>0</v>
      </c>
      <c r="K97" s="596">
        <f>'dod3'!K96-'dod3 квітень чистий'!K93</f>
        <v>0</v>
      </c>
      <c r="L97" s="596">
        <f>'dod3'!L96-'dod3 квітень чистий'!L93</f>
        <v>0</v>
      </c>
      <c r="M97" s="596">
        <f>'dod3'!M96-'dod3 квітень чистий'!M93</f>
        <v>0</v>
      </c>
      <c r="N97" s="596">
        <f>'dod3'!N96-'dod3 квітень чистий'!N93</f>
        <v>0</v>
      </c>
      <c r="O97" s="596">
        <f>'dod3'!O96-'dod3 квітень чистий'!O93</f>
        <v>0</v>
      </c>
      <c r="P97" s="596">
        <f>'dod3'!P96-'dod3 квітень чистий'!P93</f>
        <v>0</v>
      </c>
    </row>
    <row r="98" spans="1:18" ht="91.5" x14ac:dyDescent="0.2">
      <c r="A98" s="590" t="s">
        <v>676</v>
      </c>
      <c r="B98" s="590" t="s">
        <v>677</v>
      </c>
      <c r="C98" s="590"/>
      <c r="D98" s="309" t="s">
        <v>50</v>
      </c>
      <c r="E98" s="596">
        <f>'dod3'!E97-'dod3 квітень чистий'!E94</f>
        <v>100000</v>
      </c>
      <c r="F98" s="596">
        <f>'dod3'!F97-'dod3 квітень чистий'!F94</f>
        <v>100000</v>
      </c>
      <c r="G98" s="596">
        <f>'dod3'!G97-'dod3 квітень чистий'!G94</f>
        <v>0</v>
      </c>
      <c r="H98" s="596">
        <f>'dod3'!H97-'dod3 квітень чистий'!H94</f>
        <v>0</v>
      </c>
      <c r="I98" s="596">
        <f>'dod3'!I97-'dod3 квітень чистий'!I94</f>
        <v>0</v>
      </c>
      <c r="J98" s="596">
        <f>'dod3'!J97-'dod3 квітень чистий'!J94</f>
        <v>0</v>
      </c>
      <c r="K98" s="596">
        <f>'dod3'!K97-'dod3 квітень чистий'!K94</f>
        <v>0</v>
      </c>
      <c r="L98" s="596">
        <f>'dod3'!L97-'dod3 квітень чистий'!L94</f>
        <v>0</v>
      </c>
      <c r="M98" s="596">
        <f>'dod3'!M97-'dod3 квітень чистий'!M94</f>
        <v>0</v>
      </c>
      <c r="N98" s="596">
        <f>'dod3'!N97-'dod3 квітень чистий'!N94</f>
        <v>0</v>
      </c>
      <c r="O98" s="596">
        <f>'dod3'!O97-'dod3 квітень чистий'!O94</f>
        <v>0</v>
      </c>
      <c r="P98" s="596">
        <f>'dod3'!P97-'dod3 квітень чистий'!P94</f>
        <v>100000</v>
      </c>
    </row>
    <row r="99" spans="1:18" ht="228.75" x14ac:dyDescent="0.2">
      <c r="A99" s="588" t="s">
        <v>678</v>
      </c>
      <c r="B99" s="588" t="s">
        <v>679</v>
      </c>
      <c r="C99" s="588" t="s">
        <v>385</v>
      </c>
      <c r="D99" s="588" t="s">
        <v>752</v>
      </c>
      <c r="E99" s="596">
        <f>'dod3'!E98-'dod3 квітень чистий'!E95</f>
        <v>100000</v>
      </c>
      <c r="F99" s="596">
        <f>'dod3'!F98-'dod3 квітень чистий'!F95</f>
        <v>100000</v>
      </c>
      <c r="G99" s="596">
        <f>'dod3'!G98-'dod3 квітень чистий'!G95</f>
        <v>0</v>
      </c>
      <c r="H99" s="596">
        <f>'dod3'!H98-'dod3 квітень чистий'!H95</f>
        <v>0</v>
      </c>
      <c r="I99" s="596">
        <f>'dod3'!I98-'dod3 квітень чистий'!I95</f>
        <v>0</v>
      </c>
      <c r="J99" s="596">
        <f>'dod3'!J98-'dod3 квітень чистий'!J95</f>
        <v>0</v>
      </c>
      <c r="K99" s="596">
        <f>'dod3'!K98-'dod3 квітень чистий'!K95</f>
        <v>0</v>
      </c>
      <c r="L99" s="596">
        <f>'dod3'!L98-'dod3 квітень чистий'!L95</f>
        <v>0</v>
      </c>
      <c r="M99" s="596">
        <f>'dod3'!M98-'dod3 квітень чистий'!M95</f>
        <v>0</v>
      </c>
      <c r="N99" s="596">
        <f>'dod3'!N98-'dod3 квітень чистий'!N95</f>
        <v>0</v>
      </c>
      <c r="O99" s="596">
        <f>'dod3'!O98-'dod3 квітень чистий'!O95</f>
        <v>0</v>
      </c>
      <c r="P99" s="596">
        <f>'dod3'!P98-'dod3 квітень чистий'!P95</f>
        <v>100000</v>
      </c>
    </row>
    <row r="100" spans="1:18" ht="228.75" x14ac:dyDescent="0.2">
      <c r="A100" s="590" t="s">
        <v>947</v>
      </c>
      <c r="B100" s="590" t="s">
        <v>948</v>
      </c>
      <c r="C100" s="590"/>
      <c r="D100" s="309" t="s">
        <v>946</v>
      </c>
      <c r="E100" s="596">
        <f>'dod3'!E99-0</f>
        <v>0</v>
      </c>
      <c r="F100" s="596">
        <f>'dod3'!F99-0</f>
        <v>0</v>
      </c>
      <c r="G100" s="596">
        <f>'dod3'!G99-0</f>
        <v>0</v>
      </c>
      <c r="H100" s="596">
        <f>'dod3'!H99-0</f>
        <v>0</v>
      </c>
      <c r="I100" s="596">
        <f>'dod3'!I99-0</f>
        <v>0</v>
      </c>
      <c r="J100" s="596">
        <f>'dod3'!J99-0</f>
        <v>6864875.6299999999</v>
      </c>
      <c r="K100" s="596">
        <f>'dod3'!K99-0</f>
        <v>0</v>
      </c>
      <c r="L100" s="596">
        <f>'dod3'!L99-0</f>
        <v>0</v>
      </c>
      <c r="M100" s="596">
        <f>'dod3'!M99-0</f>
        <v>0</v>
      </c>
      <c r="N100" s="596">
        <f>'dod3'!N99-0</f>
        <v>6864875.6299999999</v>
      </c>
      <c r="O100" s="596">
        <f>'dod3'!O99-0</f>
        <v>6864875.6299999999</v>
      </c>
      <c r="P100" s="596">
        <f>'dod3'!P99-0</f>
        <v>6864875.6299999999</v>
      </c>
    </row>
    <row r="101" spans="1:18" s="203" customFormat="1" ht="409.5" x14ac:dyDescent="0.2">
      <c r="A101" s="718" t="s">
        <v>949</v>
      </c>
      <c r="B101" s="718" t="s">
        <v>950</v>
      </c>
      <c r="C101" s="728" t="s">
        <v>117</v>
      </c>
      <c r="D101" s="310" t="s">
        <v>951</v>
      </c>
      <c r="E101" s="738">
        <f>'dod3'!E100-0</f>
        <v>0</v>
      </c>
      <c r="F101" s="738">
        <f>'dod3'!F100-0</f>
        <v>0</v>
      </c>
      <c r="G101" s="738">
        <f>'dod3'!G100-0</f>
        <v>0</v>
      </c>
      <c r="H101" s="738">
        <f>'dod3'!H100-0</f>
        <v>0</v>
      </c>
      <c r="I101" s="738">
        <f>'dod3'!I100-0</f>
        <v>0</v>
      </c>
      <c r="J101" s="738">
        <f>'dod3'!J100-0</f>
        <v>6864875.6299999999</v>
      </c>
      <c r="K101" s="738">
        <f>'dod3'!K100-0</f>
        <v>0</v>
      </c>
      <c r="L101" s="738">
        <f>'dod3'!L100-0</f>
        <v>0</v>
      </c>
      <c r="M101" s="738">
        <f>'dod3'!M100-0</f>
        <v>0</v>
      </c>
      <c r="N101" s="738">
        <f>'dod3'!N100-0</f>
        <v>6864875.6299999999</v>
      </c>
      <c r="O101" s="738">
        <f>'dod3'!O100-0</f>
        <v>6864875.6299999999</v>
      </c>
      <c r="P101" s="738">
        <f>'dod3'!P100-0</f>
        <v>6864875.6299999999</v>
      </c>
    </row>
    <row r="102" spans="1:18" s="203" customFormat="1" ht="409.5" x14ac:dyDescent="0.2">
      <c r="A102" s="739"/>
      <c r="B102" s="739"/>
      <c r="C102" s="740"/>
      <c r="D102" s="310" t="s">
        <v>952</v>
      </c>
      <c r="E102" s="745"/>
      <c r="F102" s="745"/>
      <c r="G102" s="745"/>
      <c r="H102" s="745"/>
      <c r="I102" s="745"/>
      <c r="J102" s="745"/>
      <c r="K102" s="745"/>
      <c r="L102" s="745"/>
      <c r="M102" s="745"/>
      <c r="N102" s="745"/>
      <c r="O102" s="745"/>
      <c r="P102" s="745"/>
    </row>
    <row r="103" spans="1:18" s="203" customFormat="1" ht="94.5" customHeight="1" x14ac:dyDescent="0.2">
      <c r="A103" s="719"/>
      <c r="B103" s="719"/>
      <c r="C103" s="740"/>
      <c r="D103" s="588" t="s">
        <v>953</v>
      </c>
      <c r="E103" s="743"/>
      <c r="F103" s="743"/>
      <c r="G103" s="743"/>
      <c r="H103" s="743"/>
      <c r="I103" s="743"/>
      <c r="J103" s="743"/>
      <c r="K103" s="743"/>
      <c r="L103" s="743"/>
      <c r="M103" s="743"/>
      <c r="N103" s="743"/>
      <c r="O103" s="743"/>
      <c r="P103" s="743"/>
    </row>
    <row r="104" spans="1:18" ht="409.5" x14ac:dyDescent="0.2">
      <c r="A104" s="720" t="s">
        <v>503</v>
      </c>
      <c r="B104" s="720" t="s">
        <v>362</v>
      </c>
      <c r="C104" s="721" t="s">
        <v>353</v>
      </c>
      <c r="D104" s="307" t="s">
        <v>680</v>
      </c>
      <c r="E104" s="738">
        <f>'dod3'!E103-'dod3 квітень чистий'!E96</f>
        <v>0</v>
      </c>
      <c r="F104" s="738">
        <f>'dod3'!F103-'dod3 квітень чистий'!F96</f>
        <v>0</v>
      </c>
      <c r="G104" s="738">
        <f>'dod3'!G103-'dod3 квітень чистий'!G96</f>
        <v>0</v>
      </c>
      <c r="H104" s="738">
        <f>'dod3'!H103-'dod3 квітень чистий'!H96</f>
        <v>0</v>
      </c>
      <c r="I104" s="738">
        <f>'dod3'!I103-'dod3 квітень чистий'!I96</f>
        <v>0</v>
      </c>
      <c r="J104" s="738">
        <f>'dod3'!J103-'dod3 квітень чистий'!J96</f>
        <v>0</v>
      </c>
      <c r="K104" s="738">
        <f>'dod3'!K103-'dod3 квітень чистий'!K96</f>
        <v>0</v>
      </c>
      <c r="L104" s="738">
        <f>'dod3'!L103-'dod3 квітень чистий'!L96</f>
        <v>0</v>
      </c>
      <c r="M104" s="738">
        <f>'dod3'!M103-'dod3 квітень чистий'!M96</f>
        <v>0</v>
      </c>
      <c r="N104" s="738">
        <f>'dod3'!N103-'dod3 квітень чистий'!N96</f>
        <v>0</v>
      </c>
      <c r="O104" s="738">
        <f>'dod3'!O103-'dod3 квітень чистий'!O96</f>
        <v>0</v>
      </c>
      <c r="P104" s="738">
        <f>'dod3'!P103-'dod3 квітень чистий'!P96</f>
        <v>0</v>
      </c>
    </row>
    <row r="105" spans="1:18" ht="327.75" customHeight="1" x14ac:dyDescent="0.2">
      <c r="A105" s="694"/>
      <c r="B105" s="694"/>
      <c r="C105" s="722"/>
      <c r="D105" s="321" t="s">
        <v>681</v>
      </c>
      <c r="E105" s="743"/>
      <c r="F105" s="743"/>
      <c r="G105" s="743"/>
      <c r="H105" s="743"/>
      <c r="I105" s="743"/>
      <c r="J105" s="743"/>
      <c r="K105" s="743"/>
      <c r="L105" s="743"/>
      <c r="M105" s="743"/>
      <c r="N105" s="743"/>
      <c r="O105" s="743"/>
      <c r="P105" s="743"/>
    </row>
    <row r="106" spans="1:18" ht="46.5" x14ac:dyDescent="0.2">
      <c r="A106" s="590" t="s">
        <v>684</v>
      </c>
      <c r="B106" s="590" t="s">
        <v>685</v>
      </c>
      <c r="C106" s="590"/>
      <c r="D106" s="590" t="s">
        <v>364</v>
      </c>
      <c r="E106" s="596">
        <f>'dod3'!E105-'dod3 квітень чистий'!E98</f>
        <v>4746950</v>
      </c>
      <c r="F106" s="596">
        <f>'dod3'!F105-'dod3 квітень чистий'!F98</f>
        <v>4746950</v>
      </c>
      <c r="G106" s="596">
        <f>'dod3'!G105-'dod3 квітень чистий'!G98</f>
        <v>0</v>
      </c>
      <c r="H106" s="596">
        <f>'dod3'!H105-'dod3 квітень чистий'!H98</f>
        <v>0</v>
      </c>
      <c r="I106" s="596">
        <f>'dod3'!I105-'dod3 квітень чистий'!I98</f>
        <v>0</v>
      </c>
      <c r="J106" s="596">
        <f>'dod3'!J105-'dod3 квітень чистий'!J98</f>
        <v>192000</v>
      </c>
      <c r="K106" s="596">
        <f>'dod3'!K105-'dod3 квітень чистий'!K98</f>
        <v>0</v>
      </c>
      <c r="L106" s="596">
        <f>'dod3'!L105-'dod3 квітень чистий'!L98</f>
        <v>0</v>
      </c>
      <c r="M106" s="596">
        <f>'dod3'!M105-'dod3 квітень чистий'!M98</f>
        <v>0</v>
      </c>
      <c r="N106" s="596">
        <f>'dod3'!N105-'dod3 квітень чистий'!N98</f>
        <v>192000</v>
      </c>
      <c r="O106" s="596">
        <f>'dod3'!O105-'dod3 квітень чистий'!O98</f>
        <v>192000</v>
      </c>
      <c r="P106" s="596">
        <f>'dod3'!P105-'dod3 квітень чистий'!P98</f>
        <v>4938950</v>
      </c>
    </row>
    <row r="107" spans="1:18" ht="183" x14ac:dyDescent="0.2">
      <c r="A107" s="588" t="s">
        <v>682</v>
      </c>
      <c r="B107" s="588" t="s">
        <v>686</v>
      </c>
      <c r="C107" s="588" t="s">
        <v>363</v>
      </c>
      <c r="D107" s="298" t="s">
        <v>688</v>
      </c>
      <c r="E107" s="596">
        <f>'dod3'!E106-'dod3 квітень чистий'!E99</f>
        <v>96300</v>
      </c>
      <c r="F107" s="596">
        <f>'dod3'!F106-'dod3 квітень чистий'!F99</f>
        <v>96300</v>
      </c>
      <c r="G107" s="596">
        <f>'dod3'!G106-'dod3 квітень чистий'!G99</f>
        <v>0</v>
      </c>
      <c r="H107" s="596">
        <f>'dod3'!H106-'dod3 квітень чистий'!H99</f>
        <v>0</v>
      </c>
      <c r="I107" s="596">
        <f>'dod3'!I106-'dod3 квітень чистий'!I99</f>
        <v>0</v>
      </c>
      <c r="J107" s="596">
        <f>'dod3'!J106-'dod3 квітень чистий'!J99</f>
        <v>12000</v>
      </c>
      <c r="K107" s="596">
        <f>'dod3'!K106-'dod3 квітень чистий'!K99</f>
        <v>0</v>
      </c>
      <c r="L107" s="596">
        <f>'dod3'!L106-'dod3 квітень чистий'!L99</f>
        <v>0</v>
      </c>
      <c r="M107" s="596">
        <f>'dod3'!M106-'dod3 квітень чистий'!M99</f>
        <v>0</v>
      </c>
      <c r="N107" s="596">
        <f>'dod3'!N106-'dod3 квітень чистий'!N99</f>
        <v>12000</v>
      </c>
      <c r="O107" s="596">
        <f>'dod3'!O106-'dod3 квітень чистий'!O99</f>
        <v>12000</v>
      </c>
      <c r="P107" s="596">
        <f>'dod3'!P106-'dod3 квітень чистий'!P99</f>
        <v>108300</v>
      </c>
    </row>
    <row r="108" spans="1:18" ht="137.25" x14ac:dyDescent="0.2">
      <c r="A108" s="588" t="s">
        <v>683</v>
      </c>
      <c r="B108" s="588" t="s">
        <v>687</v>
      </c>
      <c r="C108" s="588" t="s">
        <v>363</v>
      </c>
      <c r="D108" s="298" t="s">
        <v>689</v>
      </c>
      <c r="E108" s="596">
        <f>'dod3'!E107-'dod3 квітень чистий'!E100</f>
        <v>4650650</v>
      </c>
      <c r="F108" s="596">
        <f>'dod3'!F107-'dod3 квітень чистий'!F100</f>
        <v>4650650</v>
      </c>
      <c r="G108" s="596">
        <f>'dod3'!G107-'dod3 квітень чистий'!G100</f>
        <v>0</v>
      </c>
      <c r="H108" s="596">
        <f>'dod3'!H107-'dod3 квітень чистий'!H100</f>
        <v>0</v>
      </c>
      <c r="I108" s="596">
        <f>'dod3'!I107-'dod3 квітень чистий'!I100</f>
        <v>0</v>
      </c>
      <c r="J108" s="596">
        <f>'dod3'!J107-'dod3 квітень чистий'!J100</f>
        <v>180000</v>
      </c>
      <c r="K108" s="596">
        <f>'dod3'!K107-'dod3 квітень чистий'!K100</f>
        <v>0</v>
      </c>
      <c r="L108" s="596">
        <f>'dod3'!L107-'dod3 квітень чистий'!L100</f>
        <v>0</v>
      </c>
      <c r="M108" s="596">
        <f>'dod3'!M107-'dod3 квітень чистий'!M100</f>
        <v>0</v>
      </c>
      <c r="N108" s="596">
        <f>'dod3'!N107-'dod3 квітень чистий'!N100</f>
        <v>180000</v>
      </c>
      <c r="O108" s="596">
        <f>'dod3'!O107-'dod3 квітень чистий'!O100</f>
        <v>180000</v>
      </c>
      <c r="P108" s="596">
        <f>'dod3'!P107-'dod3 квітень чистий'!P100</f>
        <v>4830650</v>
      </c>
    </row>
    <row r="109" spans="1:18" ht="91.5" x14ac:dyDescent="0.2">
      <c r="A109" s="590" t="s">
        <v>832</v>
      </c>
      <c r="B109" s="590" t="s">
        <v>706</v>
      </c>
      <c r="C109" s="590"/>
      <c r="D109" s="590" t="s">
        <v>833</v>
      </c>
      <c r="E109" s="596">
        <f>'dod3'!E108-'dod3 квітень чистий'!E101</f>
        <v>0</v>
      </c>
      <c r="F109" s="596">
        <f>'dod3'!F108-'dod3 квітень чистий'!F101</f>
        <v>0</v>
      </c>
      <c r="G109" s="596">
        <f>'dod3'!G108-'dod3 квітень чистий'!G101</f>
        <v>0</v>
      </c>
      <c r="H109" s="596">
        <f>'dod3'!H108-'dod3 квітень чистий'!H101</f>
        <v>0</v>
      </c>
      <c r="I109" s="596">
        <f>'dod3'!I108-'dod3 квітень чистий'!I101</f>
        <v>0</v>
      </c>
      <c r="J109" s="596">
        <f>'dod3'!J108-'dod3 квітень чистий'!J101</f>
        <v>34347</v>
      </c>
      <c r="K109" s="596">
        <f>'dod3'!K108-'dod3 квітень чистий'!K101</f>
        <v>0</v>
      </c>
      <c r="L109" s="596">
        <f>'dod3'!L108-'dod3 квітень чистий'!L101</f>
        <v>0</v>
      </c>
      <c r="M109" s="596">
        <f>'dod3'!M108-'dod3 квітень чистий'!M101</f>
        <v>0</v>
      </c>
      <c r="N109" s="596">
        <f>'dod3'!N108-'dod3 квітень чистий'!N101</f>
        <v>34347</v>
      </c>
      <c r="O109" s="596">
        <f>'dod3'!O108-'dod3 квітень чистий'!O101</f>
        <v>34347</v>
      </c>
      <c r="P109" s="596">
        <f>'dod3'!P108-'dod3 квітень чистий'!P101</f>
        <v>34347</v>
      </c>
    </row>
    <row r="110" spans="1:18" ht="137.25" x14ac:dyDescent="0.2">
      <c r="A110" s="588" t="s">
        <v>836</v>
      </c>
      <c r="B110" s="588" t="s">
        <v>834</v>
      </c>
      <c r="C110" s="588" t="s">
        <v>708</v>
      </c>
      <c r="D110" s="298" t="s">
        <v>835</v>
      </c>
      <c r="E110" s="596">
        <f>'dod3'!E109-'dod3 квітень чистий'!E102</f>
        <v>0</v>
      </c>
      <c r="F110" s="596">
        <f>'dod3'!F109-'dod3 квітень чистий'!F102</f>
        <v>0</v>
      </c>
      <c r="G110" s="596">
        <f>'dod3'!G109-'dod3 квітень чистий'!G102</f>
        <v>0</v>
      </c>
      <c r="H110" s="596">
        <f>'dod3'!H109-'dod3 квітень чистий'!H102</f>
        <v>0</v>
      </c>
      <c r="I110" s="596">
        <f>'dod3'!I109-'dod3 квітень чистий'!I102</f>
        <v>0</v>
      </c>
      <c r="J110" s="596">
        <f>'dod3'!J109-'dod3 квітень чистий'!J102</f>
        <v>34347</v>
      </c>
      <c r="K110" s="596">
        <f>'dod3'!K109-'dod3 квітень чистий'!K102</f>
        <v>0</v>
      </c>
      <c r="L110" s="596">
        <f>'dod3'!L109-'dod3 квітень чистий'!L102</f>
        <v>0</v>
      </c>
      <c r="M110" s="596">
        <f>'dod3'!M109-'dod3 квітень чистий'!M102</f>
        <v>0</v>
      </c>
      <c r="N110" s="596">
        <f>'dod3'!N109-'dod3 квітень чистий'!N102</f>
        <v>34347</v>
      </c>
      <c r="O110" s="596">
        <f>'dod3'!O109-'dod3 квітень чистий'!O102</f>
        <v>34347</v>
      </c>
      <c r="P110" s="596">
        <f>'dod3'!P109-'dod3 квітень чистий'!P102</f>
        <v>34347</v>
      </c>
    </row>
    <row r="111" spans="1:18" ht="180" x14ac:dyDescent="0.2">
      <c r="A111" s="322">
        <v>1000000</v>
      </c>
      <c r="B111" s="322"/>
      <c r="C111" s="322"/>
      <c r="D111" s="277" t="s">
        <v>68</v>
      </c>
      <c r="E111" s="243">
        <f>E112</f>
        <v>821600</v>
      </c>
      <c r="F111" s="243">
        <f t="shared" ref="F111:P111" si="17">F112</f>
        <v>821600</v>
      </c>
      <c r="G111" s="243">
        <f t="shared" si="17"/>
        <v>0</v>
      </c>
      <c r="H111" s="243">
        <f t="shared" si="17"/>
        <v>0</v>
      </c>
      <c r="I111" s="243">
        <f t="shared" si="17"/>
        <v>0</v>
      </c>
      <c r="J111" s="243">
        <f t="shared" si="17"/>
        <v>-897665</v>
      </c>
      <c r="K111" s="243">
        <f t="shared" si="17"/>
        <v>0</v>
      </c>
      <c r="L111" s="243">
        <f t="shared" si="17"/>
        <v>0</v>
      </c>
      <c r="M111" s="243">
        <f t="shared" si="17"/>
        <v>0</v>
      </c>
      <c r="N111" s="243">
        <f t="shared" si="17"/>
        <v>-897665</v>
      </c>
      <c r="O111" s="244">
        <f t="shared" si="17"/>
        <v>-897665</v>
      </c>
      <c r="P111" s="243">
        <f t="shared" si="17"/>
        <v>-76065</v>
      </c>
    </row>
    <row r="112" spans="1:18" ht="180" x14ac:dyDescent="0.2">
      <c r="A112" s="323">
        <v>1010000</v>
      </c>
      <c r="B112" s="323"/>
      <c r="C112" s="323"/>
      <c r="D112" s="280" t="s">
        <v>94</v>
      </c>
      <c r="E112" s="244">
        <f>E114+E115+E116+E117+E113+E119+E118+E122</f>
        <v>821600</v>
      </c>
      <c r="F112" s="243">
        <f>F114+F115+F116+F117+F113+F119+F118+F122</f>
        <v>821600</v>
      </c>
      <c r="G112" s="244">
        <f>G114+G115+G116+G117+G113+G119+G118+G122</f>
        <v>0</v>
      </c>
      <c r="H112" s="244">
        <f>H114+H115+H116+H117+H113+H119+H118+H122</f>
        <v>0</v>
      </c>
      <c r="I112" s="243">
        <v>0</v>
      </c>
      <c r="J112" s="244">
        <f t="shared" ref="J112" si="18">K112+N112</f>
        <v>-897665</v>
      </c>
      <c r="K112" s="243">
        <f>K114+K115+K116+K117+K113+K119+K118+K122</f>
        <v>0</v>
      </c>
      <c r="L112" s="244">
        <f>L114+L115+L116+L117+L113+L119+L118+L122</f>
        <v>0</v>
      </c>
      <c r="M112" s="244">
        <f>M114+M115+M116+M117+M113+M119+M118+M122</f>
        <v>0</v>
      </c>
      <c r="N112" s="243">
        <f>N114+N115+N116+N117+N113+N119+N118+N122</f>
        <v>-897665</v>
      </c>
      <c r="O112" s="244">
        <f>O114+O115+O116+O117+O113+O119+O118+O122</f>
        <v>-897665</v>
      </c>
      <c r="P112" s="244">
        <f t="shared" ref="P112" si="19">E112+J112</f>
        <v>-76065</v>
      </c>
      <c r="Q112" s="311"/>
      <c r="R112" s="325"/>
    </row>
    <row r="113" spans="1:18" ht="274.5" x14ac:dyDescent="0.2">
      <c r="A113" s="590" t="s">
        <v>49</v>
      </c>
      <c r="B113" s="590" t="s">
        <v>343</v>
      </c>
      <c r="C113" s="590" t="s">
        <v>344</v>
      </c>
      <c r="D113" s="590" t="s">
        <v>342</v>
      </c>
      <c r="E113" s="596">
        <f>'dod3'!E112-'dod3 квітень чистий'!E105</f>
        <v>0</v>
      </c>
      <c r="F113" s="596">
        <f>'dod3'!F112-'dod3 квітень чистий'!F105</f>
        <v>0</v>
      </c>
      <c r="G113" s="596">
        <f>'dod3'!G112-'dod3 квітень чистий'!G105</f>
        <v>0</v>
      </c>
      <c r="H113" s="596">
        <f>'dod3'!H112-'dod3 квітень чистий'!H105</f>
        <v>0</v>
      </c>
      <c r="I113" s="596">
        <f>'dod3'!I112-'dod3 квітень чистий'!I105</f>
        <v>0</v>
      </c>
      <c r="J113" s="596">
        <f>'dod3'!J112-'dod3 квітень чистий'!J105</f>
        <v>342735</v>
      </c>
      <c r="K113" s="596">
        <f>'dod3'!K112-'dod3 квітень чистий'!K105</f>
        <v>0</v>
      </c>
      <c r="L113" s="596">
        <f>'dod3'!L112-'dod3 квітень чистий'!L105</f>
        <v>0</v>
      </c>
      <c r="M113" s="596">
        <f>'dod3'!M112-'dod3 квітень чистий'!M105</f>
        <v>0</v>
      </c>
      <c r="N113" s="596">
        <f>'dod3'!N112-'dod3 квітень чистий'!N105</f>
        <v>342735</v>
      </c>
      <c r="O113" s="596">
        <f>'dod3'!O112-'dod3 квітень чистий'!O105</f>
        <v>342735</v>
      </c>
      <c r="P113" s="596">
        <f>'dod3'!P112-'dod3 квітень чистий'!P105</f>
        <v>342735</v>
      </c>
    </row>
    <row r="114" spans="1:18" ht="46.5" x14ac:dyDescent="0.2">
      <c r="A114" s="590" t="s">
        <v>325</v>
      </c>
      <c r="B114" s="590" t="s">
        <v>326</v>
      </c>
      <c r="C114" s="590" t="s">
        <v>330</v>
      </c>
      <c r="D114" s="590" t="s">
        <v>331</v>
      </c>
      <c r="E114" s="596">
        <f>'dod3'!E113-'dod3 квітень чистий'!E106</f>
        <v>0</v>
      </c>
      <c r="F114" s="596">
        <f>'dod3'!F113-'dod3 квітень чистий'!F106</f>
        <v>0</v>
      </c>
      <c r="G114" s="596">
        <f>'dod3'!G113-'dod3 квітень чистий'!G106</f>
        <v>0</v>
      </c>
      <c r="H114" s="596">
        <f>'dod3'!H113-'dod3 квітень чистий'!H106</f>
        <v>0</v>
      </c>
      <c r="I114" s="596">
        <f>'dod3'!I113-'dod3 квітень чистий'!I106</f>
        <v>0</v>
      </c>
      <c r="J114" s="596">
        <f>'dod3'!J113-'dod3 квітень чистий'!J106</f>
        <v>0</v>
      </c>
      <c r="K114" s="596">
        <f>'dod3'!K113-'dod3 квітень чистий'!K106</f>
        <v>0</v>
      </c>
      <c r="L114" s="596">
        <f>'dod3'!L113-'dod3 квітень чистий'!L106</f>
        <v>0</v>
      </c>
      <c r="M114" s="596">
        <f>'dod3'!M113-'dod3 квітень чистий'!M106</f>
        <v>0</v>
      </c>
      <c r="N114" s="596">
        <f>'dod3'!N113-'dod3 квітень чистий'!N106</f>
        <v>0</v>
      </c>
      <c r="O114" s="596">
        <f>'dod3'!O113-'dod3 квітень чистий'!O106</f>
        <v>0</v>
      </c>
      <c r="P114" s="596">
        <f>'dod3'!P113-'dod3 квітень чистий'!P106</f>
        <v>0</v>
      </c>
    </row>
    <row r="115" spans="1:18" ht="91.5" x14ac:dyDescent="0.2">
      <c r="A115" s="590" t="s">
        <v>332</v>
      </c>
      <c r="B115" s="590" t="s">
        <v>333</v>
      </c>
      <c r="C115" s="590" t="s">
        <v>334</v>
      </c>
      <c r="D115" s="590" t="s">
        <v>335</v>
      </c>
      <c r="E115" s="596">
        <f>'dod3'!E114-'dod3 квітень чистий'!E107</f>
        <v>0</v>
      </c>
      <c r="F115" s="596">
        <f>'dod3'!F114-'dod3 квітень чистий'!F107</f>
        <v>0</v>
      </c>
      <c r="G115" s="596">
        <f>'dod3'!G114-'dod3 квітень чистий'!G107</f>
        <v>0</v>
      </c>
      <c r="H115" s="596">
        <f>'dod3'!H114-'dod3 квітень чистий'!H107</f>
        <v>0</v>
      </c>
      <c r="I115" s="596">
        <f>'dod3'!I114-'dod3 квітень чистий'!I107</f>
        <v>0</v>
      </c>
      <c r="J115" s="596">
        <f>'dod3'!J114-'dod3 квітень чистий'!J107</f>
        <v>17000</v>
      </c>
      <c r="K115" s="596">
        <f>'dod3'!K114-'dod3 квітень чистий'!K107</f>
        <v>0</v>
      </c>
      <c r="L115" s="596">
        <f>'dod3'!L114-'dod3 квітень чистий'!L107</f>
        <v>0</v>
      </c>
      <c r="M115" s="596">
        <f>'dod3'!M114-'dod3 квітень чистий'!M107</f>
        <v>0</v>
      </c>
      <c r="N115" s="596">
        <f>'dod3'!N114-'dod3 квітень чистий'!N107</f>
        <v>17000</v>
      </c>
      <c r="O115" s="596">
        <f>'dod3'!O114-'dod3 квітень чистий'!O107</f>
        <v>17000</v>
      </c>
      <c r="P115" s="596">
        <f>'dod3'!P114-'dod3 квітень чистий'!P107</f>
        <v>17000</v>
      </c>
    </row>
    <row r="116" spans="1:18" ht="91.5" x14ac:dyDescent="0.2">
      <c r="A116" s="590" t="s">
        <v>336</v>
      </c>
      <c r="B116" s="590" t="s">
        <v>337</v>
      </c>
      <c r="C116" s="590" t="s">
        <v>334</v>
      </c>
      <c r="D116" s="590" t="s">
        <v>338</v>
      </c>
      <c r="E116" s="596">
        <f>'dod3'!E115-'dod3 квітень чистий'!E108</f>
        <v>0</v>
      </c>
      <c r="F116" s="596">
        <f>'dod3'!F115-'dod3 квітень чистий'!F108</f>
        <v>0</v>
      </c>
      <c r="G116" s="596">
        <f>'dod3'!G115-'dod3 квітень чистий'!G108</f>
        <v>0</v>
      </c>
      <c r="H116" s="596">
        <f>'dod3'!H115-'dod3 квітень чистий'!H108</f>
        <v>0</v>
      </c>
      <c r="I116" s="596">
        <f>'dod3'!I115-'dod3 квітень чистий'!I108</f>
        <v>0</v>
      </c>
      <c r="J116" s="596">
        <f>'dod3'!J115-'dod3 квітень чистий'!J108</f>
        <v>-160000</v>
      </c>
      <c r="K116" s="596">
        <f>'dod3'!K115-'dod3 квітень чистий'!K108</f>
        <v>0</v>
      </c>
      <c r="L116" s="596">
        <f>'dod3'!L115-'dod3 квітень чистий'!L108</f>
        <v>0</v>
      </c>
      <c r="M116" s="596">
        <f>'dod3'!M115-'dod3 квітень чистий'!M108</f>
        <v>0</v>
      </c>
      <c r="N116" s="596">
        <f>'dod3'!N115-'dod3 квітень чистий'!N108</f>
        <v>-160000</v>
      </c>
      <c r="O116" s="596">
        <f>'dod3'!O115-'dod3 квітень чистий'!O108</f>
        <v>-160000</v>
      </c>
      <c r="P116" s="596">
        <f>'dod3'!P115-'dod3 квітень чистий'!P108</f>
        <v>-160000</v>
      </c>
    </row>
    <row r="117" spans="1:18" ht="183" x14ac:dyDescent="0.2">
      <c r="A117" s="590" t="s">
        <v>339</v>
      </c>
      <c r="B117" s="590" t="s">
        <v>327</v>
      </c>
      <c r="C117" s="590" t="s">
        <v>340</v>
      </c>
      <c r="D117" s="590" t="s">
        <v>341</v>
      </c>
      <c r="E117" s="596">
        <f>'dod3'!E116-'dod3 квітень чистий'!E109</f>
        <v>30000</v>
      </c>
      <c r="F117" s="596">
        <f>'dod3'!F116-'dod3 квітень чистий'!F109</f>
        <v>30000</v>
      </c>
      <c r="G117" s="596">
        <f>'dod3'!G116-'dod3 квітень чистий'!G109</f>
        <v>0</v>
      </c>
      <c r="H117" s="596">
        <f>'dod3'!H116-'dod3 квітень чистий'!H109</f>
        <v>0</v>
      </c>
      <c r="I117" s="596">
        <f>'dod3'!I116-'dod3 квітень чистий'!I109</f>
        <v>0</v>
      </c>
      <c r="J117" s="596">
        <f>'dod3'!J116-'dod3 квітень чистий'!J109</f>
        <v>-1171500</v>
      </c>
      <c r="K117" s="596">
        <f>'dod3'!K116-'dod3 квітень чистий'!K109</f>
        <v>0</v>
      </c>
      <c r="L117" s="596">
        <f>'dod3'!L116-'dod3 квітень чистий'!L109</f>
        <v>0</v>
      </c>
      <c r="M117" s="596">
        <f>'dod3'!M116-'dod3 квітень чистий'!M109</f>
        <v>0</v>
      </c>
      <c r="N117" s="596">
        <f>'dod3'!N116-'dod3 квітень чистий'!N109</f>
        <v>-1171500</v>
      </c>
      <c r="O117" s="596">
        <f>'dod3'!O116-'dod3 квітень чистий'!O109</f>
        <v>-1171500</v>
      </c>
      <c r="P117" s="596">
        <f>'dod3'!P116-'dod3 квітень чистий'!P109</f>
        <v>-1141500</v>
      </c>
    </row>
    <row r="118" spans="1:18" ht="91.5" x14ac:dyDescent="0.2">
      <c r="A118" s="590" t="s">
        <v>815</v>
      </c>
      <c r="B118" s="590" t="s">
        <v>816</v>
      </c>
      <c r="C118" s="590" t="s">
        <v>817</v>
      </c>
      <c r="D118" s="590" t="s">
        <v>814</v>
      </c>
      <c r="E118" s="596">
        <f>'dod3'!E117-'dod3 квітень чистий'!E110</f>
        <v>50000</v>
      </c>
      <c r="F118" s="596">
        <f>'dod3'!F117-'dod3 квітень чистий'!F110</f>
        <v>50000</v>
      </c>
      <c r="G118" s="596">
        <f>'dod3'!G117-'dod3 квітень чистий'!G110</f>
        <v>0</v>
      </c>
      <c r="H118" s="596">
        <f>'dod3'!H117-'dod3 квітень чистий'!H110</f>
        <v>0</v>
      </c>
      <c r="I118" s="596">
        <f>'dod3'!I117-'dod3 квітень чистий'!I110</f>
        <v>0</v>
      </c>
      <c r="J118" s="596">
        <f>'dod3'!J117-'dod3 квітень чистий'!J110</f>
        <v>0</v>
      </c>
      <c r="K118" s="596">
        <f>'dod3'!K117-'dod3 квітень чистий'!K110</f>
        <v>0</v>
      </c>
      <c r="L118" s="596">
        <f>'dod3'!L117-'dod3 квітень чистий'!L110</f>
        <v>0</v>
      </c>
      <c r="M118" s="596">
        <f>'dod3'!M117-'dod3 квітень чистий'!M110</f>
        <v>0</v>
      </c>
      <c r="N118" s="596">
        <f>'dod3'!N117-'dod3 квітень чистий'!N110</f>
        <v>0</v>
      </c>
      <c r="O118" s="596">
        <f>'dod3'!O117-'dod3 квітень чистий'!O110</f>
        <v>0</v>
      </c>
      <c r="P118" s="596">
        <f>'dod3'!P117-'dod3 квітень чистий'!P110</f>
        <v>50000</v>
      </c>
    </row>
    <row r="119" spans="1:18" ht="91.5" x14ac:dyDescent="0.2">
      <c r="A119" s="590" t="s">
        <v>346</v>
      </c>
      <c r="B119" s="590" t="s">
        <v>347</v>
      </c>
      <c r="C119" s="590"/>
      <c r="D119" s="590" t="s">
        <v>345</v>
      </c>
      <c r="E119" s="596">
        <f>'dod3'!E118-'dod3 квітень чистий'!E111</f>
        <v>741600</v>
      </c>
      <c r="F119" s="596">
        <f>'dod3'!F118-'dod3 квітень чистий'!F111</f>
        <v>741600</v>
      </c>
      <c r="G119" s="596">
        <f>'dod3'!G118-'dod3 квітень чистий'!G111</f>
        <v>0</v>
      </c>
      <c r="H119" s="596">
        <f>'dod3'!H118-'dod3 квітень чистий'!H111</f>
        <v>0</v>
      </c>
      <c r="I119" s="596">
        <f>'dod3'!I118-'dod3 квітень чистий'!I111</f>
        <v>0</v>
      </c>
      <c r="J119" s="596">
        <f>'dod3'!J118-'dod3 квітень чистий'!J111</f>
        <v>19300</v>
      </c>
      <c r="K119" s="596">
        <f>'dod3'!K118-'dod3 квітень чистий'!K111</f>
        <v>0</v>
      </c>
      <c r="L119" s="596">
        <f>'dod3'!L118-'dod3 квітень чистий'!L111</f>
        <v>0</v>
      </c>
      <c r="M119" s="596">
        <f>'dod3'!M118-'dod3 квітень чистий'!M111</f>
        <v>0</v>
      </c>
      <c r="N119" s="596">
        <f>'dod3'!N118-'dod3 квітень чистий'!N111</f>
        <v>19300</v>
      </c>
      <c r="O119" s="596">
        <f>'dod3'!O118-'dod3 квітень чистий'!O111</f>
        <v>19300</v>
      </c>
      <c r="P119" s="596">
        <f>'dod3'!P118-'dod3 квітень чистий'!P111</f>
        <v>760900</v>
      </c>
    </row>
    <row r="120" spans="1:18" ht="137.25" x14ac:dyDescent="0.2">
      <c r="A120" s="588" t="s">
        <v>691</v>
      </c>
      <c r="B120" s="588" t="s">
        <v>692</v>
      </c>
      <c r="C120" s="588" t="s">
        <v>348</v>
      </c>
      <c r="D120" s="588" t="s">
        <v>690</v>
      </c>
      <c r="E120" s="596">
        <f>'dod3'!E119-'dod3 квітень чистий'!E112</f>
        <v>191600</v>
      </c>
      <c r="F120" s="596">
        <f>'dod3'!F119-'dod3 квітень чистий'!F112</f>
        <v>191600</v>
      </c>
      <c r="G120" s="596">
        <f>'dod3'!G119-'dod3 квітень чистий'!G112</f>
        <v>0</v>
      </c>
      <c r="H120" s="596">
        <f>'dod3'!H119-'dod3 квітень чистий'!H112</f>
        <v>0</v>
      </c>
      <c r="I120" s="596">
        <f>'dod3'!I119-'dod3 квітень чистий'!I112</f>
        <v>0</v>
      </c>
      <c r="J120" s="596">
        <f>'dod3'!J119-'dod3 квітень чистий'!J112</f>
        <v>19300</v>
      </c>
      <c r="K120" s="596">
        <f>'dod3'!K119-'dod3 квітень чистий'!K112</f>
        <v>0</v>
      </c>
      <c r="L120" s="596">
        <f>'dod3'!L119-'dod3 квітень чистий'!L112</f>
        <v>0</v>
      </c>
      <c r="M120" s="596">
        <f>'dod3'!M119-'dod3 квітень чистий'!M112</f>
        <v>0</v>
      </c>
      <c r="N120" s="596">
        <f>'dod3'!N119-'dod3 квітень чистий'!N112</f>
        <v>19300</v>
      </c>
      <c r="O120" s="596">
        <f>'dod3'!O119-'dod3 квітень чистий'!O112</f>
        <v>19300</v>
      </c>
      <c r="P120" s="596">
        <f>'dod3'!P119-'dod3 квітень чистий'!P112</f>
        <v>210900</v>
      </c>
    </row>
    <row r="121" spans="1:18" ht="91.5" x14ac:dyDescent="0.2">
      <c r="A121" s="588" t="s">
        <v>693</v>
      </c>
      <c r="B121" s="588" t="s">
        <v>694</v>
      </c>
      <c r="C121" s="588" t="s">
        <v>348</v>
      </c>
      <c r="D121" s="588" t="s">
        <v>695</v>
      </c>
      <c r="E121" s="596">
        <f>'dod3'!E120-'dod3 квітень чистий'!E113</f>
        <v>550000</v>
      </c>
      <c r="F121" s="596">
        <f>'dod3'!F120-'dod3 квітень чистий'!F113</f>
        <v>550000</v>
      </c>
      <c r="G121" s="596">
        <f>'dod3'!G120-'dod3 квітень чистий'!G113</f>
        <v>0</v>
      </c>
      <c r="H121" s="596">
        <f>'dod3'!H120-'dod3 квітень чистий'!H113</f>
        <v>0</v>
      </c>
      <c r="I121" s="596">
        <f>'dod3'!I120-'dod3 квітень чистий'!I113</f>
        <v>0</v>
      </c>
      <c r="J121" s="596">
        <f>'dod3'!J120-'dod3 квітень чистий'!J113</f>
        <v>0</v>
      </c>
      <c r="K121" s="596">
        <f>'dod3'!K120-'dod3 квітень чистий'!K113</f>
        <v>0</v>
      </c>
      <c r="L121" s="596">
        <f>'dod3'!L120-'dod3 квітень чистий'!L113</f>
        <v>0</v>
      </c>
      <c r="M121" s="596">
        <f>'dod3'!M120-'dod3 квітень чистий'!M113</f>
        <v>0</v>
      </c>
      <c r="N121" s="596">
        <f>'dod3'!N120-'dod3 квітень чистий'!N113</f>
        <v>0</v>
      </c>
      <c r="O121" s="596">
        <f>'dod3'!O120-'dod3 квітень чистий'!O113</f>
        <v>0</v>
      </c>
      <c r="P121" s="596">
        <f>'dod3'!P120-'dod3 квітень чистий'!P113</f>
        <v>550000</v>
      </c>
    </row>
    <row r="122" spans="1:18" ht="91.5" x14ac:dyDescent="0.2">
      <c r="A122" s="590" t="s">
        <v>819</v>
      </c>
      <c r="B122" s="590" t="s">
        <v>373</v>
      </c>
      <c r="C122" s="590" t="s">
        <v>324</v>
      </c>
      <c r="D122" s="590" t="s">
        <v>818</v>
      </c>
      <c r="E122" s="596">
        <f>'dod3'!E121-'dod3 квітень чистий'!E114</f>
        <v>0</v>
      </c>
      <c r="F122" s="596">
        <f>'dod3'!F121-'dod3 квітень чистий'!F114</f>
        <v>0</v>
      </c>
      <c r="G122" s="596">
        <f>'dod3'!G121-'dod3 квітень чистий'!G114</f>
        <v>0</v>
      </c>
      <c r="H122" s="596">
        <f>'dod3'!H121-'dod3 квітень чистий'!H114</f>
        <v>0</v>
      </c>
      <c r="I122" s="596">
        <f>'dod3'!I121-'dod3 квітень чистий'!I114</f>
        <v>0</v>
      </c>
      <c r="J122" s="596">
        <f>'dod3'!J121-'dod3 квітень чистий'!J114</f>
        <v>54800</v>
      </c>
      <c r="K122" s="596">
        <f>'dod3'!K121-'dod3 квітень чистий'!K114</f>
        <v>0</v>
      </c>
      <c r="L122" s="596">
        <f>'dod3'!L121-'dod3 квітень чистий'!L114</f>
        <v>0</v>
      </c>
      <c r="M122" s="596">
        <f>'dod3'!M121-'dod3 квітень чистий'!M114</f>
        <v>0</v>
      </c>
      <c r="N122" s="596">
        <f>'dod3'!N121-'dod3 квітень чистий'!N114</f>
        <v>54800</v>
      </c>
      <c r="O122" s="596">
        <f>'dod3'!O121-'dod3 квітень чистий'!O114</f>
        <v>54800</v>
      </c>
      <c r="P122" s="596">
        <f>'dod3'!P121-'dod3 квітень чистий'!P114</f>
        <v>54800</v>
      </c>
    </row>
    <row r="123" spans="1:18" ht="135" x14ac:dyDescent="0.2">
      <c r="A123" s="277" t="s">
        <v>65</v>
      </c>
      <c r="B123" s="277"/>
      <c r="C123" s="277"/>
      <c r="D123" s="277" t="s">
        <v>66</v>
      </c>
      <c r="E123" s="243">
        <f>E124</f>
        <v>3486429</v>
      </c>
      <c r="F123" s="243">
        <f t="shared" ref="F123:P123" si="20">F124</f>
        <v>3486429</v>
      </c>
      <c r="G123" s="243">
        <f t="shared" si="20"/>
        <v>147400</v>
      </c>
      <c r="H123" s="243">
        <f t="shared" si="20"/>
        <v>45000</v>
      </c>
      <c r="I123" s="243">
        <f t="shared" si="20"/>
        <v>0</v>
      </c>
      <c r="J123" s="243">
        <f t="shared" si="20"/>
        <v>293165</v>
      </c>
      <c r="K123" s="243">
        <f t="shared" si="20"/>
        <v>0</v>
      </c>
      <c r="L123" s="243">
        <f t="shared" si="20"/>
        <v>0</v>
      </c>
      <c r="M123" s="243">
        <f t="shared" si="20"/>
        <v>-28400</v>
      </c>
      <c r="N123" s="243">
        <f t="shared" si="20"/>
        <v>293165</v>
      </c>
      <c r="O123" s="244">
        <f t="shared" si="20"/>
        <v>293165</v>
      </c>
      <c r="P123" s="243">
        <f t="shared" si="20"/>
        <v>3779594</v>
      </c>
    </row>
    <row r="124" spans="1:18" ht="135" x14ac:dyDescent="0.2">
      <c r="A124" s="280" t="s">
        <v>64</v>
      </c>
      <c r="B124" s="280"/>
      <c r="C124" s="280"/>
      <c r="D124" s="280" t="s">
        <v>90</v>
      </c>
      <c r="E124" s="244">
        <f>E125+E127+E131+E134+E136+E141+E146+E144+E147+E139</f>
        <v>3486429</v>
      </c>
      <c r="F124" s="243">
        <f>F125+F127+F131+F134+F136+F141+F146+F144+F147+F139</f>
        <v>3486429</v>
      </c>
      <c r="G124" s="244">
        <f>G125+G127+G131+G134+G136+G141+G146+G144+G147+G139</f>
        <v>147400</v>
      </c>
      <c r="H124" s="244">
        <f>H125+H127+H131+H134+H136+H141+H146+H144+H147+H139</f>
        <v>45000</v>
      </c>
      <c r="I124" s="243">
        <f>I125+I127+I131+I134+I136+I141+I146</f>
        <v>0</v>
      </c>
      <c r="J124" s="246">
        <f>K124+N124</f>
        <v>293165</v>
      </c>
      <c r="K124" s="243">
        <f>K125+K127+K131+K134+K136+K141+K146+K144+K147+K139</f>
        <v>0</v>
      </c>
      <c r="L124" s="244">
        <f>L125+L127+L131+L134+L136+L141+L146+L144+L147+L139</f>
        <v>0</v>
      </c>
      <c r="M124" s="244">
        <f>M125+M127+M131+M134+M136+M141+M146+M144+M147+M139</f>
        <v>-28400</v>
      </c>
      <c r="N124" s="243">
        <f>N125+N127+N131+N134+N136+N141+N146+N147+N139</f>
        <v>293165</v>
      </c>
      <c r="O124" s="244">
        <f>O125+O127+O131+O134+O136+O141+O146+O147+O139</f>
        <v>293165</v>
      </c>
      <c r="P124" s="244">
        <f>E124+J124</f>
        <v>3779594</v>
      </c>
      <c r="Q124" s="311"/>
      <c r="R124" s="325"/>
    </row>
    <row r="125" spans="1:18" ht="137.25" x14ac:dyDescent="0.2">
      <c r="A125" s="590" t="s">
        <v>349</v>
      </c>
      <c r="B125" s="590" t="s">
        <v>350</v>
      </c>
      <c r="C125" s="590"/>
      <c r="D125" s="590" t="s">
        <v>106</v>
      </c>
      <c r="E125" s="596">
        <f>'dod3'!E124-'dod3 квітень чистий'!E117</f>
        <v>0</v>
      </c>
      <c r="F125" s="596">
        <f>'dod3'!F124-'dod3 квітень чистий'!F117</f>
        <v>0</v>
      </c>
      <c r="G125" s="596">
        <f>'dod3'!G124-'dod3 квітень чистий'!G117</f>
        <v>0</v>
      </c>
      <c r="H125" s="596">
        <f>'dod3'!H124-'dod3 квітень чистий'!H117</f>
        <v>0</v>
      </c>
      <c r="I125" s="596">
        <f>'dod3'!I124-'dod3 квітень чистий'!I117</f>
        <v>0</v>
      </c>
      <c r="J125" s="596">
        <f>'dod3'!J124-'dod3 квітень чистий'!J117</f>
        <v>0</v>
      </c>
      <c r="K125" s="596">
        <f>'dod3'!K124-'dod3 квітень чистий'!K117</f>
        <v>0</v>
      </c>
      <c r="L125" s="596">
        <f>'dod3'!L124-'dod3 квітень чистий'!L117</f>
        <v>0</v>
      </c>
      <c r="M125" s="596">
        <f>'dod3'!M124-'dod3 квітень чистий'!M117</f>
        <v>0</v>
      </c>
      <c r="N125" s="596">
        <f>'dod3'!N124-'dod3 квітень чистий'!N117</f>
        <v>0</v>
      </c>
      <c r="O125" s="596">
        <f>'dod3'!O124-'dod3 квітень чистий'!O117</f>
        <v>0</v>
      </c>
      <c r="P125" s="596">
        <f>'dod3'!P124-'dod3 квітень чистий'!P117</f>
        <v>0</v>
      </c>
    </row>
    <row r="126" spans="1:18" ht="183" x14ac:dyDescent="0.2">
      <c r="A126" s="588" t="s">
        <v>351</v>
      </c>
      <c r="B126" s="588" t="s">
        <v>352</v>
      </c>
      <c r="C126" s="588" t="s">
        <v>353</v>
      </c>
      <c r="D126" s="588" t="s">
        <v>354</v>
      </c>
      <c r="E126" s="596">
        <f>'dod3'!E125-'dod3 квітень чистий'!E118</f>
        <v>0</v>
      </c>
      <c r="F126" s="596">
        <f>'dod3'!F125-'dod3 квітень чистий'!F118</f>
        <v>0</v>
      </c>
      <c r="G126" s="596">
        <f>'dod3'!G125-'dod3 квітень чистий'!G118</f>
        <v>0</v>
      </c>
      <c r="H126" s="596">
        <f>'dod3'!H125-'dod3 квітень чистий'!H118</f>
        <v>0</v>
      </c>
      <c r="I126" s="596">
        <f>'dod3'!I125-'dod3 квітень чистий'!I118</f>
        <v>0</v>
      </c>
      <c r="J126" s="596">
        <f>'dod3'!J125-'dod3 квітень чистий'!J118</f>
        <v>0</v>
      </c>
      <c r="K126" s="596">
        <f>'dod3'!K125-'dod3 квітень чистий'!K118</f>
        <v>0</v>
      </c>
      <c r="L126" s="596">
        <f>'dod3'!L125-'dod3 квітень чистий'!L118</f>
        <v>0</v>
      </c>
      <c r="M126" s="596">
        <f>'dod3'!M125-'dod3 квітень чистий'!M118</f>
        <v>0</v>
      </c>
      <c r="N126" s="596">
        <f>'dod3'!N125-'dod3 квітень чистий'!N118</f>
        <v>0</v>
      </c>
      <c r="O126" s="596">
        <f>'dod3'!O125-'dod3 квітень чистий'!O118</f>
        <v>0</v>
      </c>
      <c r="P126" s="596">
        <f>'dod3'!P125-'dod3 квітень чистий'!P118</f>
        <v>0</v>
      </c>
    </row>
    <row r="127" spans="1:18" ht="91.5" x14ac:dyDescent="0.2">
      <c r="A127" s="590" t="s">
        <v>105</v>
      </c>
      <c r="B127" s="590" t="s">
        <v>328</v>
      </c>
      <c r="C127" s="590"/>
      <c r="D127" s="590" t="s">
        <v>76</v>
      </c>
      <c r="E127" s="596">
        <f>'dod3'!E126-'dod3 квітень чистий'!E119</f>
        <v>1134425</v>
      </c>
      <c r="F127" s="596">
        <f>'dod3'!F126-'dod3 квітень чистий'!F119</f>
        <v>1134425</v>
      </c>
      <c r="G127" s="596">
        <f>'dod3'!G126-'dod3 квітень чистий'!G119</f>
        <v>0</v>
      </c>
      <c r="H127" s="596">
        <f>'dod3'!H126-'dod3 квітень чистий'!H119</f>
        <v>0</v>
      </c>
      <c r="I127" s="596">
        <f>'dod3'!I126-'dod3 квітень чистий'!I119</f>
        <v>0</v>
      </c>
      <c r="J127" s="596">
        <f>'dod3'!J126-'dod3 квітень чистий'!J119</f>
        <v>400000</v>
      </c>
      <c r="K127" s="596">
        <f>'dod3'!K126-'dod3 квітень чистий'!K119</f>
        <v>0</v>
      </c>
      <c r="L127" s="596">
        <f>'dod3'!L126-'dod3 квітень чистий'!L119</f>
        <v>0</v>
      </c>
      <c r="M127" s="596">
        <f>'dod3'!M126-'dod3 квітень чистий'!M119</f>
        <v>0</v>
      </c>
      <c r="N127" s="596">
        <f>'dod3'!N126-'dod3 квітень чистий'!N119</f>
        <v>400000</v>
      </c>
      <c r="O127" s="596">
        <f>'dod3'!O126-'dod3 квітень чистий'!O119</f>
        <v>400000</v>
      </c>
      <c r="P127" s="596">
        <f>'dod3'!P126-'dod3 квітень чистий'!P119</f>
        <v>1534425</v>
      </c>
    </row>
    <row r="128" spans="1:18" ht="228.75" x14ac:dyDescent="0.2">
      <c r="A128" s="588" t="s">
        <v>104</v>
      </c>
      <c r="B128" s="588" t="s">
        <v>329</v>
      </c>
      <c r="C128" s="588" t="s">
        <v>353</v>
      </c>
      <c r="D128" s="588" t="s">
        <v>33</v>
      </c>
      <c r="E128" s="596">
        <f>'dod3'!E127-'dod3 квітень чистий'!E120</f>
        <v>20000</v>
      </c>
      <c r="F128" s="596">
        <f>'dod3'!F127-'dod3 квітень чистий'!F120</f>
        <v>20000</v>
      </c>
      <c r="G128" s="596">
        <f>'dod3'!G127-'dod3 квітень чистий'!G120</f>
        <v>0</v>
      </c>
      <c r="H128" s="596">
        <f>'dod3'!H127-'dod3 квітень чистий'!H120</f>
        <v>0</v>
      </c>
      <c r="I128" s="596">
        <f>'dod3'!I127-'dod3 квітень чистий'!I120</f>
        <v>0</v>
      </c>
      <c r="J128" s="596">
        <f>'dod3'!J127-'dod3 квітень чистий'!J120</f>
        <v>0</v>
      </c>
      <c r="K128" s="596">
        <f>'dod3'!K127-'dod3 квітень чистий'!K120</f>
        <v>0</v>
      </c>
      <c r="L128" s="596">
        <f>'dod3'!L127-'dod3 квітень чистий'!L120</f>
        <v>0</v>
      </c>
      <c r="M128" s="596">
        <f>'dod3'!M127-'dod3 квітень чистий'!M120</f>
        <v>0</v>
      </c>
      <c r="N128" s="596">
        <f>'dod3'!N127-'dod3 квітень чистий'!N120</f>
        <v>0</v>
      </c>
      <c r="O128" s="596">
        <f>'dod3'!O127-'dod3 квітень чистий'!O120</f>
        <v>0</v>
      </c>
      <c r="P128" s="596">
        <f>'dod3'!P127-'dod3 квітень чистий'!P120</f>
        <v>20000</v>
      </c>
    </row>
    <row r="129" spans="1:16" ht="137.25" x14ac:dyDescent="0.2">
      <c r="A129" s="588" t="s">
        <v>360</v>
      </c>
      <c r="B129" s="588" t="s">
        <v>361</v>
      </c>
      <c r="C129" s="588" t="s">
        <v>353</v>
      </c>
      <c r="D129" s="588" t="s">
        <v>34</v>
      </c>
      <c r="E129" s="596">
        <f>'dod3'!E128-'dod3 квітень чистий'!E121</f>
        <v>211028</v>
      </c>
      <c r="F129" s="596">
        <f>'dod3'!F128-'dod3 квітень чистий'!F121</f>
        <v>211028</v>
      </c>
      <c r="G129" s="596">
        <f>'dod3'!G128-'dod3 квітень чистий'!G121</f>
        <v>0</v>
      </c>
      <c r="H129" s="596">
        <f>'dod3'!H128-'dod3 квітень чистий'!H121</f>
        <v>0</v>
      </c>
      <c r="I129" s="596">
        <f>'dod3'!I128-'dod3 квітень чистий'!I121</f>
        <v>0</v>
      </c>
      <c r="J129" s="596">
        <f>'dod3'!J128-'dod3 квітень чистий'!J121</f>
        <v>0</v>
      </c>
      <c r="K129" s="596">
        <f>'dod3'!K128-'dod3 квітень чистий'!K121</f>
        <v>0</v>
      </c>
      <c r="L129" s="596">
        <f>'dod3'!L128-'dod3 квітень чистий'!L121</f>
        <v>0</v>
      </c>
      <c r="M129" s="596">
        <f>'dod3'!M128-'dod3 квітень чистий'!M121</f>
        <v>0</v>
      </c>
      <c r="N129" s="596">
        <f>'dod3'!N128-'dod3 квітень чистий'!N121</f>
        <v>0</v>
      </c>
      <c r="O129" s="596">
        <f>'dod3'!O128-'dod3 квітень чистий'!O121</f>
        <v>0</v>
      </c>
      <c r="P129" s="596">
        <f>'dod3'!P128-'dod3 квітень чистий'!P121</f>
        <v>211028</v>
      </c>
    </row>
    <row r="130" spans="1:16" ht="91.5" x14ac:dyDescent="0.2">
      <c r="A130" s="588" t="s">
        <v>761</v>
      </c>
      <c r="B130" s="588" t="s">
        <v>762</v>
      </c>
      <c r="C130" s="588" t="s">
        <v>353</v>
      </c>
      <c r="D130" s="588" t="s">
        <v>763</v>
      </c>
      <c r="E130" s="596">
        <f>'dod3'!E129-'dod3 квітень чистий'!E122</f>
        <v>903397</v>
      </c>
      <c r="F130" s="596">
        <f>'dod3'!F129-'dod3 квітень чистий'!F122</f>
        <v>903397</v>
      </c>
      <c r="G130" s="596">
        <f>'dod3'!G129-'dod3 квітень чистий'!G122</f>
        <v>47800</v>
      </c>
      <c r="H130" s="596">
        <f>'dod3'!H129-'dod3 квітень чистий'!H122</f>
        <v>70000</v>
      </c>
      <c r="I130" s="596">
        <f>'dod3'!I129-'dod3 квітень чистий'!I122</f>
        <v>0</v>
      </c>
      <c r="J130" s="596">
        <f>'dod3'!J129-'dod3 квітень чистий'!J122</f>
        <v>400000</v>
      </c>
      <c r="K130" s="596">
        <f>'dod3'!K129-'dod3 квітень чистий'!K122</f>
        <v>0</v>
      </c>
      <c r="L130" s="596">
        <f>'dod3'!L129-'dod3 квітень чистий'!L122</f>
        <v>0</v>
      </c>
      <c r="M130" s="596">
        <f>'dod3'!M129-'dod3 квітень чистий'!M122</f>
        <v>0</v>
      </c>
      <c r="N130" s="596">
        <f>'dod3'!N129-'dod3 квітень чистий'!N122</f>
        <v>400000</v>
      </c>
      <c r="O130" s="596">
        <f>'dod3'!O129-'dod3 квітень чистий'!O122</f>
        <v>400000</v>
      </c>
      <c r="P130" s="596">
        <f>'dod3'!P129-'dod3 квітень чистий'!P122</f>
        <v>1303397</v>
      </c>
    </row>
    <row r="131" spans="1:16" ht="91.5" x14ac:dyDescent="0.2">
      <c r="A131" s="590" t="s">
        <v>107</v>
      </c>
      <c r="B131" s="590" t="s">
        <v>355</v>
      </c>
      <c r="C131" s="590"/>
      <c r="D131" s="590" t="s">
        <v>108</v>
      </c>
      <c r="E131" s="596">
        <f>'dod3'!E130-'dod3 квітень чистий'!E123</f>
        <v>1500000</v>
      </c>
      <c r="F131" s="596">
        <f>'dod3'!F130-'dod3 квітень чистий'!F123</f>
        <v>1500000</v>
      </c>
      <c r="G131" s="596">
        <f>'dod3'!G130-'dod3 квітень чистий'!G123</f>
        <v>0</v>
      </c>
      <c r="H131" s="596">
        <f>'dod3'!H130-'dod3 квітень чистий'!H123</f>
        <v>0</v>
      </c>
      <c r="I131" s="596">
        <f>'dod3'!I130-'dod3 квітень чистий'!I123</f>
        <v>0</v>
      </c>
      <c r="J131" s="596">
        <f>'dod3'!J130-'dod3 квітень чистий'!J123</f>
        <v>0</v>
      </c>
      <c r="K131" s="596">
        <f>'dod3'!K130-'dod3 квітень чистий'!K123</f>
        <v>0</v>
      </c>
      <c r="L131" s="596">
        <f>'dod3'!L130-'dod3 квітень чистий'!L123</f>
        <v>0</v>
      </c>
      <c r="M131" s="596">
        <f>'dod3'!M130-'dod3 квітень чистий'!M123</f>
        <v>0</v>
      </c>
      <c r="N131" s="596">
        <f>'dod3'!N130-'dod3 квітень чистий'!N123</f>
        <v>0</v>
      </c>
      <c r="O131" s="596">
        <f>'dod3'!O130-'dod3 квітень чистий'!O123</f>
        <v>0</v>
      </c>
      <c r="P131" s="596">
        <f>'dod3'!P130-'dod3 квітень чистий'!P123</f>
        <v>1500000</v>
      </c>
    </row>
    <row r="132" spans="1:16" ht="137.25" x14ac:dyDescent="0.2">
      <c r="A132" s="588" t="s">
        <v>109</v>
      </c>
      <c r="B132" s="588" t="s">
        <v>356</v>
      </c>
      <c r="C132" s="588" t="s">
        <v>370</v>
      </c>
      <c r="D132" s="588" t="s">
        <v>110</v>
      </c>
      <c r="E132" s="596">
        <f>'dod3'!E131-'dod3 квітень чистий'!E124</f>
        <v>1325000</v>
      </c>
      <c r="F132" s="596">
        <f>'dod3'!F131-'dod3 квітень чистий'!F124</f>
        <v>1325000</v>
      </c>
      <c r="G132" s="596">
        <f>'dod3'!G131-'dod3 квітень чистий'!G124</f>
        <v>0</v>
      </c>
      <c r="H132" s="596">
        <f>'dod3'!H131-'dod3 квітень чистий'!H124</f>
        <v>0</v>
      </c>
      <c r="I132" s="596">
        <f>'dod3'!I131-'dod3 квітень чистий'!I124</f>
        <v>0</v>
      </c>
      <c r="J132" s="596">
        <f>'dod3'!J131-'dod3 квітень чистий'!J124</f>
        <v>0</v>
      </c>
      <c r="K132" s="596">
        <f>'dod3'!K131-'dod3 квітень чистий'!K124</f>
        <v>0</v>
      </c>
      <c r="L132" s="596">
        <f>'dod3'!L131-'dod3 квітень чистий'!L124</f>
        <v>0</v>
      </c>
      <c r="M132" s="596">
        <f>'dod3'!M131-'dod3 квітень чистий'!M124</f>
        <v>0</v>
      </c>
      <c r="N132" s="596">
        <f>'dod3'!N131-'dod3 квітень чистий'!N124</f>
        <v>0</v>
      </c>
      <c r="O132" s="596">
        <f>'dod3'!O131-'dod3 квітень чистий'!O124</f>
        <v>0</v>
      </c>
      <c r="P132" s="596">
        <f>'dod3'!P131-'dod3 квітень чистий'!P124</f>
        <v>1325000</v>
      </c>
    </row>
    <row r="133" spans="1:16" ht="137.25" x14ac:dyDescent="0.2">
      <c r="A133" s="588" t="s">
        <v>111</v>
      </c>
      <c r="B133" s="588" t="s">
        <v>357</v>
      </c>
      <c r="C133" s="588" t="s">
        <v>370</v>
      </c>
      <c r="D133" s="588" t="s">
        <v>11</v>
      </c>
      <c r="E133" s="596">
        <f>'dod3'!E132-'dod3 квітень чистий'!E125</f>
        <v>175000</v>
      </c>
      <c r="F133" s="596">
        <f>'dod3'!F132-'dod3 квітень чистий'!F125</f>
        <v>175000</v>
      </c>
      <c r="G133" s="596">
        <f>'dod3'!G132-'dod3 квітень чистий'!G125</f>
        <v>0</v>
      </c>
      <c r="H133" s="596">
        <f>'dod3'!H132-'dod3 квітень чистий'!H125</f>
        <v>0</v>
      </c>
      <c r="I133" s="596">
        <f>'dod3'!I132-'dod3 квітень чистий'!I125</f>
        <v>0</v>
      </c>
      <c r="J133" s="596">
        <f>'dod3'!J132-'dod3 квітень чистий'!J125</f>
        <v>0</v>
      </c>
      <c r="K133" s="596">
        <f>'dod3'!K132-'dod3 квітень чистий'!K125</f>
        <v>0</v>
      </c>
      <c r="L133" s="596">
        <f>'dod3'!L132-'dod3 квітень чистий'!L125</f>
        <v>0</v>
      </c>
      <c r="M133" s="596">
        <f>'dod3'!M132-'dod3 квітень чистий'!M125</f>
        <v>0</v>
      </c>
      <c r="N133" s="596">
        <f>'dod3'!N132-'dod3 квітень чистий'!N125</f>
        <v>0</v>
      </c>
      <c r="O133" s="596">
        <f>'dod3'!O132-'dod3 квітень чистий'!O125</f>
        <v>0</v>
      </c>
      <c r="P133" s="596">
        <f>'dod3'!P132-'dod3 квітень чистий'!P125</f>
        <v>175000</v>
      </c>
    </row>
    <row r="134" spans="1:16" ht="183" x14ac:dyDescent="0.2">
      <c r="A134" s="590" t="s">
        <v>112</v>
      </c>
      <c r="B134" s="590" t="s">
        <v>358</v>
      </c>
      <c r="C134" s="590"/>
      <c r="D134" s="590" t="s">
        <v>753</v>
      </c>
      <c r="E134" s="596">
        <f>'dod3'!E133-'dod3 квітень чистий'!E126</f>
        <v>0</v>
      </c>
      <c r="F134" s="596">
        <f>'dod3'!F133-'dod3 квітень чистий'!F126</f>
        <v>0</v>
      </c>
      <c r="G134" s="596">
        <f>'dod3'!G133-'dod3 квітень чистий'!G126</f>
        <v>0</v>
      </c>
      <c r="H134" s="596">
        <f>'dod3'!H133-'dod3 квітень чистий'!H126</f>
        <v>0</v>
      </c>
      <c r="I134" s="596">
        <f>'dod3'!I133-'dod3 квітень чистий'!I126</f>
        <v>0</v>
      </c>
      <c r="J134" s="596">
        <f>'dod3'!J133-'dod3 квітень чистий'!J126</f>
        <v>0</v>
      </c>
      <c r="K134" s="596">
        <f>'dod3'!K133-'dod3 квітень чистий'!K126</f>
        <v>0</v>
      </c>
      <c r="L134" s="596">
        <f>'dod3'!L133-'dod3 квітень чистий'!L126</f>
        <v>0</v>
      </c>
      <c r="M134" s="596">
        <f>'dod3'!M133-'dod3 квітень чистий'!M126</f>
        <v>0</v>
      </c>
      <c r="N134" s="596">
        <f>'dod3'!N133-'dod3 квітень чистий'!N126</f>
        <v>0</v>
      </c>
      <c r="O134" s="596">
        <f>'dod3'!O133-'dod3 квітень чистий'!O126</f>
        <v>0</v>
      </c>
      <c r="P134" s="596">
        <f>'dod3'!P133-'dod3 квітень чистий'!P126</f>
        <v>0</v>
      </c>
    </row>
    <row r="135" spans="1:16" ht="183" x14ac:dyDescent="0.2">
      <c r="A135" s="588" t="s">
        <v>113</v>
      </c>
      <c r="B135" s="588" t="s">
        <v>359</v>
      </c>
      <c r="C135" s="588" t="s">
        <v>370</v>
      </c>
      <c r="D135" s="588" t="s">
        <v>754</v>
      </c>
      <c r="E135" s="596">
        <f>'dod3'!E134-'dod3 квітень чистий'!E127</f>
        <v>0</v>
      </c>
      <c r="F135" s="596">
        <f>'dod3'!F134-'dod3 квітень чистий'!F127</f>
        <v>0</v>
      </c>
      <c r="G135" s="596">
        <f>'dod3'!G134-'dod3 квітень чистий'!G127</f>
        <v>0</v>
      </c>
      <c r="H135" s="596">
        <f>'dod3'!H134-'dod3 квітень чистий'!H127</f>
        <v>0</v>
      </c>
      <c r="I135" s="596">
        <f>'dod3'!I134-'dod3 квітень чистий'!I127</f>
        <v>0</v>
      </c>
      <c r="J135" s="596">
        <f>'dod3'!J134-'dod3 квітень чистий'!J127</f>
        <v>0</v>
      </c>
      <c r="K135" s="596">
        <f>'dod3'!K134-'dod3 квітень чистий'!K127</f>
        <v>0</v>
      </c>
      <c r="L135" s="596">
        <f>'dod3'!L134-'dod3 квітень чистий'!L127</f>
        <v>0</v>
      </c>
      <c r="M135" s="596">
        <f>'dod3'!M134-'dod3 квітень чистий'!M127</f>
        <v>0</v>
      </c>
      <c r="N135" s="596">
        <f>'dod3'!N134-'dod3 квітень чистий'!N127</f>
        <v>0</v>
      </c>
      <c r="O135" s="596">
        <f>'dod3'!O134-'dod3 квітень чистий'!O127</f>
        <v>0</v>
      </c>
      <c r="P135" s="596">
        <f>'dod3'!P134-'dod3 квітень чистий'!P127</f>
        <v>0</v>
      </c>
    </row>
    <row r="136" spans="1:16" ht="91.5" x14ac:dyDescent="0.2">
      <c r="A136" s="590" t="s">
        <v>78</v>
      </c>
      <c r="B136" s="590" t="s">
        <v>365</v>
      </c>
      <c r="C136" s="590"/>
      <c r="D136" s="590" t="s">
        <v>79</v>
      </c>
      <c r="E136" s="596">
        <f>'dod3'!E135-'dod3 квітень чистий'!E128</f>
        <v>576234</v>
      </c>
      <c r="F136" s="596">
        <f>'dod3'!F135-'dod3 квітень чистий'!F128</f>
        <v>576234</v>
      </c>
      <c r="G136" s="596">
        <f>'dod3'!G135-'dod3 квітень чистий'!G128</f>
        <v>82400</v>
      </c>
      <c r="H136" s="596">
        <f>'dod3'!H135-'dod3 квітень чистий'!H128</f>
        <v>45000</v>
      </c>
      <c r="I136" s="596">
        <f>'dod3'!I135-'dod3 квітень чистий'!I128</f>
        <v>0</v>
      </c>
      <c r="J136" s="596">
        <f>'dod3'!J135-'dod3 квітень чистий'!J128</f>
        <v>865</v>
      </c>
      <c r="K136" s="596">
        <f>'dod3'!K135-'dod3 квітень чистий'!K128</f>
        <v>0</v>
      </c>
      <c r="L136" s="596">
        <f>'dod3'!L135-'dod3 квітень чистий'!L128</f>
        <v>0</v>
      </c>
      <c r="M136" s="596">
        <f>'dod3'!M135-'dod3 квітень чистий'!M128</f>
        <v>-28400</v>
      </c>
      <c r="N136" s="596">
        <f>'dod3'!N135-'dod3 квітень чистий'!N128</f>
        <v>865</v>
      </c>
      <c r="O136" s="596">
        <f>'dod3'!O135-'dod3 квітень чистий'!O128</f>
        <v>865</v>
      </c>
      <c r="P136" s="596">
        <f>'dod3'!P135-'dod3 квітень чистий'!P128</f>
        <v>577099</v>
      </c>
    </row>
    <row r="137" spans="1:16" ht="183" x14ac:dyDescent="0.2">
      <c r="A137" s="588" t="s">
        <v>77</v>
      </c>
      <c r="B137" s="588" t="s">
        <v>366</v>
      </c>
      <c r="C137" s="588" t="s">
        <v>370</v>
      </c>
      <c r="D137" s="588" t="s">
        <v>114</v>
      </c>
      <c r="E137" s="596">
        <f>'dod3'!E136-'dod3 квітень чистий'!E129</f>
        <v>476130</v>
      </c>
      <c r="F137" s="596">
        <f>'dod3'!F136-'dod3 квітень чистий'!F129</f>
        <v>476130</v>
      </c>
      <c r="G137" s="596">
        <f>'dod3'!G136-'dod3 квітень чистий'!G129</f>
        <v>82400</v>
      </c>
      <c r="H137" s="596">
        <f>'dod3'!H136-'dod3 квітень чистий'!H129</f>
        <v>45000</v>
      </c>
      <c r="I137" s="596">
        <f>'dod3'!I136-'dod3 квітень чистий'!I129</f>
        <v>0</v>
      </c>
      <c r="J137" s="596">
        <f>'dod3'!J136-'dod3 квітень чистий'!J129</f>
        <v>865</v>
      </c>
      <c r="K137" s="596">
        <f>'dod3'!K136-'dod3 квітень чистий'!K129</f>
        <v>0</v>
      </c>
      <c r="L137" s="596">
        <f>'dod3'!L136-'dod3 квітень чистий'!L129</f>
        <v>0</v>
      </c>
      <c r="M137" s="596">
        <f>'dod3'!M136-'dod3 квітень чистий'!M129</f>
        <v>-28400</v>
      </c>
      <c r="N137" s="596">
        <f>'dod3'!N136-'dod3 квітень чистий'!N129</f>
        <v>865</v>
      </c>
      <c r="O137" s="596">
        <f>'dod3'!O136-'dod3 квітень чистий'!O129</f>
        <v>865</v>
      </c>
      <c r="P137" s="596">
        <f>'dod3'!P136-'dod3 квітень чистий'!P129</f>
        <v>476995</v>
      </c>
    </row>
    <row r="138" spans="1:16" ht="183" x14ac:dyDescent="0.2">
      <c r="A138" s="588" t="s">
        <v>80</v>
      </c>
      <c r="B138" s="588" t="s">
        <v>367</v>
      </c>
      <c r="C138" s="588" t="s">
        <v>370</v>
      </c>
      <c r="D138" s="588" t="s">
        <v>115</v>
      </c>
      <c r="E138" s="596">
        <f>'dod3'!E137-'dod3 квітень чистий'!E130</f>
        <v>100104</v>
      </c>
      <c r="F138" s="596">
        <f>'dod3'!F137-'dod3 квітень чистий'!F130</f>
        <v>100104</v>
      </c>
      <c r="G138" s="596">
        <f>'dod3'!G137-'dod3 квітень чистий'!G130</f>
        <v>0</v>
      </c>
      <c r="H138" s="596">
        <f>'dod3'!H137-'dod3 квітень чистий'!H130</f>
        <v>0</v>
      </c>
      <c r="I138" s="596">
        <f>'dod3'!I137-'dod3 квітень чистий'!I130</f>
        <v>0</v>
      </c>
      <c r="J138" s="596">
        <f>'dod3'!J137-'dod3 квітень чистий'!J130</f>
        <v>0</v>
      </c>
      <c r="K138" s="596">
        <f>'dod3'!K137-'dod3 квітень чистий'!K130</f>
        <v>0</v>
      </c>
      <c r="L138" s="596">
        <f>'dod3'!L137-'dod3 квітень чистий'!L130</f>
        <v>0</v>
      </c>
      <c r="M138" s="596">
        <f>'dod3'!M137-'dod3 квітень чистий'!M130</f>
        <v>0</v>
      </c>
      <c r="N138" s="596">
        <f>'dod3'!N137-'dod3 квітень чистий'!N130</f>
        <v>0</v>
      </c>
      <c r="O138" s="596">
        <f>'dod3'!O137-'dod3 квітень чистий'!O130</f>
        <v>0</v>
      </c>
      <c r="P138" s="596">
        <f>'dod3'!P137-'dod3 квітень чистий'!P130</f>
        <v>100104</v>
      </c>
    </row>
    <row r="139" spans="1:16" ht="91.5" x14ac:dyDescent="0.2">
      <c r="A139" s="590" t="s">
        <v>1008</v>
      </c>
      <c r="B139" s="590" t="s">
        <v>1009</v>
      </c>
      <c r="C139" s="590"/>
      <c r="D139" s="590" t="s">
        <v>1007</v>
      </c>
      <c r="E139" s="179">
        <f>'dod3'!E138-0</f>
        <v>25000</v>
      </c>
      <c r="F139" s="179">
        <f>'dod3'!F138-0</f>
        <v>25000</v>
      </c>
      <c r="G139" s="179">
        <f>'dod3'!G138-0</f>
        <v>0</v>
      </c>
      <c r="H139" s="179">
        <f>'dod3'!H138-0</f>
        <v>0</v>
      </c>
      <c r="I139" s="179">
        <f>'dod3'!I138-0</f>
        <v>0</v>
      </c>
      <c r="J139" s="179">
        <f>'dod3'!J138-0</f>
        <v>0</v>
      </c>
      <c r="K139" s="179">
        <f>'dod3'!K138-0</f>
        <v>0</v>
      </c>
      <c r="L139" s="179">
        <f>'dod3'!L138-0</f>
        <v>0</v>
      </c>
      <c r="M139" s="179">
        <f>'dod3'!M138-0</f>
        <v>0</v>
      </c>
      <c r="N139" s="179">
        <f>'dod3'!N138-0</f>
        <v>0</v>
      </c>
      <c r="O139" s="179">
        <f>'dod3'!O138-0</f>
        <v>0</v>
      </c>
      <c r="P139" s="179">
        <f>'dod3'!P138-0</f>
        <v>25000</v>
      </c>
    </row>
    <row r="140" spans="1:16" ht="320.25" x14ac:dyDescent="0.2">
      <c r="A140" s="588" t="s">
        <v>1011</v>
      </c>
      <c r="B140" s="588" t="s">
        <v>1012</v>
      </c>
      <c r="C140" s="588" t="s">
        <v>370</v>
      </c>
      <c r="D140" s="588" t="s">
        <v>1010</v>
      </c>
      <c r="E140" s="179">
        <f>'dod3'!E139-0</f>
        <v>25000</v>
      </c>
      <c r="F140" s="179">
        <f>'dod3'!F139-0</f>
        <v>25000</v>
      </c>
      <c r="G140" s="179">
        <f>'dod3'!G139-0</f>
        <v>0</v>
      </c>
      <c r="H140" s="179">
        <f>'dod3'!H139-0</f>
        <v>0</v>
      </c>
      <c r="I140" s="179">
        <f>'dod3'!I139-0</f>
        <v>0</v>
      </c>
      <c r="J140" s="179">
        <f>'dod3'!J139-0</f>
        <v>0</v>
      </c>
      <c r="K140" s="179">
        <f>'dod3'!K139-0</f>
        <v>0</v>
      </c>
      <c r="L140" s="179">
        <f>'dod3'!L139-0</f>
        <v>0</v>
      </c>
      <c r="M140" s="179">
        <f>'dod3'!M139-0</f>
        <v>0</v>
      </c>
      <c r="N140" s="179">
        <f>'dod3'!N139-0</f>
        <v>0</v>
      </c>
      <c r="O140" s="179">
        <f>'dod3'!O139-0</f>
        <v>0</v>
      </c>
      <c r="P140" s="179">
        <f>'dod3'!P139-0</f>
        <v>25000</v>
      </c>
    </row>
    <row r="141" spans="1:16" ht="91.5" x14ac:dyDescent="0.2">
      <c r="A141" s="590" t="s">
        <v>116</v>
      </c>
      <c r="B141" s="590" t="s">
        <v>368</v>
      </c>
      <c r="C141" s="590"/>
      <c r="D141" s="590" t="s">
        <v>81</v>
      </c>
      <c r="E141" s="179">
        <f>'dod3'!E140-'dod3 квітень чистий'!E131</f>
        <v>250770</v>
      </c>
      <c r="F141" s="179">
        <f>'dod3'!F140-'dod3 квітень чистий'!F131</f>
        <v>250770</v>
      </c>
      <c r="G141" s="179">
        <f>'dod3'!G140-'dod3 квітень чистий'!G131</f>
        <v>65000</v>
      </c>
      <c r="H141" s="179">
        <f>'dod3'!H140-'dod3 квітень чистий'!H131</f>
        <v>0</v>
      </c>
      <c r="I141" s="179">
        <f>'dod3'!I140-'dod3 квітень чистий'!I131</f>
        <v>0</v>
      </c>
      <c r="J141" s="179">
        <f>'dod3'!J140-'dod3 квітень чистий'!J131</f>
        <v>-13000</v>
      </c>
      <c r="K141" s="179">
        <f>'dod3'!K140-'dod3 квітень чистий'!K131</f>
        <v>0</v>
      </c>
      <c r="L141" s="179">
        <f>'dod3'!L140-'dod3 квітень чистий'!L131</f>
        <v>0</v>
      </c>
      <c r="M141" s="179">
        <f>'dod3'!M140-'dod3 квітень чистий'!M131</f>
        <v>0</v>
      </c>
      <c r="N141" s="179">
        <f>'dod3'!N140-'dod3 квітень чистий'!N131</f>
        <v>-13000</v>
      </c>
      <c r="O141" s="179">
        <f>'dod3'!O140-'dod3 квітень чистий'!O131</f>
        <v>-13000</v>
      </c>
      <c r="P141" s="179">
        <f>'dod3'!P140-'dod3 квітень чистий'!P131</f>
        <v>237770</v>
      </c>
    </row>
    <row r="142" spans="1:16" ht="274.5" x14ac:dyDescent="0.2">
      <c r="A142" s="329" t="s">
        <v>82</v>
      </c>
      <c r="B142" s="329" t="s">
        <v>369</v>
      </c>
      <c r="C142" s="329" t="s">
        <v>370</v>
      </c>
      <c r="D142" s="588" t="s">
        <v>83</v>
      </c>
      <c r="E142" s="179">
        <f>'dod3'!E141-'dod3 квітень чистий'!E132</f>
        <v>165000</v>
      </c>
      <c r="F142" s="179">
        <f>'dod3'!F141-'dod3 квітень чистий'!F132</f>
        <v>165000</v>
      </c>
      <c r="G142" s="179">
        <f>'dod3'!G141-'dod3 квітень чистий'!G132</f>
        <v>0</v>
      </c>
      <c r="H142" s="179">
        <f>'dod3'!H141-'dod3 квітень чистий'!H132</f>
        <v>0</v>
      </c>
      <c r="I142" s="179">
        <f>'dod3'!I141-'dod3 квітень чистий'!I132</f>
        <v>0</v>
      </c>
      <c r="J142" s="179">
        <f>'dod3'!J141-'dod3 квітень чистий'!J132</f>
        <v>0</v>
      </c>
      <c r="K142" s="179">
        <f>'dod3'!K141-'dod3 квітень чистий'!K132</f>
        <v>0</v>
      </c>
      <c r="L142" s="179">
        <f>'dod3'!L141-'dod3 квітень чистий'!L132</f>
        <v>0</v>
      </c>
      <c r="M142" s="179">
        <f>'dod3'!M141-'dod3 квітень чистий'!M132</f>
        <v>0</v>
      </c>
      <c r="N142" s="179">
        <f>'dod3'!N141-'dod3 квітень чистий'!N132</f>
        <v>0</v>
      </c>
      <c r="O142" s="179">
        <f>'dod3'!O141-'dod3 квітень чистий'!O132</f>
        <v>0</v>
      </c>
      <c r="P142" s="179">
        <f>'dod3'!P141-'dod3 квітень чистий'!P132</f>
        <v>165000</v>
      </c>
    </row>
    <row r="143" spans="1:16" ht="91.5" x14ac:dyDescent="0.2">
      <c r="A143" s="329" t="s">
        <v>84</v>
      </c>
      <c r="B143" s="329" t="s">
        <v>371</v>
      </c>
      <c r="C143" s="329" t="s">
        <v>370</v>
      </c>
      <c r="D143" s="588" t="s">
        <v>85</v>
      </c>
      <c r="E143" s="179">
        <f>'dod3'!E142-'dod3 квітень чистий'!E133</f>
        <v>85770</v>
      </c>
      <c r="F143" s="179">
        <f>'dod3'!F142-'dod3 квітень чистий'!F133</f>
        <v>85770</v>
      </c>
      <c r="G143" s="179">
        <f>'dod3'!G142-'dod3 квітень чистий'!G133</f>
        <v>65000</v>
      </c>
      <c r="H143" s="179">
        <f>'dod3'!H142-'dod3 квітень чистий'!H133</f>
        <v>0</v>
      </c>
      <c r="I143" s="179">
        <f>'dod3'!I142-'dod3 квітень чистий'!I133</f>
        <v>0</v>
      </c>
      <c r="J143" s="179">
        <f>'dod3'!J142-'dod3 квітень чистий'!J133</f>
        <v>-13000</v>
      </c>
      <c r="K143" s="179">
        <f>'dod3'!K142-'dod3 квітень чистий'!K133</f>
        <v>0</v>
      </c>
      <c r="L143" s="179">
        <f>'dod3'!L142-'dod3 квітень чистий'!L133</f>
        <v>0</v>
      </c>
      <c r="M143" s="179">
        <f>'dod3'!M142-'dod3 квітень чистий'!M133</f>
        <v>0</v>
      </c>
      <c r="N143" s="179">
        <f>'dod3'!N142-'dod3 квітень чистий'!N133</f>
        <v>-13000</v>
      </c>
      <c r="O143" s="179">
        <f>'dod3'!O142-'dod3 квітень чистий'!O133</f>
        <v>-13000</v>
      </c>
      <c r="P143" s="179">
        <f>'dod3'!P142-'dod3 квітень чистий'!P133</f>
        <v>72770</v>
      </c>
    </row>
    <row r="144" spans="1:16" ht="91.5" x14ac:dyDescent="0.2">
      <c r="A144" s="272" t="s">
        <v>704</v>
      </c>
      <c r="B144" s="272" t="s">
        <v>706</v>
      </c>
      <c r="C144" s="272"/>
      <c r="D144" s="590" t="s">
        <v>705</v>
      </c>
      <c r="E144" s="179">
        <f>'dod3'!E143-'dod3 квітень чистий'!E134</f>
        <v>0</v>
      </c>
      <c r="F144" s="179">
        <f>'dod3'!F143-'dod3 квітень чистий'!F134</f>
        <v>0</v>
      </c>
      <c r="G144" s="179">
        <f>'dod3'!G143-'dod3 квітень чистий'!G134</f>
        <v>0</v>
      </c>
      <c r="H144" s="179">
        <f>'dod3'!H143-'dod3 квітень чистий'!H134</f>
        <v>0</v>
      </c>
      <c r="I144" s="179">
        <f>'dod3'!I143-'dod3 квітень чистий'!I134</f>
        <v>0</v>
      </c>
      <c r="J144" s="179">
        <f>'dod3'!J143-'dod3 квітень чистий'!J134</f>
        <v>0</v>
      </c>
      <c r="K144" s="179">
        <f>'dod3'!K143-'dod3 квітень чистий'!K134</f>
        <v>0</v>
      </c>
      <c r="L144" s="179">
        <f>'dod3'!L143-'dod3 квітень чистий'!L134</f>
        <v>0</v>
      </c>
      <c r="M144" s="179">
        <f>'dod3'!M143-'dod3 квітень чистий'!M134</f>
        <v>0</v>
      </c>
      <c r="N144" s="179">
        <f>'dod3'!N143-'dod3 квітень чистий'!N134</f>
        <v>0</v>
      </c>
      <c r="O144" s="179">
        <f>'dod3'!O143-'dod3 квітень чистий'!O134</f>
        <v>0</v>
      </c>
      <c r="P144" s="179">
        <f>'dod3'!P143-'dod3 квітень чистий'!P134</f>
        <v>0</v>
      </c>
    </row>
    <row r="145" spans="1:18" ht="320.25" x14ac:dyDescent="0.2">
      <c r="A145" s="329" t="s">
        <v>710</v>
      </c>
      <c r="B145" s="329" t="s">
        <v>709</v>
      </c>
      <c r="C145" s="329" t="s">
        <v>708</v>
      </c>
      <c r="D145" s="588" t="s">
        <v>707</v>
      </c>
      <c r="E145" s="179">
        <f>'dod3'!E144-'dod3 квітень чистий'!E135</f>
        <v>0</v>
      </c>
      <c r="F145" s="179">
        <f>'dod3'!F144-'dod3 квітень чистий'!F135</f>
        <v>0</v>
      </c>
      <c r="G145" s="179">
        <f>'dod3'!G144-'dod3 квітень чистий'!G135</f>
        <v>0</v>
      </c>
      <c r="H145" s="179">
        <f>'dod3'!H144-'dod3 квітень чистий'!H135</f>
        <v>0</v>
      </c>
      <c r="I145" s="179">
        <f>'dod3'!I144-'dod3 квітень чистий'!I135</f>
        <v>0</v>
      </c>
      <c r="J145" s="179">
        <f>'dod3'!J144-'dod3 квітень чистий'!J135</f>
        <v>0</v>
      </c>
      <c r="K145" s="179">
        <f>'dod3'!K144-'dod3 квітень чистий'!K135</f>
        <v>0</v>
      </c>
      <c r="L145" s="179">
        <f>'dod3'!L144-'dod3 квітень чистий'!L135</f>
        <v>0</v>
      </c>
      <c r="M145" s="179">
        <f>'dod3'!M144-'dod3 квітень чистий'!M135</f>
        <v>0</v>
      </c>
      <c r="N145" s="179">
        <f>'dod3'!N144-'dod3 квітень чистий'!N135</f>
        <v>0</v>
      </c>
      <c r="O145" s="179">
        <f>'dod3'!O144-'dod3 квітень чистий'!O135</f>
        <v>0</v>
      </c>
      <c r="P145" s="179">
        <f>'dod3'!P144-'dod3 квітень чистий'!P135</f>
        <v>0</v>
      </c>
    </row>
    <row r="146" spans="1:18" ht="91.5" x14ac:dyDescent="0.2">
      <c r="A146" s="272" t="s">
        <v>372</v>
      </c>
      <c r="B146" s="272" t="s">
        <v>373</v>
      </c>
      <c r="C146" s="272" t="s">
        <v>324</v>
      </c>
      <c r="D146" s="590" t="s">
        <v>89</v>
      </c>
      <c r="E146" s="179">
        <f>'dod3'!E145-'dod3 квітень чистий'!E136</f>
        <v>0</v>
      </c>
      <c r="F146" s="179">
        <f>'dod3'!F145-'dod3 квітень чистий'!F136</f>
        <v>0</v>
      </c>
      <c r="G146" s="179">
        <f>'dod3'!G145-'dod3 квітень чистий'!G136</f>
        <v>0</v>
      </c>
      <c r="H146" s="179">
        <f>'dod3'!H145-'dod3 квітень чистий'!H136</f>
        <v>0</v>
      </c>
      <c r="I146" s="179">
        <f>'dod3'!I145-'dod3 квітень чистий'!I136</f>
        <v>0</v>
      </c>
      <c r="J146" s="179">
        <f>'dod3'!J145-'dod3 квітень чистий'!J136</f>
        <v>-94700</v>
      </c>
      <c r="K146" s="179">
        <f>'dod3'!K145-'dod3 квітень чистий'!K136</f>
        <v>0</v>
      </c>
      <c r="L146" s="179">
        <f>'dod3'!L145-'dod3 квітень чистий'!L136</f>
        <v>0</v>
      </c>
      <c r="M146" s="179">
        <f>'dod3'!M145-'dod3 квітень чистий'!M136</f>
        <v>0</v>
      </c>
      <c r="N146" s="179">
        <f>'dod3'!N145-'dod3 квітень чистий'!N136</f>
        <v>-94700</v>
      </c>
      <c r="O146" s="179">
        <f>'dod3'!O145-'dod3 квітень чистий'!O136</f>
        <v>-94700</v>
      </c>
      <c r="P146" s="179">
        <f>'dod3'!P145-'dod3 квітень чистий'!P136</f>
        <v>-94700</v>
      </c>
    </row>
    <row r="147" spans="1:18" ht="91.5" hidden="1" x14ac:dyDescent="0.2">
      <c r="A147" s="590" t="s">
        <v>968</v>
      </c>
      <c r="B147" s="589" t="s">
        <v>800</v>
      </c>
      <c r="C147" s="589" t="s">
        <v>103</v>
      </c>
      <c r="D147" s="589" t="s">
        <v>801</v>
      </c>
      <c r="E147" s="179">
        <f>'dod3'!E146-0</f>
        <v>0</v>
      </c>
      <c r="F147" s="179">
        <f>'dod3'!F146-0</f>
        <v>0</v>
      </c>
      <c r="G147" s="179">
        <f>'dod3'!G146-0</f>
        <v>0</v>
      </c>
      <c r="H147" s="179">
        <f>'dod3'!H146-0</f>
        <v>0</v>
      </c>
      <c r="I147" s="179">
        <f>'dod3'!I146-0</f>
        <v>0</v>
      </c>
      <c r="J147" s="179">
        <f>'dod3'!J146-0</f>
        <v>0</v>
      </c>
      <c r="K147" s="179">
        <f>'dod3'!K146-0</f>
        <v>0</v>
      </c>
      <c r="L147" s="179">
        <f>'dod3'!L146-0</f>
        <v>0</v>
      </c>
      <c r="M147" s="179">
        <f>'dod3'!M146-0</f>
        <v>0</v>
      </c>
      <c r="N147" s="179">
        <f>'dod3'!N146-0</f>
        <v>0</v>
      </c>
      <c r="O147" s="179">
        <f>'dod3'!O146-0</f>
        <v>0</v>
      </c>
      <c r="P147" s="179">
        <f>'dod3'!P146-0</f>
        <v>0</v>
      </c>
    </row>
    <row r="148" spans="1:18" ht="180" x14ac:dyDescent="0.2">
      <c r="A148" s="277" t="s">
        <v>312</v>
      </c>
      <c r="B148" s="277"/>
      <c r="C148" s="277"/>
      <c r="D148" s="277" t="s">
        <v>67</v>
      </c>
      <c r="E148" s="243">
        <f>E149</f>
        <v>26441549.269999996</v>
      </c>
      <c r="F148" s="243">
        <f t="shared" ref="F148:P148" si="21">F149</f>
        <v>26441549.269999996</v>
      </c>
      <c r="G148" s="243">
        <f t="shared" si="21"/>
        <v>3850</v>
      </c>
      <c r="H148" s="243">
        <f t="shared" si="21"/>
        <v>0</v>
      </c>
      <c r="I148" s="243">
        <f t="shared" si="21"/>
        <v>0</v>
      </c>
      <c r="J148" s="243">
        <f t="shared" si="21"/>
        <v>-8712741.1199999992</v>
      </c>
      <c r="K148" s="243">
        <f t="shared" si="21"/>
        <v>0</v>
      </c>
      <c r="L148" s="243">
        <f t="shared" si="21"/>
        <v>0</v>
      </c>
      <c r="M148" s="243">
        <f t="shared" si="21"/>
        <v>0</v>
      </c>
      <c r="N148" s="243">
        <f t="shared" si="21"/>
        <v>-8712741.1199999992</v>
      </c>
      <c r="O148" s="244">
        <f t="shared" si="21"/>
        <v>-8712741.1199999992</v>
      </c>
      <c r="P148" s="243">
        <f t="shared" si="21"/>
        <v>17728808.149999999</v>
      </c>
    </row>
    <row r="149" spans="1:18" ht="180" x14ac:dyDescent="0.2">
      <c r="A149" s="280" t="s">
        <v>313</v>
      </c>
      <c r="B149" s="280"/>
      <c r="C149" s="280"/>
      <c r="D149" s="280" t="s">
        <v>95</v>
      </c>
      <c r="E149" s="244">
        <f>E150+E156+E157+E158+E162+E164+E166+E167+E168+E169+E160</f>
        <v>26441549.269999996</v>
      </c>
      <c r="F149" s="243">
        <f>F150+F156+F157+F158+F162+F164+F166+F167+F168+F169+F160</f>
        <v>26441549.269999996</v>
      </c>
      <c r="G149" s="244">
        <f>G150+G156+G157+G158+G162+G164+G166+G167+G168+G169</f>
        <v>3850</v>
      </c>
      <c r="H149" s="244">
        <f>H150+H156+H157+H158+H162+H164+H166+H167+H168+H169</f>
        <v>0</v>
      </c>
      <c r="I149" s="243">
        <f>I150+I156+I157+I158+I162+I164+I166+I167+I168+I169</f>
        <v>0</v>
      </c>
      <c r="J149" s="244">
        <f t="shared" ref="J149" si="22">K149+N149</f>
        <v>-8712741.1199999992</v>
      </c>
      <c r="K149" s="243">
        <f>K150+K156+K157+K158+K162+K164+K166+K167+K168+K169+K160</f>
        <v>0</v>
      </c>
      <c r="L149" s="244">
        <f>L150+L156+L157+L158+L162+L164+L166+L167+L168+L169</f>
        <v>0</v>
      </c>
      <c r="M149" s="244">
        <f>M150+M156+M157+M158+M162+M164+M166+M167+M168+M169</f>
        <v>0</v>
      </c>
      <c r="N149" s="243">
        <f>N150+N156+N157+N158+N159+N162+N164+N166+N167+N168+N169+N160</f>
        <v>-8712741.1199999992</v>
      </c>
      <c r="O149" s="244">
        <f>O150+O156+O157+O158+O159+O162+O164+O166+O167+O168+O169+O160</f>
        <v>-8712741.1199999992</v>
      </c>
      <c r="P149" s="244">
        <f>E149+J149</f>
        <v>17728808.149999999</v>
      </c>
      <c r="Q149" s="311"/>
      <c r="R149" s="325"/>
    </row>
    <row r="150" spans="1:18" ht="137.25" x14ac:dyDescent="0.2">
      <c r="A150" s="590" t="s">
        <v>527</v>
      </c>
      <c r="B150" s="590" t="s">
        <v>528</v>
      </c>
      <c r="C150" s="590"/>
      <c r="D150" s="590" t="s">
        <v>531</v>
      </c>
      <c r="E150" s="179">
        <f>'dod3'!E149-'dod3 квітень чистий'!E139</f>
        <v>14827119</v>
      </c>
      <c r="F150" s="179">
        <f>'dod3'!F149-'dod3 квітень чистий'!F139</f>
        <v>14827119</v>
      </c>
      <c r="G150" s="179">
        <f>'dod3'!G149-'dod3 квітень чистий'!G139</f>
        <v>0</v>
      </c>
      <c r="H150" s="179">
        <f>'dod3'!H149-'dod3 квітень чистий'!H139</f>
        <v>0</v>
      </c>
      <c r="I150" s="179">
        <f>'dod3'!I149-'dod3 квітень чистий'!I139</f>
        <v>0</v>
      </c>
      <c r="J150" s="179">
        <f>'dod3'!J149-'dod3 квітень чистий'!J139</f>
        <v>-3795000</v>
      </c>
      <c r="K150" s="179">
        <f>'dod3'!K149-'dod3 квітень чистий'!K139</f>
        <v>0</v>
      </c>
      <c r="L150" s="179">
        <f>'dod3'!L149-'dod3 квітень чистий'!L139</f>
        <v>0</v>
      </c>
      <c r="M150" s="179">
        <f>'dod3'!M149-'dod3 квітень чистий'!M139</f>
        <v>0</v>
      </c>
      <c r="N150" s="179">
        <f>'dod3'!N149-'dod3 квітень чистий'!N139</f>
        <v>-3795000</v>
      </c>
      <c r="O150" s="179">
        <f>'dod3'!O149-'dod3 квітень чистий'!O139</f>
        <v>-3795000</v>
      </c>
      <c r="P150" s="179">
        <f>'dod3'!P149-'dod3 квітень чистий'!P139</f>
        <v>11032119</v>
      </c>
    </row>
    <row r="151" spans="1:18" ht="137.25" x14ac:dyDescent="0.2">
      <c r="A151" s="588" t="s">
        <v>529</v>
      </c>
      <c r="B151" s="588" t="s">
        <v>530</v>
      </c>
      <c r="C151" s="588" t="s">
        <v>533</v>
      </c>
      <c r="D151" s="588" t="s">
        <v>532</v>
      </c>
      <c r="E151" s="179">
        <f>'dod3'!E150-'dod3 квітень чистий'!E140</f>
        <v>-672881</v>
      </c>
      <c r="F151" s="179">
        <f>'dod3'!F150-'dod3 квітень чистий'!F140</f>
        <v>-672881</v>
      </c>
      <c r="G151" s="179">
        <f>'dod3'!G150-'dod3 квітень чистий'!G140</f>
        <v>0</v>
      </c>
      <c r="H151" s="179">
        <f>'dod3'!H150-'dod3 квітень чистий'!H140</f>
        <v>0</v>
      </c>
      <c r="I151" s="179">
        <f>'dod3'!I150-'dod3 квітень чистий'!I140</f>
        <v>0</v>
      </c>
      <c r="J151" s="179">
        <f>'dod3'!J150-'dod3 квітень чистий'!J140</f>
        <v>805000</v>
      </c>
      <c r="K151" s="179">
        <f>'dod3'!K150-'dod3 квітень чистий'!K140</f>
        <v>0</v>
      </c>
      <c r="L151" s="179">
        <f>'dod3'!L150-'dod3 квітень чистий'!L140</f>
        <v>0</v>
      </c>
      <c r="M151" s="179">
        <f>'dod3'!M150-'dod3 квітень чистий'!M140</f>
        <v>0</v>
      </c>
      <c r="N151" s="179">
        <f>'dod3'!N150-'dod3 квітень чистий'!N140</f>
        <v>805000</v>
      </c>
      <c r="O151" s="179">
        <f>'dod3'!O150-'dod3 квітень чистий'!O140</f>
        <v>805000</v>
      </c>
      <c r="P151" s="179">
        <f>'dod3'!P150-'dod3 квітень чистий'!P140</f>
        <v>132119</v>
      </c>
    </row>
    <row r="152" spans="1:18" ht="183" x14ac:dyDescent="0.2">
      <c r="A152" s="588" t="s">
        <v>975</v>
      </c>
      <c r="B152" s="588" t="s">
        <v>976</v>
      </c>
      <c r="C152" s="588" t="s">
        <v>533</v>
      </c>
      <c r="D152" s="588" t="s">
        <v>977</v>
      </c>
      <c r="E152" s="179">
        <f>'dod3'!E151-0</f>
        <v>13000000</v>
      </c>
      <c r="F152" s="179">
        <f>'dod3'!F151-0</f>
        <v>13000000</v>
      </c>
      <c r="G152" s="179">
        <f>'dod3'!G151-0</f>
        <v>0</v>
      </c>
      <c r="H152" s="179">
        <f>'dod3'!H151-0</f>
        <v>0</v>
      </c>
      <c r="I152" s="179">
        <f>'dod3'!I151-0</f>
        <v>0</v>
      </c>
      <c r="J152" s="179">
        <f>'dod3'!J151-0</f>
        <v>0</v>
      </c>
      <c r="K152" s="179">
        <f>'dod3'!K151-0</f>
        <v>0</v>
      </c>
      <c r="L152" s="179">
        <f>'dod3'!L151-0</f>
        <v>0</v>
      </c>
      <c r="M152" s="179">
        <f>'dod3'!M151-0</f>
        <v>0</v>
      </c>
      <c r="N152" s="179">
        <f>'dod3'!N151-0</f>
        <v>0</v>
      </c>
      <c r="O152" s="179">
        <f>'dod3'!O151-0</f>
        <v>0</v>
      </c>
      <c r="P152" s="179">
        <f>'dod3'!P151-0</f>
        <v>13000000</v>
      </c>
    </row>
    <row r="153" spans="1:18" ht="137.25" x14ac:dyDescent="0.2">
      <c r="A153" s="588" t="s">
        <v>537</v>
      </c>
      <c r="B153" s="588" t="s">
        <v>538</v>
      </c>
      <c r="C153" s="588" t="s">
        <v>533</v>
      </c>
      <c r="D153" s="588" t="s">
        <v>539</v>
      </c>
      <c r="E153" s="47">
        <f>'dod3'!E152-'dod3 квітень чистий'!E141</f>
        <v>2500000</v>
      </c>
      <c r="F153" s="47">
        <f>'dod3'!F152-'dod3 квітень чистий'!F141</f>
        <v>2500000</v>
      </c>
      <c r="G153" s="47">
        <f>'dod3'!G152-'dod3 квітень чистий'!G141</f>
        <v>0</v>
      </c>
      <c r="H153" s="47">
        <f>'dod3'!H152-'dod3 квітень чистий'!H141</f>
        <v>0</v>
      </c>
      <c r="I153" s="47">
        <f>'dod3'!I152-'dod3 квітень чистий'!I141</f>
        <v>0</v>
      </c>
      <c r="J153" s="47">
        <f>'dod3'!J152-'dod3 квітень чистий'!J141</f>
        <v>0</v>
      </c>
      <c r="K153" s="47">
        <f>'dod3'!K152-'dod3 квітень чистий'!K141</f>
        <v>0</v>
      </c>
      <c r="L153" s="47">
        <f>'dod3'!L152-'dod3 квітень чистий'!L141</f>
        <v>0</v>
      </c>
      <c r="M153" s="47">
        <f>'dod3'!M152-'dod3 квітень чистий'!M141</f>
        <v>0</v>
      </c>
      <c r="N153" s="47">
        <f>'dod3'!N152-'dod3 квітень чистий'!N141</f>
        <v>0</v>
      </c>
      <c r="O153" s="47">
        <f>'dod3'!O152-'dod3 квітень чистий'!O141</f>
        <v>0</v>
      </c>
      <c r="P153" s="47">
        <f>'dod3'!P152-'dod3 квітень чистий'!P141</f>
        <v>2500000</v>
      </c>
    </row>
    <row r="154" spans="1:18" ht="137.25" x14ac:dyDescent="0.2">
      <c r="A154" s="588" t="s">
        <v>567</v>
      </c>
      <c r="B154" s="588" t="s">
        <v>568</v>
      </c>
      <c r="C154" s="588" t="s">
        <v>533</v>
      </c>
      <c r="D154" s="588" t="s">
        <v>569</v>
      </c>
      <c r="E154" s="47">
        <f>'dod3'!E153-'dod3 квітень чистий'!E142</f>
        <v>0</v>
      </c>
      <c r="F154" s="47">
        <f>'dod3'!F153-'dod3 квітень чистий'!F142</f>
        <v>0</v>
      </c>
      <c r="G154" s="47">
        <f>'dod3'!G153-'dod3 квітень чистий'!G142</f>
        <v>0</v>
      </c>
      <c r="H154" s="47">
        <f>'dod3'!H153-'dod3 квітень чистий'!H142</f>
        <v>0</v>
      </c>
      <c r="I154" s="47">
        <f>'dod3'!I153-'dod3 квітень чистий'!I142</f>
        <v>0</v>
      </c>
      <c r="J154" s="47">
        <f>'dod3'!J153-'dod3 квітень чистий'!J142</f>
        <v>600000</v>
      </c>
      <c r="K154" s="47">
        <f>'dod3'!K153-'dod3 квітень чистий'!K142</f>
        <v>0</v>
      </c>
      <c r="L154" s="47">
        <f>'dod3'!L153-'dod3 квітень чистий'!L142</f>
        <v>0</v>
      </c>
      <c r="M154" s="47">
        <f>'dod3'!M153-'dod3 квітень чистий'!M142</f>
        <v>0</v>
      </c>
      <c r="N154" s="47">
        <f>'dod3'!N153-'dod3 квітень чистий'!N142</f>
        <v>600000</v>
      </c>
      <c r="O154" s="47">
        <f>'dod3'!O153-'dod3 квітень чистий'!O142</f>
        <v>600000</v>
      </c>
      <c r="P154" s="47">
        <f>'dod3'!P153-'dod3 квітень чистий'!P142</f>
        <v>600000</v>
      </c>
    </row>
    <row r="155" spans="1:18" ht="183" x14ac:dyDescent="0.2">
      <c r="A155" s="588" t="s">
        <v>534</v>
      </c>
      <c r="B155" s="588" t="s">
        <v>535</v>
      </c>
      <c r="C155" s="588" t="s">
        <v>533</v>
      </c>
      <c r="D155" s="588" t="s">
        <v>536</v>
      </c>
      <c r="E155" s="47">
        <f>'dod3'!E154-'dod3 квітень чистий'!E143</f>
        <v>0</v>
      </c>
      <c r="F155" s="47">
        <f>'dod3'!F154-'dod3 квітень чистий'!F143</f>
        <v>0</v>
      </c>
      <c r="G155" s="47">
        <f>'dod3'!G154-'dod3 квітень чистий'!G143</f>
        <v>0</v>
      </c>
      <c r="H155" s="47">
        <f>'dod3'!H154-'dod3 квітень чистий'!H143</f>
        <v>0</v>
      </c>
      <c r="I155" s="47">
        <f>'dod3'!I154-'dod3 квітень чистий'!I143</f>
        <v>0</v>
      </c>
      <c r="J155" s="47">
        <f>'dod3'!J154-'dod3 квітень чистий'!J143</f>
        <v>-5200000</v>
      </c>
      <c r="K155" s="47">
        <f>'dod3'!K154-'dod3 квітень чистий'!K143</f>
        <v>0</v>
      </c>
      <c r="L155" s="47">
        <f>'dod3'!L154-'dod3 квітень чистий'!L143</f>
        <v>0</v>
      </c>
      <c r="M155" s="47">
        <f>'dod3'!M154-'dod3 квітень чистий'!M143</f>
        <v>0</v>
      </c>
      <c r="N155" s="47">
        <f>'dod3'!N154-'dod3 квітень чистий'!N143</f>
        <v>-5200000</v>
      </c>
      <c r="O155" s="47">
        <f>'dod3'!O154-'dod3 квітень чистий'!O143</f>
        <v>-5200000</v>
      </c>
      <c r="P155" s="47">
        <f>'dod3'!P154-'dod3 квітень чистий'!P143</f>
        <v>-5200000</v>
      </c>
    </row>
    <row r="156" spans="1:18" ht="228.75" x14ac:dyDescent="0.2">
      <c r="A156" s="590" t="s">
        <v>561</v>
      </c>
      <c r="B156" s="590" t="s">
        <v>562</v>
      </c>
      <c r="C156" s="590" t="s">
        <v>533</v>
      </c>
      <c r="D156" s="590" t="s">
        <v>563</v>
      </c>
      <c r="E156" s="47">
        <f>'dod3'!E155-'dod3 квітень чистий'!E144</f>
        <v>3877181</v>
      </c>
      <c r="F156" s="47">
        <f>'dod3'!F155-'dod3 квітень чистий'!F144</f>
        <v>3877181</v>
      </c>
      <c r="G156" s="47">
        <f>'dod3'!G155-'dod3 квітень чистий'!G144</f>
        <v>0</v>
      </c>
      <c r="H156" s="47">
        <f>'dod3'!H155-'dod3 квітень чистий'!H144</f>
        <v>0</v>
      </c>
      <c r="I156" s="47">
        <f>'dod3'!I155-'dod3 квітень чистий'!I144</f>
        <v>0</v>
      </c>
      <c r="J156" s="47">
        <f>'dod3'!J155-'dod3 квітень чистий'!J144</f>
        <v>0</v>
      </c>
      <c r="K156" s="47">
        <f>'dod3'!K155-'dod3 квітень чистий'!K144</f>
        <v>0</v>
      </c>
      <c r="L156" s="47">
        <f>'dod3'!L155-'dod3 квітень чистий'!L144</f>
        <v>0</v>
      </c>
      <c r="M156" s="47">
        <f>'dod3'!M155-'dod3 квітень чистий'!M144</f>
        <v>0</v>
      </c>
      <c r="N156" s="47">
        <f>'dod3'!N155-'dod3 квітень чистий'!N144</f>
        <v>0</v>
      </c>
      <c r="O156" s="47">
        <f>'dod3'!O155-'dod3 квітень чистий'!O144</f>
        <v>0</v>
      </c>
      <c r="P156" s="47">
        <f>'dod3'!P155-'dod3 квітень чистий'!P144</f>
        <v>3877181</v>
      </c>
    </row>
    <row r="157" spans="1:18" ht="91.5" x14ac:dyDescent="0.2">
      <c r="A157" s="590" t="s">
        <v>540</v>
      </c>
      <c r="B157" s="590" t="s">
        <v>541</v>
      </c>
      <c r="C157" s="590" t="s">
        <v>533</v>
      </c>
      <c r="D157" s="590" t="s">
        <v>542</v>
      </c>
      <c r="E157" s="47">
        <f>'dod3'!E156-'dod3 квітень чистий'!E145</f>
        <v>7331652.2699999958</v>
      </c>
      <c r="F157" s="47">
        <f>'dod3'!F156-'dod3 квітень чистий'!F145</f>
        <v>7331652.2699999958</v>
      </c>
      <c r="G157" s="47">
        <f>'dod3'!G156-'dod3 квітень чистий'!G145</f>
        <v>0</v>
      </c>
      <c r="H157" s="47">
        <f>'dod3'!H156-'dod3 квітень чистий'!H145</f>
        <v>0</v>
      </c>
      <c r="I157" s="47">
        <f>'dod3'!I156-'dod3 квітень чистий'!I145</f>
        <v>0</v>
      </c>
      <c r="J157" s="47">
        <f>'dod3'!J156-'dod3 квітень чистий'!J145</f>
        <v>737600</v>
      </c>
      <c r="K157" s="47">
        <f>'dod3'!K156-'dod3 квітень чистий'!K145</f>
        <v>0</v>
      </c>
      <c r="L157" s="47">
        <f>'dod3'!L156-'dod3 квітень чистий'!L145</f>
        <v>0</v>
      </c>
      <c r="M157" s="47">
        <f>'dod3'!M156-'dod3 квітень чистий'!M145</f>
        <v>0</v>
      </c>
      <c r="N157" s="47">
        <f>'dod3'!N156-'dod3 квітень чистий'!N145</f>
        <v>737600</v>
      </c>
      <c r="O157" s="47">
        <f>'dod3'!O156-'dod3 квітень чистий'!O145</f>
        <v>737600</v>
      </c>
      <c r="P157" s="47">
        <f>'dod3'!P156-'dod3 квітень чистий'!P145</f>
        <v>8069252.2699999958</v>
      </c>
    </row>
    <row r="158" spans="1:18" ht="92.25" x14ac:dyDescent="0.2">
      <c r="A158" s="590" t="s">
        <v>571</v>
      </c>
      <c r="B158" s="590" t="s">
        <v>572</v>
      </c>
      <c r="C158" s="590" t="s">
        <v>570</v>
      </c>
      <c r="D158" s="590" t="s">
        <v>573</v>
      </c>
      <c r="E158" s="47">
        <f>'dod3'!E157-'dod3 квітень чистий'!E146</f>
        <v>0</v>
      </c>
      <c r="F158" s="47">
        <f>'dod3'!F157-'dod3 квітень чистий'!F146</f>
        <v>0</v>
      </c>
      <c r="G158" s="47">
        <f>'dod3'!G157-'dod3 квітень чистий'!G146</f>
        <v>0</v>
      </c>
      <c r="H158" s="47">
        <f>'dod3'!H157-'dod3 квітень чистий'!H146</f>
        <v>0</v>
      </c>
      <c r="I158" s="47">
        <f>'dod3'!I157-'dod3 квітень чистий'!I146</f>
        <v>0</v>
      </c>
      <c r="J158" s="47">
        <f>'dod3'!J157-'dod3 квітень чистий'!J146</f>
        <v>-11261584.119999999</v>
      </c>
      <c r="K158" s="47">
        <f>'dod3'!K157-'dod3 квітень чистий'!K146</f>
        <v>0</v>
      </c>
      <c r="L158" s="47">
        <f>'dod3'!L157-'dod3 квітень чистий'!L146</f>
        <v>0</v>
      </c>
      <c r="M158" s="47">
        <f>'dod3'!M157-'dod3 квітень чистий'!M146</f>
        <v>0</v>
      </c>
      <c r="N158" s="47">
        <f>'dod3'!N157-'dod3 квітень чистий'!N146</f>
        <v>-11261584.119999999</v>
      </c>
      <c r="O158" s="47">
        <f>'dod3'!O157-'dod3 квітень чистий'!O146</f>
        <v>-11261584.119999999</v>
      </c>
      <c r="P158" s="47">
        <f>'dod3'!P157-'dod3 квітень чистий'!P146</f>
        <v>-11261584.119999999</v>
      </c>
    </row>
    <row r="159" spans="1:18" ht="183" x14ac:dyDescent="0.2">
      <c r="A159" s="590" t="s">
        <v>722</v>
      </c>
      <c r="B159" s="590" t="s">
        <v>609</v>
      </c>
      <c r="C159" s="590" t="s">
        <v>570</v>
      </c>
      <c r="D159" s="590" t="s">
        <v>607</v>
      </c>
      <c r="E159" s="47">
        <f>'dod3'!E158-'dod3 квітень чистий'!E147</f>
        <v>0</v>
      </c>
      <c r="F159" s="47">
        <f>'dod3'!F158-'dod3 квітень чистий'!F147</f>
        <v>0</v>
      </c>
      <c r="G159" s="47">
        <f>'dod3'!G158-'dod3 квітень чистий'!G147</f>
        <v>0</v>
      </c>
      <c r="H159" s="47">
        <f>'dod3'!H158-'dod3 квітень чистий'!H147</f>
        <v>0</v>
      </c>
      <c r="I159" s="47">
        <f>'dod3'!I158-'dod3 квітень чистий'!I147</f>
        <v>0</v>
      </c>
      <c r="J159" s="47">
        <f>'dod3'!J158-'dod3 квітень чистий'!J147</f>
        <v>0</v>
      </c>
      <c r="K159" s="47">
        <f>'dod3'!K158-'dod3 квітень чистий'!K147</f>
        <v>0</v>
      </c>
      <c r="L159" s="47">
        <f>'dod3'!L158-'dod3 квітень чистий'!L147</f>
        <v>0</v>
      </c>
      <c r="M159" s="47">
        <f>'dod3'!M158-'dod3 квітень чистий'!M147</f>
        <v>0</v>
      </c>
      <c r="N159" s="47">
        <f>'dod3'!N158-'dod3 квітень чистий'!N147</f>
        <v>0</v>
      </c>
      <c r="O159" s="47">
        <f>'dod3'!O158-'dod3 квітень чистий'!O147</f>
        <v>0</v>
      </c>
      <c r="P159" s="47">
        <f>'dod3'!P158-'dod3 квітень чистий'!P147</f>
        <v>0</v>
      </c>
    </row>
    <row r="160" spans="1:18" ht="91.5" hidden="1" x14ac:dyDescent="0.2">
      <c r="A160" s="590" t="s">
        <v>979</v>
      </c>
      <c r="B160" s="590" t="s">
        <v>980</v>
      </c>
      <c r="C160" s="590"/>
      <c r="D160" s="590" t="s">
        <v>978</v>
      </c>
      <c r="E160" s="179"/>
      <c r="F160" s="179"/>
      <c r="G160" s="179"/>
      <c r="H160" s="179"/>
      <c r="I160" s="179"/>
      <c r="J160" s="179"/>
      <c r="K160" s="179"/>
      <c r="L160" s="179"/>
      <c r="M160" s="179"/>
      <c r="N160" s="179"/>
      <c r="O160" s="179"/>
      <c r="P160" s="179"/>
    </row>
    <row r="161" spans="1:18" ht="186" hidden="1" customHeight="1" x14ac:dyDescent="0.2">
      <c r="A161" s="590" t="s">
        <v>981</v>
      </c>
      <c r="B161" s="590" t="s">
        <v>983</v>
      </c>
      <c r="C161" s="590" t="s">
        <v>324</v>
      </c>
      <c r="D161" s="590" t="s">
        <v>982</v>
      </c>
      <c r="E161" s="179"/>
      <c r="F161" s="179"/>
      <c r="G161" s="179"/>
      <c r="H161" s="179"/>
      <c r="I161" s="179"/>
      <c r="J161" s="179"/>
      <c r="K161" s="179"/>
      <c r="L161" s="179"/>
      <c r="M161" s="179"/>
      <c r="N161" s="179"/>
      <c r="O161" s="179"/>
      <c r="P161" s="179"/>
    </row>
    <row r="162" spans="1:18" ht="137.25" x14ac:dyDescent="0.2">
      <c r="A162" s="590" t="s">
        <v>544</v>
      </c>
      <c r="B162" s="590" t="s">
        <v>545</v>
      </c>
      <c r="C162" s="590"/>
      <c r="D162" s="590" t="s">
        <v>547</v>
      </c>
      <c r="E162" s="596">
        <f>'dod3'!E161-'dod3 квітень чистий'!E148</f>
        <v>350597</v>
      </c>
      <c r="F162" s="596">
        <f>'dod3'!F161-'dod3 квітень чистий'!F148</f>
        <v>350597</v>
      </c>
      <c r="G162" s="596">
        <f>'dod3'!G161-'dod3 квітень чистий'!G148</f>
        <v>0</v>
      </c>
      <c r="H162" s="596">
        <f>'dod3'!H161-'dod3 квітень чистий'!H148</f>
        <v>0</v>
      </c>
      <c r="I162" s="596">
        <f>'dod3'!I161-'dod3 квітень чистий'!I148</f>
        <v>0</v>
      </c>
      <c r="J162" s="596">
        <f>'dod3'!J161-'dod3 квітень чистий'!J148</f>
        <v>0</v>
      </c>
      <c r="K162" s="596">
        <f>'dod3'!K161-'dod3 квітень чистий'!K148</f>
        <v>0</v>
      </c>
      <c r="L162" s="596">
        <f>'dod3'!L161-'dod3 квітень чистий'!L148</f>
        <v>0</v>
      </c>
      <c r="M162" s="596">
        <f>'dod3'!M161-'dod3 квітень чистий'!M148</f>
        <v>0</v>
      </c>
      <c r="N162" s="596">
        <f>'dod3'!N161-'dod3 квітень чистий'!N148</f>
        <v>0</v>
      </c>
      <c r="O162" s="596">
        <f>'dod3'!O161-'dod3 квітень чистий'!O148</f>
        <v>0</v>
      </c>
      <c r="P162" s="596">
        <f>'dod3'!P161-'dod3 квітень чистий'!P148</f>
        <v>350597</v>
      </c>
    </row>
    <row r="163" spans="1:18" ht="91.5" x14ac:dyDescent="0.2">
      <c r="A163" s="588" t="s">
        <v>543</v>
      </c>
      <c r="B163" s="588" t="s">
        <v>546</v>
      </c>
      <c r="C163" s="588" t="s">
        <v>549</v>
      </c>
      <c r="D163" s="588" t="s">
        <v>548</v>
      </c>
      <c r="E163" s="596">
        <f>'dod3'!E162-'dod3 квітень чистий'!E149</f>
        <v>350597</v>
      </c>
      <c r="F163" s="596">
        <f>'dod3'!F162-'dod3 квітень чистий'!F149</f>
        <v>350597</v>
      </c>
      <c r="G163" s="596">
        <f>'dod3'!G162-'dod3 квітень чистий'!G149</f>
        <v>0</v>
      </c>
      <c r="H163" s="596">
        <f>'dod3'!H162-'dod3 квітень чистий'!H149</f>
        <v>0</v>
      </c>
      <c r="I163" s="596">
        <f>'dod3'!I162-'dod3 квітень чистий'!I149</f>
        <v>0</v>
      </c>
      <c r="J163" s="596">
        <f>'dod3'!J162-'dod3 квітень чистий'!J149</f>
        <v>0</v>
      </c>
      <c r="K163" s="596">
        <f>'dod3'!K162-'dod3 квітень чистий'!K149</f>
        <v>0</v>
      </c>
      <c r="L163" s="596">
        <f>'dod3'!L162-'dod3 квітень чистий'!L149</f>
        <v>0</v>
      </c>
      <c r="M163" s="596">
        <f>'dod3'!M162-'dod3 квітень чистий'!M149</f>
        <v>0</v>
      </c>
      <c r="N163" s="596">
        <f>'dod3'!N162-'dod3 квітень чистий'!N149</f>
        <v>0</v>
      </c>
      <c r="O163" s="596">
        <f>'dod3'!O162-'dod3 квітень чистий'!O149</f>
        <v>0</v>
      </c>
      <c r="P163" s="596">
        <f>'dod3'!P162-'dod3 квітень чистий'!P149</f>
        <v>350597</v>
      </c>
    </row>
    <row r="164" spans="1:18" ht="137.25" x14ac:dyDescent="0.2">
      <c r="A164" s="590" t="s">
        <v>550</v>
      </c>
      <c r="B164" s="590" t="s">
        <v>551</v>
      </c>
      <c r="C164" s="590"/>
      <c r="D164" s="590" t="s">
        <v>552</v>
      </c>
      <c r="E164" s="596">
        <f>'dod3'!E163-'dod3 квітень чистий'!E150</f>
        <v>0</v>
      </c>
      <c r="F164" s="596">
        <f>'dod3'!F163-'dod3 квітень чистий'!F150</f>
        <v>0</v>
      </c>
      <c r="G164" s="596">
        <f>'dod3'!G163-'dod3 квітень чистий'!G150</f>
        <v>0</v>
      </c>
      <c r="H164" s="596">
        <f>'dod3'!H163-'dod3 квітень чистий'!H150</f>
        <v>0</v>
      </c>
      <c r="I164" s="596">
        <f>'dod3'!I163-'dod3 квітень чистий'!I150</f>
        <v>0</v>
      </c>
      <c r="J164" s="596">
        <f>'dod3'!J163-'dod3 квітень чистий'!J150</f>
        <v>2430650</v>
      </c>
      <c r="K164" s="596">
        <f>'dod3'!K163-'dod3 квітень чистий'!K150</f>
        <v>0</v>
      </c>
      <c r="L164" s="596">
        <f>'dod3'!L163-'dod3 квітень чистий'!L150</f>
        <v>0</v>
      </c>
      <c r="M164" s="596">
        <f>'dod3'!M163-'dod3 квітень чистий'!M150</f>
        <v>0</v>
      </c>
      <c r="N164" s="596">
        <f>'dod3'!N163-'dod3 квітень чистий'!N150</f>
        <v>2430650</v>
      </c>
      <c r="O164" s="596">
        <f>'dod3'!O163-'dod3 квітень чистий'!O150</f>
        <v>2430650</v>
      </c>
      <c r="P164" s="596">
        <f>'dod3'!P163-'dod3 квітень чистий'!P150</f>
        <v>2430650</v>
      </c>
    </row>
    <row r="165" spans="1:18" ht="228.75" x14ac:dyDescent="0.2">
      <c r="A165" s="588" t="s">
        <v>553</v>
      </c>
      <c r="B165" s="588" t="s">
        <v>554</v>
      </c>
      <c r="C165" s="588" t="s">
        <v>556</v>
      </c>
      <c r="D165" s="588" t="s">
        <v>555</v>
      </c>
      <c r="E165" s="596">
        <f>'dod3'!E164-'dod3 квітень чистий'!E151</f>
        <v>0</v>
      </c>
      <c r="F165" s="596">
        <f>'dod3'!F164-'dod3 квітень чистий'!F151</f>
        <v>0</v>
      </c>
      <c r="G165" s="596">
        <f>'dod3'!G164-'dod3 квітень чистий'!G151</f>
        <v>0</v>
      </c>
      <c r="H165" s="596">
        <f>'dod3'!H164-'dod3 квітень чистий'!H151</f>
        <v>0</v>
      </c>
      <c r="I165" s="596">
        <f>'dod3'!I164-'dod3 квітень чистий'!I151</f>
        <v>0</v>
      </c>
      <c r="J165" s="596">
        <f>'dod3'!J164-'dod3 квітень чистий'!J151</f>
        <v>2430650</v>
      </c>
      <c r="K165" s="596">
        <f>'dod3'!K164-'dod3 квітень чистий'!K151</f>
        <v>0</v>
      </c>
      <c r="L165" s="596">
        <f>'dod3'!L164-'dod3 квітень чистий'!L151</f>
        <v>0</v>
      </c>
      <c r="M165" s="596">
        <f>'dod3'!M164-'dod3 квітень чистий'!M151</f>
        <v>0</v>
      </c>
      <c r="N165" s="596">
        <f>'dod3'!N164-'dod3 квітень чистий'!N151</f>
        <v>2430650</v>
      </c>
      <c r="O165" s="596">
        <f>'dod3'!O164-'dod3 квітень чистий'!O151</f>
        <v>2430650</v>
      </c>
      <c r="P165" s="596">
        <f>'dod3'!P164-'dod3 квітень чистий'!P151</f>
        <v>2430650</v>
      </c>
    </row>
    <row r="166" spans="1:18" ht="46.5" x14ac:dyDescent="0.2">
      <c r="A166" s="590" t="s">
        <v>557</v>
      </c>
      <c r="B166" s="590" t="s">
        <v>403</v>
      </c>
      <c r="C166" s="590" t="s">
        <v>404</v>
      </c>
      <c r="D166" s="590" t="s">
        <v>99</v>
      </c>
      <c r="E166" s="596">
        <f>'dod3'!E165-'dod3 квітень чистий'!E152</f>
        <v>55000</v>
      </c>
      <c r="F166" s="596">
        <f>'dod3'!F165-'dod3 квітень чистий'!F152</f>
        <v>55000</v>
      </c>
      <c r="G166" s="596">
        <f>'dod3'!G165-'dod3 квітень чистий'!G152</f>
        <v>0</v>
      </c>
      <c r="H166" s="596">
        <f>'dod3'!H165-'dod3 квітень чистий'!H152</f>
        <v>0</v>
      </c>
      <c r="I166" s="596">
        <f>'dod3'!I165-'dod3 квітень чистий'!I152</f>
        <v>0</v>
      </c>
      <c r="J166" s="596">
        <f>'dod3'!J165-'dod3 квітень чистий'!J152</f>
        <v>-1700000</v>
      </c>
      <c r="K166" s="596">
        <f>'dod3'!K165-'dod3 квітень чистий'!K152</f>
        <v>0</v>
      </c>
      <c r="L166" s="596">
        <f>'dod3'!L165-'dod3 квітень чистий'!L152</f>
        <v>0</v>
      </c>
      <c r="M166" s="596">
        <f>'dod3'!M165-'dod3 квітень чистий'!M152</f>
        <v>0</v>
      </c>
      <c r="N166" s="596">
        <f>'dod3'!N165-'dod3 квітень чистий'!N152</f>
        <v>-1700000</v>
      </c>
      <c r="O166" s="596">
        <f>'dod3'!O165-'dod3 квітень чистий'!O152</f>
        <v>-1700000</v>
      </c>
      <c r="P166" s="596">
        <f>'dod3'!P165-'dod3 квітень чистий'!P152</f>
        <v>-1645000</v>
      </c>
    </row>
    <row r="167" spans="1:18" ht="91.5" x14ac:dyDescent="0.2">
      <c r="A167" s="590" t="s">
        <v>575</v>
      </c>
      <c r="B167" s="590" t="s">
        <v>373</v>
      </c>
      <c r="C167" s="590" t="s">
        <v>324</v>
      </c>
      <c r="D167" s="590" t="s">
        <v>89</v>
      </c>
      <c r="E167" s="596">
        <f>'dod3'!E166-'dod3 квітень чистий'!E153</f>
        <v>0</v>
      </c>
      <c r="F167" s="596">
        <f>'dod3'!F166-'dod3 квітень чистий'!F153</f>
        <v>0</v>
      </c>
      <c r="G167" s="596">
        <f>'dod3'!G166-'dod3 квітень чистий'!G153</f>
        <v>0</v>
      </c>
      <c r="H167" s="596">
        <f>'dod3'!H166-'dod3 квітень чистий'!H153</f>
        <v>0</v>
      </c>
      <c r="I167" s="596">
        <f>'dod3'!I166-'dod3 квітень чистий'!I153</f>
        <v>0</v>
      </c>
      <c r="J167" s="596">
        <f>'dod3'!J166-'dod3 квітень чистий'!J153</f>
        <v>4875593</v>
      </c>
      <c r="K167" s="596">
        <f>'dod3'!K166-'dod3 квітень чистий'!K153</f>
        <v>0</v>
      </c>
      <c r="L167" s="596">
        <f>'dod3'!L166-'dod3 квітень чистий'!L153</f>
        <v>0</v>
      </c>
      <c r="M167" s="596">
        <f>'dod3'!M166-'dod3 квітень чистий'!M153</f>
        <v>0</v>
      </c>
      <c r="N167" s="596">
        <f>'dod3'!N166-'dod3 квітень чистий'!N153</f>
        <v>4875593</v>
      </c>
      <c r="O167" s="596">
        <f>'dod3'!O166-'dod3 квітень чистий'!O153</f>
        <v>4875593</v>
      </c>
      <c r="P167" s="596">
        <f>'dod3'!P166-'dod3 квітень чистий'!P153</f>
        <v>4875593</v>
      </c>
    </row>
    <row r="168" spans="1:18" ht="183" x14ac:dyDescent="0.2">
      <c r="A168" s="590" t="s">
        <v>558</v>
      </c>
      <c r="B168" s="590" t="s">
        <v>559</v>
      </c>
      <c r="C168" s="590" t="s">
        <v>490</v>
      </c>
      <c r="D168" s="590" t="s">
        <v>703</v>
      </c>
      <c r="E168" s="596">
        <f>'dod3'!E167-'dod3 квітень чистий'!E154</f>
        <v>0</v>
      </c>
      <c r="F168" s="596">
        <f>'dod3'!F167-'dod3 квітень чистий'!F154</f>
        <v>0</v>
      </c>
      <c r="G168" s="596">
        <f>'dod3'!G167-'dod3 квітень чистий'!G154</f>
        <v>0</v>
      </c>
      <c r="H168" s="596">
        <f>'dod3'!H167-'dod3 квітень чистий'!H154</f>
        <v>0</v>
      </c>
      <c r="I168" s="596">
        <f>'dod3'!I167-'dod3 квітень чистий'!I154</f>
        <v>0</v>
      </c>
      <c r="J168" s="596">
        <f>'dod3'!J167-'dod3 квітень чистий'!J154</f>
        <v>0</v>
      </c>
      <c r="K168" s="596">
        <f>'dod3'!K167-'dod3 квітень чистий'!K154</f>
        <v>0</v>
      </c>
      <c r="L168" s="596">
        <f>'dod3'!L167-'dod3 квітень чистий'!L154</f>
        <v>0</v>
      </c>
      <c r="M168" s="596">
        <f>'dod3'!M167-'dod3 квітень чистий'!M154</f>
        <v>0</v>
      </c>
      <c r="N168" s="596">
        <f>'dod3'!N167-'dod3 квітень чистий'!N154</f>
        <v>0</v>
      </c>
      <c r="O168" s="596">
        <f>'dod3'!O167-'dod3 квітень чистий'!O154</f>
        <v>0</v>
      </c>
      <c r="P168" s="596">
        <f>'dod3'!P167-'dod3 квітень чистий'!P154</f>
        <v>0</v>
      </c>
    </row>
    <row r="169" spans="1:18" ht="91.5" x14ac:dyDescent="0.2">
      <c r="A169" s="590" t="s">
        <v>488</v>
      </c>
      <c r="B169" s="590" t="s">
        <v>489</v>
      </c>
      <c r="C169" s="590" t="s">
        <v>490</v>
      </c>
      <c r="D169" s="590" t="s">
        <v>487</v>
      </c>
      <c r="E169" s="596">
        <f>'dod3'!E168-'dod3 квітень чистий'!E155</f>
        <v>0</v>
      </c>
      <c r="F169" s="596">
        <f>'dod3'!F168-'dod3 квітень чистий'!F155</f>
        <v>0</v>
      </c>
      <c r="G169" s="596">
        <f>'dod3'!G168-'dod3 квітень чистий'!G155</f>
        <v>3850</v>
      </c>
      <c r="H169" s="596">
        <f>'dod3'!H168-'dod3 квітень чистий'!H155</f>
        <v>0</v>
      </c>
      <c r="I169" s="596">
        <f>'dod3'!I168-'dod3 квітень чистий'!I155</f>
        <v>0</v>
      </c>
      <c r="J169" s="596">
        <f>'dod3'!J168-'dod3 квітень чистий'!J155</f>
        <v>0</v>
      </c>
      <c r="K169" s="596">
        <f>'dod3'!K168-'dod3 квітень чистий'!K155</f>
        <v>0</v>
      </c>
      <c r="L169" s="596">
        <f>'dod3'!L168-'dod3 квітень чистий'!L155</f>
        <v>0</v>
      </c>
      <c r="M169" s="596">
        <f>'dod3'!M168-'dod3 квітень чистий'!M155</f>
        <v>0</v>
      </c>
      <c r="N169" s="596">
        <f>'dod3'!N168-'dod3 квітень чистий'!N155</f>
        <v>0</v>
      </c>
      <c r="O169" s="596">
        <f>'dod3'!O168-'dod3 квітень чистий'!O155</f>
        <v>0</v>
      </c>
      <c r="P169" s="596">
        <f>'dod3'!P168-'dod3 квітень чистий'!P155</f>
        <v>0</v>
      </c>
    </row>
    <row r="170" spans="1:18" ht="315" x14ac:dyDescent="0.2">
      <c r="A170" s="277" t="s">
        <v>69</v>
      </c>
      <c r="B170" s="277"/>
      <c r="C170" s="277"/>
      <c r="D170" s="277" t="s">
        <v>933</v>
      </c>
      <c r="E170" s="243">
        <f>E171</f>
        <v>0</v>
      </c>
      <c r="F170" s="243">
        <f t="shared" ref="F170:P170" si="23">F171</f>
        <v>0</v>
      </c>
      <c r="G170" s="243">
        <f t="shared" si="23"/>
        <v>0</v>
      </c>
      <c r="H170" s="243">
        <f t="shared" si="23"/>
        <v>0</v>
      </c>
      <c r="I170" s="243">
        <f t="shared" si="23"/>
        <v>0</v>
      </c>
      <c r="J170" s="243">
        <f t="shared" si="23"/>
        <v>40630394</v>
      </c>
      <c r="K170" s="243">
        <f t="shared" si="23"/>
        <v>0</v>
      </c>
      <c r="L170" s="243">
        <f t="shared" si="23"/>
        <v>0</v>
      </c>
      <c r="M170" s="243">
        <f t="shared" si="23"/>
        <v>0</v>
      </c>
      <c r="N170" s="243">
        <f t="shared" si="23"/>
        <v>40630394</v>
      </c>
      <c r="O170" s="244">
        <f>O171</f>
        <v>40630394</v>
      </c>
      <c r="P170" s="243">
        <f t="shared" si="23"/>
        <v>40630394</v>
      </c>
    </row>
    <row r="171" spans="1:18" ht="270" x14ac:dyDescent="0.2">
      <c r="A171" s="280" t="s">
        <v>70</v>
      </c>
      <c r="B171" s="280"/>
      <c r="C171" s="280"/>
      <c r="D171" s="280" t="s">
        <v>932</v>
      </c>
      <c r="E171" s="244">
        <f>E172+E175+E176</f>
        <v>0</v>
      </c>
      <c r="F171" s="243">
        <f t="shared" ref="F171:I171" si="24">F172+F175+F176</f>
        <v>0</v>
      </c>
      <c r="G171" s="244">
        <f t="shared" si="24"/>
        <v>0</v>
      </c>
      <c r="H171" s="244">
        <f t="shared" si="24"/>
        <v>0</v>
      </c>
      <c r="I171" s="243">
        <f t="shared" si="24"/>
        <v>0</v>
      </c>
      <c r="J171" s="244">
        <f t="shared" ref="J171" si="25">K171+N171</f>
        <v>40630394</v>
      </c>
      <c r="K171" s="243">
        <f t="shared" ref="K171:O171" si="26">K172+K175+K176</f>
        <v>0</v>
      </c>
      <c r="L171" s="244">
        <f t="shared" si="26"/>
        <v>0</v>
      </c>
      <c r="M171" s="244">
        <f t="shared" si="26"/>
        <v>0</v>
      </c>
      <c r="N171" s="243">
        <f t="shared" si="26"/>
        <v>40630394</v>
      </c>
      <c r="O171" s="244">
        <f t="shared" si="26"/>
        <v>40630394</v>
      </c>
      <c r="P171" s="244">
        <f t="shared" ref="P171" si="27">+J171+E171</f>
        <v>40630394</v>
      </c>
      <c r="Q171" s="311"/>
      <c r="R171" s="325"/>
    </row>
    <row r="172" spans="1:18" ht="91.5" x14ac:dyDescent="0.2">
      <c r="A172" s="590" t="s">
        <v>599</v>
      </c>
      <c r="B172" s="590" t="s">
        <v>600</v>
      </c>
      <c r="C172" s="590"/>
      <c r="D172" s="590" t="s">
        <v>598</v>
      </c>
      <c r="E172" s="179">
        <f>'dod3'!E171-'dod3 квітень чистий'!E158</f>
        <v>0</v>
      </c>
      <c r="F172" s="179">
        <f>'dod3'!F171-'dod3 квітень чистий'!F158</f>
        <v>0</v>
      </c>
      <c r="G172" s="179">
        <f>'dod3'!G171-'dod3 квітень чистий'!G158</f>
        <v>0</v>
      </c>
      <c r="H172" s="179">
        <f>'dod3'!H171-'dod3 квітень чистий'!H158</f>
        <v>0</v>
      </c>
      <c r="I172" s="179">
        <f>'dod3'!I171-'dod3 квітень чистий'!I158</f>
        <v>0</v>
      </c>
      <c r="J172" s="179">
        <f>'dod3'!J171-'dod3 квітень чистий'!J158</f>
        <v>35747000</v>
      </c>
      <c r="K172" s="179">
        <f>'dod3'!K171-'dod3 квітень чистий'!K158</f>
        <v>0</v>
      </c>
      <c r="L172" s="179">
        <f>'dod3'!L171-'dod3 квітень чистий'!L158</f>
        <v>0</v>
      </c>
      <c r="M172" s="179">
        <f>'dod3'!M171-'dod3 квітень чистий'!M158</f>
        <v>0</v>
      </c>
      <c r="N172" s="179">
        <f>'dod3'!N171-'dod3 квітень чистий'!N158</f>
        <v>35747000</v>
      </c>
      <c r="O172" s="179">
        <f>'dod3'!O171-'dod3 квітень чистий'!O158</f>
        <v>35747000</v>
      </c>
      <c r="P172" s="179">
        <f>'dod3'!P171-'dod3 квітень чистий'!P158</f>
        <v>35747000</v>
      </c>
    </row>
    <row r="173" spans="1:18" ht="91.5" x14ac:dyDescent="0.2">
      <c r="A173" s="588" t="s">
        <v>602</v>
      </c>
      <c r="B173" s="588" t="s">
        <v>603</v>
      </c>
      <c r="C173" s="588" t="s">
        <v>570</v>
      </c>
      <c r="D173" s="588" t="s">
        <v>601</v>
      </c>
      <c r="E173" s="179">
        <f>'dod3'!E172-'dod3 квітень чистий'!E159</f>
        <v>0</v>
      </c>
      <c r="F173" s="179">
        <f>'dod3'!F172-'dod3 квітень чистий'!F159</f>
        <v>0</v>
      </c>
      <c r="G173" s="179">
        <f>'dod3'!G172-'dod3 квітень чистий'!G159</f>
        <v>0</v>
      </c>
      <c r="H173" s="179">
        <f>'dod3'!H172-'dod3 квітень чистий'!H159</f>
        <v>0</v>
      </c>
      <c r="I173" s="179">
        <f>'dod3'!I172-'dod3 квітень чистий'!I159</f>
        <v>0</v>
      </c>
      <c r="J173" s="179">
        <f>'dod3'!J172-'dod3 квітень чистий'!J159</f>
        <v>10762000</v>
      </c>
      <c r="K173" s="179">
        <f>'dod3'!K172-'dod3 квітень чистий'!K159</f>
        <v>0</v>
      </c>
      <c r="L173" s="179">
        <f>'dod3'!L172-'dod3 квітень чистий'!L159</f>
        <v>0</v>
      </c>
      <c r="M173" s="179">
        <f>'dod3'!M172-'dod3 квітень чистий'!M159</f>
        <v>0</v>
      </c>
      <c r="N173" s="179">
        <f>'dod3'!N172-'dod3 квітень чистий'!N159</f>
        <v>10762000</v>
      </c>
      <c r="O173" s="179">
        <f>'dod3'!O172-'dod3 квітень чистий'!O159</f>
        <v>10762000</v>
      </c>
      <c r="P173" s="179">
        <f>'dod3'!P172-'dod3 квітень чистий'!P159</f>
        <v>10762000</v>
      </c>
    </row>
    <row r="174" spans="1:18" ht="137.25" x14ac:dyDescent="0.2">
      <c r="A174" s="588" t="s">
        <v>604</v>
      </c>
      <c r="B174" s="588" t="s">
        <v>605</v>
      </c>
      <c r="C174" s="588" t="s">
        <v>570</v>
      </c>
      <c r="D174" s="588" t="s">
        <v>606</v>
      </c>
      <c r="E174" s="179">
        <f>'dod3'!E173-'dod3 квітень чистий'!E160</f>
        <v>0</v>
      </c>
      <c r="F174" s="179">
        <f>'dod3'!F173-'dod3 квітень чистий'!F160</f>
        <v>0</v>
      </c>
      <c r="G174" s="179">
        <f>'dod3'!G173-'dod3 квітень чистий'!G160</f>
        <v>0</v>
      </c>
      <c r="H174" s="179">
        <f>'dod3'!H173-'dod3 квітень чистий'!H160</f>
        <v>0</v>
      </c>
      <c r="I174" s="179">
        <f>'dod3'!I173-'dod3 квітень чистий'!I160</f>
        <v>0</v>
      </c>
      <c r="J174" s="179">
        <f>'dod3'!J173-'dod3 квітень чистий'!J160</f>
        <v>24985000</v>
      </c>
      <c r="K174" s="179">
        <f>'dod3'!K173-'dod3 квітень чистий'!K160</f>
        <v>0</v>
      </c>
      <c r="L174" s="179">
        <f>'dod3'!L173-'dod3 квітень чистий'!L160</f>
        <v>0</v>
      </c>
      <c r="M174" s="179">
        <f>'dod3'!M173-'dod3 квітень чистий'!M160</f>
        <v>0</v>
      </c>
      <c r="N174" s="179">
        <f>'dod3'!N173-'dod3 квітень чистий'!N160</f>
        <v>24985000</v>
      </c>
      <c r="O174" s="179">
        <f>'dod3'!O173-'dod3 квітень чистий'!O160</f>
        <v>24985000</v>
      </c>
      <c r="P174" s="179">
        <f>'dod3'!P173-'dod3 квітень чистий'!P160</f>
        <v>24985000</v>
      </c>
    </row>
    <row r="175" spans="1:18" ht="183" x14ac:dyDescent="0.2">
      <c r="A175" s="590" t="s">
        <v>608</v>
      </c>
      <c r="B175" s="590" t="s">
        <v>609</v>
      </c>
      <c r="C175" s="590" t="s">
        <v>570</v>
      </c>
      <c r="D175" s="590" t="s">
        <v>607</v>
      </c>
      <c r="E175" s="179">
        <f>'dod3'!E174-'dod3 квітень чистий'!E161</f>
        <v>0</v>
      </c>
      <c r="F175" s="179">
        <f>'dod3'!F174-'dod3 квітень чистий'!F161</f>
        <v>0</v>
      </c>
      <c r="G175" s="179">
        <f>'dod3'!G174-'dod3 квітень чистий'!G161</f>
        <v>0</v>
      </c>
      <c r="H175" s="179">
        <f>'dod3'!H174-'dod3 квітень чистий'!H161</f>
        <v>0</v>
      </c>
      <c r="I175" s="179">
        <f>'dod3'!I174-'dod3 квітень чистий'!I161</f>
        <v>0</v>
      </c>
      <c r="J175" s="179">
        <f>'dod3'!J174-'dod3 квітень чистий'!J161</f>
        <v>5063394</v>
      </c>
      <c r="K175" s="179">
        <f>'dod3'!K174-'dod3 квітень чистий'!K161</f>
        <v>0</v>
      </c>
      <c r="L175" s="179">
        <f>'dod3'!L174-'dod3 квітень чистий'!L161</f>
        <v>0</v>
      </c>
      <c r="M175" s="179">
        <f>'dod3'!M174-'dod3 квітень чистий'!M161</f>
        <v>0</v>
      </c>
      <c r="N175" s="179">
        <f>'dod3'!N174-'dod3 квітень чистий'!N161</f>
        <v>5063394</v>
      </c>
      <c r="O175" s="179">
        <f>'dod3'!O174-'dod3 квітень чистий'!O161</f>
        <v>5063394</v>
      </c>
      <c r="P175" s="179">
        <f>'dod3'!P174-'dod3 квітень чистий'!P161</f>
        <v>5063394</v>
      </c>
    </row>
    <row r="176" spans="1:18" ht="91.5" x14ac:dyDescent="0.2">
      <c r="A176" s="590" t="s">
        <v>610</v>
      </c>
      <c r="B176" s="590" t="s">
        <v>373</v>
      </c>
      <c r="C176" s="590" t="s">
        <v>324</v>
      </c>
      <c r="D176" s="590" t="s">
        <v>89</v>
      </c>
      <c r="E176" s="179">
        <f>'dod3'!E175-'dod3 квітень чистий'!E162</f>
        <v>0</v>
      </c>
      <c r="F176" s="179">
        <f>'dod3'!F175-'dod3 квітень чистий'!F162</f>
        <v>0</v>
      </c>
      <c r="G176" s="179">
        <f>'dod3'!G175-'dod3 квітень чистий'!G162</f>
        <v>0</v>
      </c>
      <c r="H176" s="179">
        <f>'dod3'!H175-'dod3 квітень чистий'!H162</f>
        <v>0</v>
      </c>
      <c r="I176" s="179">
        <f>'dod3'!I175-'dod3 квітень чистий'!I162</f>
        <v>0</v>
      </c>
      <c r="J176" s="179">
        <f>'dod3'!J175-'dod3 квітень чистий'!J162</f>
        <v>-180000</v>
      </c>
      <c r="K176" s="179">
        <f>'dod3'!K175-'dod3 квітень чистий'!K162</f>
        <v>0</v>
      </c>
      <c r="L176" s="179">
        <f>'dod3'!L175-'dod3 квітень чистий'!L162</f>
        <v>0</v>
      </c>
      <c r="M176" s="179">
        <f>'dod3'!M175-'dod3 квітень чистий'!M162</f>
        <v>0</v>
      </c>
      <c r="N176" s="179">
        <f>'dod3'!N175-'dod3 квітень чистий'!N162</f>
        <v>-180000</v>
      </c>
      <c r="O176" s="179">
        <f>'dod3'!O175-'dod3 квітень чистий'!O162</f>
        <v>-180000</v>
      </c>
      <c r="P176" s="179">
        <f>'dod3'!P175-'dod3 квітень чистий'!P162</f>
        <v>-180000</v>
      </c>
    </row>
    <row r="177" spans="1:18" ht="270" x14ac:dyDescent="0.2">
      <c r="A177" s="277" t="s">
        <v>314</v>
      </c>
      <c r="B177" s="277"/>
      <c r="C177" s="277"/>
      <c r="D177" s="277" t="s">
        <v>71</v>
      </c>
      <c r="E177" s="243">
        <f>E178</f>
        <v>0</v>
      </c>
      <c r="F177" s="243">
        <f t="shared" ref="F177:P178" si="28">F178</f>
        <v>0</v>
      </c>
      <c r="G177" s="243">
        <f t="shared" si="28"/>
        <v>0</v>
      </c>
      <c r="H177" s="243">
        <f t="shared" si="28"/>
        <v>0</v>
      </c>
      <c r="I177" s="243">
        <f t="shared" si="28"/>
        <v>0</v>
      </c>
      <c r="J177" s="243">
        <f t="shared" si="28"/>
        <v>-3123400</v>
      </c>
      <c r="K177" s="243">
        <f t="shared" si="28"/>
        <v>0</v>
      </c>
      <c r="L177" s="243">
        <f t="shared" si="28"/>
        <v>0</v>
      </c>
      <c r="M177" s="243">
        <f t="shared" si="28"/>
        <v>0</v>
      </c>
      <c r="N177" s="243">
        <f t="shared" si="28"/>
        <v>-3123400</v>
      </c>
      <c r="O177" s="244">
        <f t="shared" si="28"/>
        <v>-3123400</v>
      </c>
      <c r="P177" s="243">
        <f t="shared" si="28"/>
        <v>-3123400</v>
      </c>
    </row>
    <row r="178" spans="1:18" ht="270" x14ac:dyDescent="0.2">
      <c r="A178" s="280" t="s">
        <v>315</v>
      </c>
      <c r="B178" s="280"/>
      <c r="C178" s="280"/>
      <c r="D178" s="280" t="s">
        <v>96</v>
      </c>
      <c r="E178" s="244">
        <f>E179</f>
        <v>0</v>
      </c>
      <c r="F178" s="243">
        <f>E178</f>
        <v>0</v>
      </c>
      <c r="G178" s="244">
        <f t="shared" si="28"/>
        <v>0</v>
      </c>
      <c r="H178" s="244">
        <f t="shared" si="28"/>
        <v>0</v>
      </c>
      <c r="I178" s="243">
        <f t="shared" si="28"/>
        <v>0</v>
      </c>
      <c r="J178" s="244">
        <f>K178+N178</f>
        <v>-3123400</v>
      </c>
      <c r="K178" s="243">
        <f t="shared" si="28"/>
        <v>0</v>
      </c>
      <c r="L178" s="244">
        <f t="shared" si="28"/>
        <v>0</v>
      </c>
      <c r="M178" s="244">
        <f>M179</f>
        <v>0</v>
      </c>
      <c r="N178" s="243">
        <f>N179</f>
        <v>-3123400</v>
      </c>
      <c r="O178" s="244">
        <f>O179</f>
        <v>-3123400</v>
      </c>
      <c r="P178" s="244">
        <f>+J178+E178</f>
        <v>-3123400</v>
      </c>
      <c r="Q178" s="311"/>
      <c r="R178" s="325"/>
    </row>
    <row r="179" spans="1:18" ht="137.25" x14ac:dyDescent="0.2">
      <c r="A179" s="590" t="s">
        <v>580</v>
      </c>
      <c r="B179" s="590" t="s">
        <v>581</v>
      </c>
      <c r="C179" s="590" t="s">
        <v>570</v>
      </c>
      <c r="D179" s="590" t="s">
        <v>582</v>
      </c>
      <c r="E179" s="179">
        <f>'dod3'!E178-'dod3 квітень чистий'!E165</f>
        <v>0</v>
      </c>
      <c r="F179" s="179">
        <f>'dod3'!F178-'dod3 квітень чистий'!F165</f>
        <v>0</v>
      </c>
      <c r="G179" s="179">
        <f>'dod3'!G178-'dod3 квітень чистий'!G165</f>
        <v>0</v>
      </c>
      <c r="H179" s="179">
        <f>'dod3'!H178-'dod3 квітень чистий'!H165</f>
        <v>0</v>
      </c>
      <c r="I179" s="179">
        <f>'dod3'!I178-'dod3 квітень чистий'!I165</f>
        <v>0</v>
      </c>
      <c r="J179" s="179">
        <f>'dod3'!J178-'dod3 квітень чистий'!J165</f>
        <v>-3123400</v>
      </c>
      <c r="K179" s="179">
        <f>'dod3'!K178-'dod3 квітень чистий'!K165</f>
        <v>0</v>
      </c>
      <c r="L179" s="179">
        <f>'dod3'!L178-'dod3 квітень чистий'!L165</f>
        <v>0</v>
      </c>
      <c r="M179" s="179">
        <f>'dod3'!M178-'dod3 квітень чистий'!M165</f>
        <v>0</v>
      </c>
      <c r="N179" s="179">
        <f>'dod3'!N178-'dod3 квітень чистий'!N165</f>
        <v>-3123400</v>
      </c>
      <c r="O179" s="179">
        <f>'dod3'!O178-'dod3 квітень чистий'!O165</f>
        <v>-3123400</v>
      </c>
      <c r="P179" s="179">
        <f>'dod3'!P178-'dod3 квітень чистий'!P165</f>
        <v>-3123400</v>
      </c>
    </row>
    <row r="180" spans="1:18" ht="135" x14ac:dyDescent="0.2">
      <c r="A180" s="277" t="s">
        <v>320</v>
      </c>
      <c r="B180" s="277"/>
      <c r="C180" s="277"/>
      <c r="D180" s="277" t="s">
        <v>764</v>
      </c>
      <c r="E180" s="243">
        <f>E181</f>
        <v>-131998.39999999991</v>
      </c>
      <c r="F180" s="243">
        <f t="shared" ref="F180:P180" si="29">F181</f>
        <v>-131998.39999999991</v>
      </c>
      <c r="G180" s="243">
        <f t="shared" si="29"/>
        <v>0</v>
      </c>
      <c r="H180" s="243">
        <f t="shared" si="29"/>
        <v>0</v>
      </c>
      <c r="I180" s="243">
        <f t="shared" si="29"/>
        <v>0</v>
      </c>
      <c r="J180" s="243">
        <f t="shared" si="29"/>
        <v>9350</v>
      </c>
      <c r="K180" s="243">
        <f t="shared" si="29"/>
        <v>0</v>
      </c>
      <c r="L180" s="243">
        <f t="shared" si="29"/>
        <v>0</v>
      </c>
      <c r="M180" s="243">
        <f t="shared" si="29"/>
        <v>0</v>
      </c>
      <c r="N180" s="243">
        <f t="shared" si="29"/>
        <v>9350</v>
      </c>
      <c r="O180" s="244">
        <f t="shared" si="29"/>
        <v>9350</v>
      </c>
      <c r="P180" s="243">
        <f t="shared" si="29"/>
        <v>-122648.39999999991</v>
      </c>
    </row>
    <row r="181" spans="1:18" ht="135" x14ac:dyDescent="0.2">
      <c r="A181" s="280" t="s">
        <v>321</v>
      </c>
      <c r="B181" s="280"/>
      <c r="C181" s="280"/>
      <c r="D181" s="280" t="s">
        <v>765</v>
      </c>
      <c r="E181" s="244">
        <f>SUM(E182:E185)</f>
        <v>-131998.39999999991</v>
      </c>
      <c r="F181" s="243">
        <f t="shared" ref="F181:I181" si="30">SUM(F182:F185)</f>
        <v>-131998.39999999991</v>
      </c>
      <c r="G181" s="243">
        <f t="shared" si="30"/>
        <v>0</v>
      </c>
      <c r="H181" s="243">
        <f t="shared" si="30"/>
        <v>0</v>
      </c>
      <c r="I181" s="243">
        <f t="shared" si="30"/>
        <v>0</v>
      </c>
      <c r="J181" s="244">
        <f>K181+N181</f>
        <v>9350</v>
      </c>
      <c r="K181" s="243">
        <f>SUM(K182:K185)</f>
        <v>0</v>
      </c>
      <c r="L181" s="244">
        <f t="shared" ref="L181:M181" si="31">SUM(L182:L185)</f>
        <v>0</v>
      </c>
      <c r="M181" s="244">
        <f t="shared" si="31"/>
        <v>0</v>
      </c>
      <c r="N181" s="243">
        <f>SUM(N182:N185)</f>
        <v>9350</v>
      </c>
      <c r="O181" s="244">
        <f>SUM(O182:O185)</f>
        <v>9350</v>
      </c>
      <c r="P181" s="244">
        <f>E181+J181</f>
        <v>-122648.39999999991</v>
      </c>
      <c r="Q181" s="311"/>
      <c r="R181" s="325"/>
    </row>
    <row r="182" spans="1:18" ht="137.25" x14ac:dyDescent="0.2">
      <c r="A182" s="590" t="s">
        <v>755</v>
      </c>
      <c r="B182" s="590" t="s">
        <v>756</v>
      </c>
      <c r="C182" s="590" t="s">
        <v>324</v>
      </c>
      <c r="D182" s="590" t="s">
        <v>502</v>
      </c>
      <c r="E182" s="179">
        <f>'dod3'!E181-'dod3 квітень чистий'!E168</f>
        <v>0</v>
      </c>
      <c r="F182" s="179">
        <f>'dod3'!F181-'dod3 квітень чистий'!F168</f>
        <v>0</v>
      </c>
      <c r="G182" s="179">
        <f>'dod3'!G181-'dod3 квітень чистий'!G168</f>
        <v>0</v>
      </c>
      <c r="H182" s="179">
        <f>'dod3'!H181-'dod3 квітень чистий'!H168</f>
        <v>0</v>
      </c>
      <c r="I182" s="179">
        <f>'dod3'!I181-'dod3 квітень чистий'!I168</f>
        <v>0</v>
      </c>
      <c r="J182" s="179">
        <f>'dod3'!J181-'dod3 квітень чистий'!J168</f>
        <v>-206000</v>
      </c>
      <c r="K182" s="179">
        <f>'dod3'!K181-'dod3 квітень чистий'!K168</f>
        <v>0</v>
      </c>
      <c r="L182" s="179">
        <f>'dod3'!L181-'dod3 квітень чистий'!L168</f>
        <v>0</v>
      </c>
      <c r="M182" s="179">
        <f>'dod3'!M181-'dod3 квітень чистий'!M168</f>
        <v>0</v>
      </c>
      <c r="N182" s="179">
        <f>'dod3'!N181-'dod3 квітень чистий'!N168</f>
        <v>-206000</v>
      </c>
      <c r="O182" s="179">
        <f>'dod3'!O181-'dod3 квітень чистий'!O168</f>
        <v>-206000</v>
      </c>
      <c r="P182" s="179">
        <f>'dod3'!P181-'dod3 квітень чистий'!P168</f>
        <v>-206000</v>
      </c>
    </row>
    <row r="183" spans="1:18" ht="91.5" x14ac:dyDescent="0.2">
      <c r="A183" s="590" t="s">
        <v>500</v>
      </c>
      <c r="B183" s="590" t="s">
        <v>501</v>
      </c>
      <c r="C183" s="590" t="s">
        <v>499</v>
      </c>
      <c r="D183" s="590" t="s">
        <v>498</v>
      </c>
      <c r="E183" s="179">
        <f>'dod3'!E182-'dod3 квітень чистий'!E169</f>
        <v>0</v>
      </c>
      <c r="F183" s="179">
        <f>'dod3'!F182-'dod3 квітень чистий'!F169</f>
        <v>0</v>
      </c>
      <c r="G183" s="179">
        <f>'dod3'!G182-'dod3 квітень чистий'!G169</f>
        <v>0</v>
      </c>
      <c r="H183" s="179">
        <f>'dod3'!H182-'dod3 квітень чистий'!H169</f>
        <v>0</v>
      </c>
      <c r="I183" s="179">
        <f>'dod3'!I182-'dod3 квітень чистий'!I169</f>
        <v>0</v>
      </c>
      <c r="J183" s="179">
        <f>'dod3'!J182-'dod3 квітень чистий'!J169</f>
        <v>0</v>
      </c>
      <c r="K183" s="179">
        <f>'dod3'!K182-'dod3 квітень чистий'!K169</f>
        <v>0</v>
      </c>
      <c r="L183" s="179">
        <f>'dod3'!L182-'dod3 квітень чистий'!L169</f>
        <v>0</v>
      </c>
      <c r="M183" s="179">
        <f>'dod3'!M182-'dod3 квітень чистий'!M169</f>
        <v>0</v>
      </c>
      <c r="N183" s="179">
        <f>'dod3'!N182-'dod3 квітень чистий'!N169</f>
        <v>0</v>
      </c>
      <c r="O183" s="179">
        <f>'dod3'!O182-'dod3 квітень чистий'!O169</f>
        <v>0</v>
      </c>
      <c r="P183" s="179">
        <f>'dod3'!P182-'dod3 квітень чистий'!P169</f>
        <v>0</v>
      </c>
    </row>
    <row r="184" spans="1:18" ht="137.25" x14ac:dyDescent="0.2">
      <c r="A184" s="590" t="s">
        <v>491</v>
      </c>
      <c r="B184" s="590" t="s">
        <v>493</v>
      </c>
      <c r="C184" s="590" t="s">
        <v>404</v>
      </c>
      <c r="D184" s="590" t="s">
        <v>492</v>
      </c>
      <c r="E184" s="179">
        <f>'dod3'!E183-'dod3 квітень чистий'!E170</f>
        <v>-20000</v>
      </c>
      <c r="F184" s="179">
        <f>'dod3'!F183-'dod3 квітень чистий'!F170</f>
        <v>-20000</v>
      </c>
      <c r="G184" s="179">
        <f>'dod3'!G183-'dod3 квітень чистий'!G170</f>
        <v>0</v>
      </c>
      <c r="H184" s="179">
        <f>'dod3'!H183-'dod3 квітень чистий'!H170</f>
        <v>0</v>
      </c>
      <c r="I184" s="179">
        <f>'dod3'!I183-'dod3 квітень чистий'!I170</f>
        <v>0</v>
      </c>
      <c r="J184" s="179">
        <f>'dod3'!J183-'dod3 квітень чистий'!J170</f>
        <v>20000</v>
      </c>
      <c r="K184" s="179">
        <f>'dod3'!K183-'dod3 квітень чистий'!K170</f>
        <v>0</v>
      </c>
      <c r="L184" s="179">
        <f>'dod3'!L183-'dod3 квітень чистий'!L170</f>
        <v>0</v>
      </c>
      <c r="M184" s="179">
        <f>'dod3'!M183-'dod3 квітень чистий'!M170</f>
        <v>0</v>
      </c>
      <c r="N184" s="179">
        <f>'dod3'!N183-'dod3 квітень чистий'!N170</f>
        <v>20000</v>
      </c>
      <c r="O184" s="179">
        <f>'dod3'!O183-'dod3 квітень чистий'!O170</f>
        <v>20000</v>
      </c>
      <c r="P184" s="179">
        <f>'dod3'!P183-'dod3 квітень чистий'!P170</f>
        <v>0</v>
      </c>
    </row>
    <row r="185" spans="1:18" ht="46.5" x14ac:dyDescent="0.2">
      <c r="A185" s="590" t="s">
        <v>495</v>
      </c>
      <c r="B185" s="590" t="s">
        <v>449</v>
      </c>
      <c r="C185" s="590" t="s">
        <v>324</v>
      </c>
      <c r="D185" s="590" t="s">
        <v>447</v>
      </c>
      <c r="E185" s="179">
        <f>'dod3'!E184-'dod3 квітень чистий'!E171</f>
        <v>-111998.39999999991</v>
      </c>
      <c r="F185" s="179">
        <f>'dod3'!F184-'dod3 квітень чистий'!F171</f>
        <v>-111998.39999999991</v>
      </c>
      <c r="G185" s="179">
        <f>'dod3'!G184-'dod3 квітень чистий'!G171</f>
        <v>0</v>
      </c>
      <c r="H185" s="179">
        <f>'dod3'!H184-'dod3 квітень чистий'!H171</f>
        <v>0</v>
      </c>
      <c r="I185" s="179">
        <f>'dod3'!I184-'dod3 квітень чистий'!I171</f>
        <v>0</v>
      </c>
      <c r="J185" s="179">
        <f>'dod3'!J184-'dod3 квітень чистий'!J171</f>
        <v>195350</v>
      </c>
      <c r="K185" s="179">
        <f>'dod3'!K184-'dod3 квітень чистий'!K171</f>
        <v>0</v>
      </c>
      <c r="L185" s="179">
        <f>'dod3'!L184-'dod3 квітень чистий'!L171</f>
        <v>0</v>
      </c>
      <c r="M185" s="179">
        <f>'dod3'!M184-'dod3 квітень чистий'!M171</f>
        <v>0</v>
      </c>
      <c r="N185" s="179">
        <f>'dod3'!N184-'dod3 квітень чистий'!N171</f>
        <v>195350</v>
      </c>
      <c r="O185" s="179">
        <f>'dod3'!O184-'dod3 квітень чистий'!O171</f>
        <v>195350</v>
      </c>
      <c r="P185" s="179">
        <f>'dod3'!P184-'dod3 квітень чистий'!P171</f>
        <v>83351.600000000093</v>
      </c>
    </row>
    <row r="186" spans="1:18" ht="91.5" x14ac:dyDescent="0.2">
      <c r="A186" s="588" t="s">
        <v>496</v>
      </c>
      <c r="B186" s="588" t="s">
        <v>497</v>
      </c>
      <c r="C186" s="588" t="s">
        <v>324</v>
      </c>
      <c r="D186" s="588" t="s">
        <v>494</v>
      </c>
      <c r="E186" s="179">
        <f>'dod3'!E185-'dod3 квітень чистий'!E172</f>
        <v>-111998.39999999991</v>
      </c>
      <c r="F186" s="179">
        <f>'dod3'!F185-'dod3 квітень чистий'!F172</f>
        <v>-111998.39999999991</v>
      </c>
      <c r="G186" s="179">
        <f>'dod3'!G185-'dod3 квітень чистий'!G172</f>
        <v>0</v>
      </c>
      <c r="H186" s="179">
        <f>'dod3'!H185-'dod3 квітень чистий'!H172</f>
        <v>0</v>
      </c>
      <c r="I186" s="179">
        <f>'dod3'!I185-'dod3 квітень чистий'!I172</f>
        <v>0</v>
      </c>
      <c r="J186" s="179">
        <f>'dod3'!J185-'dod3 квітень чистий'!J172</f>
        <v>195350</v>
      </c>
      <c r="K186" s="179">
        <f>'dod3'!K185-'dod3 квітень чистий'!K172</f>
        <v>0</v>
      </c>
      <c r="L186" s="179">
        <f>'dod3'!L185-'dod3 квітень чистий'!L172</f>
        <v>0</v>
      </c>
      <c r="M186" s="179">
        <f>'dod3'!M185-'dod3 квітень чистий'!M172</f>
        <v>0</v>
      </c>
      <c r="N186" s="179">
        <f>'dod3'!N185-'dod3 квітень чистий'!N172</f>
        <v>195350</v>
      </c>
      <c r="O186" s="179">
        <f>'dod3'!O185-'dod3 квітень чистий'!O172</f>
        <v>195350</v>
      </c>
      <c r="P186" s="179">
        <f>'dod3'!P185-'dod3 квітень чистий'!P172</f>
        <v>83351.600000000093</v>
      </c>
    </row>
    <row r="187" spans="1:18" ht="180" x14ac:dyDescent="0.2">
      <c r="A187" s="277" t="s">
        <v>318</v>
      </c>
      <c r="B187" s="277"/>
      <c r="C187" s="277"/>
      <c r="D187" s="277" t="s">
        <v>72</v>
      </c>
      <c r="E187" s="243">
        <f>E188</f>
        <v>0</v>
      </c>
      <c r="F187" s="243">
        <f t="shared" ref="F187:P187" si="32">F188</f>
        <v>0</v>
      </c>
      <c r="G187" s="243">
        <f t="shared" si="32"/>
        <v>0</v>
      </c>
      <c r="H187" s="243">
        <f t="shared" si="32"/>
        <v>0</v>
      </c>
      <c r="I187" s="243">
        <f t="shared" si="32"/>
        <v>0</v>
      </c>
      <c r="J187" s="243">
        <f t="shared" si="32"/>
        <v>0</v>
      </c>
      <c r="K187" s="243">
        <f t="shared" si="32"/>
        <v>0</v>
      </c>
      <c r="L187" s="243">
        <f t="shared" si="32"/>
        <v>0</v>
      </c>
      <c r="M187" s="243">
        <f t="shared" si="32"/>
        <v>0</v>
      </c>
      <c r="N187" s="243">
        <f t="shared" si="32"/>
        <v>0</v>
      </c>
      <c r="O187" s="244">
        <f t="shared" si="32"/>
        <v>0</v>
      </c>
      <c r="P187" s="243">
        <f t="shared" si="32"/>
        <v>0</v>
      </c>
    </row>
    <row r="188" spans="1:18" ht="180" x14ac:dyDescent="0.2">
      <c r="A188" s="280" t="s">
        <v>319</v>
      </c>
      <c r="B188" s="280"/>
      <c r="C188" s="280"/>
      <c r="D188" s="280" t="s">
        <v>97</v>
      </c>
      <c r="E188" s="244">
        <v>0</v>
      </c>
      <c r="F188" s="243">
        <f>F192+F193+F189</f>
        <v>0</v>
      </c>
      <c r="G188" s="244">
        <f>G192+G193+G189</f>
        <v>0</v>
      </c>
      <c r="H188" s="244">
        <f>H192+H193+H189</f>
        <v>0</v>
      </c>
      <c r="I188" s="243">
        <f>I192+I193+I189</f>
        <v>0</v>
      </c>
      <c r="J188" s="244">
        <f>K188+N188</f>
        <v>0</v>
      </c>
      <c r="K188" s="243">
        <f>K192+K193+K189</f>
        <v>0</v>
      </c>
      <c r="L188" s="244">
        <f>L192+L193+L189</f>
        <v>0</v>
      </c>
      <c r="M188" s="244">
        <f>M192+M193+M189</f>
        <v>0</v>
      </c>
      <c r="N188" s="243">
        <f>N192+N193+N189</f>
        <v>0</v>
      </c>
      <c r="O188" s="244">
        <f>O192+O193+O189</f>
        <v>0</v>
      </c>
      <c r="P188" s="244">
        <f>E188+J188</f>
        <v>0</v>
      </c>
      <c r="Q188" s="311"/>
      <c r="R188" s="325"/>
    </row>
    <row r="189" spans="1:18" ht="137.25" x14ac:dyDescent="0.2">
      <c r="A189" s="590" t="s">
        <v>583</v>
      </c>
      <c r="B189" s="590" t="s">
        <v>584</v>
      </c>
      <c r="C189" s="590"/>
      <c r="D189" s="590" t="s">
        <v>585</v>
      </c>
      <c r="E189" s="179">
        <f>'dod3'!E188-'dod3 квітень чистий'!E175</f>
        <v>0</v>
      </c>
      <c r="F189" s="179">
        <f>'dod3'!F188-'dod3 квітень чистий'!F175</f>
        <v>0</v>
      </c>
      <c r="G189" s="179">
        <f>'dod3'!G188-'dod3 квітень чистий'!G175</f>
        <v>0</v>
      </c>
      <c r="H189" s="179">
        <f>'dod3'!H188-'dod3 квітень чистий'!H175</f>
        <v>0</v>
      </c>
      <c r="I189" s="179">
        <f>'dod3'!I188-'dod3 квітень чистий'!I175</f>
        <v>0</v>
      </c>
      <c r="J189" s="179">
        <f>'dod3'!J188-'dod3 квітень чистий'!J175</f>
        <v>0</v>
      </c>
      <c r="K189" s="179">
        <f>'dod3'!K188-'dod3 квітень чистий'!K175</f>
        <v>0</v>
      </c>
      <c r="L189" s="179">
        <f>'dod3'!L188-'dod3 квітень чистий'!L175</f>
        <v>0</v>
      </c>
      <c r="M189" s="179">
        <f>'dod3'!M188-'dod3 квітень чистий'!M175</f>
        <v>0</v>
      </c>
      <c r="N189" s="179">
        <f>'dod3'!N188-'dod3 квітень чистий'!N175</f>
        <v>0</v>
      </c>
      <c r="O189" s="179">
        <f>'dod3'!O188-'dod3 квітень чистий'!O175</f>
        <v>0</v>
      </c>
      <c r="P189" s="179">
        <f>'dod3'!P188-'dod3 квітень чистий'!P175</f>
        <v>0</v>
      </c>
    </row>
    <row r="190" spans="1:18" ht="137.25" x14ac:dyDescent="0.2">
      <c r="A190" s="588" t="s">
        <v>586</v>
      </c>
      <c r="B190" s="588" t="s">
        <v>587</v>
      </c>
      <c r="C190" s="588" t="s">
        <v>119</v>
      </c>
      <c r="D190" s="588" t="s">
        <v>120</v>
      </c>
      <c r="E190" s="179">
        <f>'dod3'!E189-'dod3 квітень чистий'!E176</f>
        <v>0</v>
      </c>
      <c r="F190" s="179">
        <f>'dod3'!F189-'dod3 квітень чистий'!F176</f>
        <v>0</v>
      </c>
      <c r="G190" s="179">
        <f>'dod3'!G189-'dod3 квітень чистий'!G176</f>
        <v>0</v>
      </c>
      <c r="H190" s="179">
        <f>'dod3'!H189-'dod3 квітень чистий'!H176</f>
        <v>0</v>
      </c>
      <c r="I190" s="179">
        <f>'dod3'!I189-'dod3 квітень чистий'!I176</f>
        <v>0</v>
      </c>
      <c r="J190" s="179">
        <f>'dod3'!J189-'dod3 квітень чистий'!J176</f>
        <v>0</v>
      </c>
      <c r="K190" s="179">
        <f>'dod3'!K189-'dod3 квітень чистий'!K176</f>
        <v>0</v>
      </c>
      <c r="L190" s="179">
        <f>'dod3'!L189-'dod3 квітень чистий'!L176</f>
        <v>0</v>
      </c>
      <c r="M190" s="179">
        <f>'dod3'!M189-'dod3 квітень чистий'!M176</f>
        <v>0</v>
      </c>
      <c r="N190" s="179">
        <f>'dod3'!N189-'dod3 квітень чистий'!N176</f>
        <v>0</v>
      </c>
      <c r="O190" s="179">
        <f>'dod3'!O189-'dod3 квітень чистий'!O176</f>
        <v>0</v>
      </c>
      <c r="P190" s="179">
        <f>'dod3'!P189-'dod3 квітень чистий'!P176</f>
        <v>0</v>
      </c>
    </row>
    <row r="191" spans="1:18" ht="46.5" x14ac:dyDescent="0.2">
      <c r="A191" s="588" t="s">
        <v>588</v>
      </c>
      <c r="B191" s="588" t="s">
        <v>589</v>
      </c>
      <c r="C191" s="588" t="s">
        <v>121</v>
      </c>
      <c r="D191" s="588" t="s">
        <v>590</v>
      </c>
      <c r="E191" s="179">
        <f>'dod3'!E190-'dod3 квітень чистий'!E177</f>
        <v>0</v>
      </c>
      <c r="F191" s="179">
        <f>'dod3'!F190-'dod3 квітень чистий'!F177</f>
        <v>0</v>
      </c>
      <c r="G191" s="179">
        <f>'dod3'!G190-'dod3 квітень чистий'!G177</f>
        <v>0</v>
      </c>
      <c r="H191" s="179">
        <f>'dod3'!H190-'dod3 квітень чистий'!H177</f>
        <v>0</v>
      </c>
      <c r="I191" s="179">
        <f>'dod3'!I190-'dod3 квітень чистий'!I177</f>
        <v>0</v>
      </c>
      <c r="J191" s="179">
        <f>'dod3'!J190-'dod3 квітень чистий'!J177</f>
        <v>0</v>
      </c>
      <c r="K191" s="179">
        <f>'dod3'!K190-'dod3 квітень чистий'!K177</f>
        <v>0</v>
      </c>
      <c r="L191" s="179">
        <f>'dod3'!L190-'dod3 квітень чистий'!L177</f>
        <v>0</v>
      </c>
      <c r="M191" s="179">
        <f>'dod3'!M190-'dod3 квітень чистий'!M177</f>
        <v>0</v>
      </c>
      <c r="N191" s="179">
        <f>'dod3'!N190-'dod3 квітень чистий'!N177</f>
        <v>0</v>
      </c>
      <c r="O191" s="179">
        <f>'dod3'!O190-'dod3 квітень чистий'!O177</f>
        <v>0</v>
      </c>
      <c r="P191" s="179">
        <f>'dod3'!P190-'dod3 квітень чистий'!P177</f>
        <v>0</v>
      </c>
    </row>
    <row r="192" spans="1:18" ht="91.5" x14ac:dyDescent="0.2">
      <c r="A192" s="590" t="s">
        <v>591</v>
      </c>
      <c r="B192" s="590" t="s">
        <v>592</v>
      </c>
      <c r="C192" s="590" t="s">
        <v>123</v>
      </c>
      <c r="D192" s="590" t="s">
        <v>130</v>
      </c>
      <c r="E192" s="179">
        <f>'dod3'!E191-'dod3 квітень чистий'!E178</f>
        <v>0</v>
      </c>
      <c r="F192" s="179">
        <f>'dod3'!F191-'dod3 квітень чистий'!F178</f>
        <v>0</v>
      </c>
      <c r="G192" s="179">
        <f>'dod3'!G191-'dod3 квітень чистий'!G178</f>
        <v>0</v>
      </c>
      <c r="H192" s="179">
        <f>'dod3'!H191-'dod3 квітень чистий'!H178</f>
        <v>0</v>
      </c>
      <c r="I192" s="179">
        <f>'dod3'!I191-'dod3 квітень чистий'!I178</f>
        <v>0</v>
      </c>
      <c r="J192" s="179">
        <f>'dod3'!J191-'dod3 квітень чистий'!J178</f>
        <v>0</v>
      </c>
      <c r="K192" s="179">
        <f>'dod3'!K191-'dod3 квітень чистий'!K178</f>
        <v>0</v>
      </c>
      <c r="L192" s="179">
        <f>'dod3'!L191-'dod3 квітень чистий'!L178</f>
        <v>0</v>
      </c>
      <c r="M192" s="179">
        <f>'dod3'!M191-'dod3 квітень чистий'!M178</f>
        <v>0</v>
      </c>
      <c r="N192" s="179">
        <f>'dod3'!N191-'dod3 квітень чистий'!N178</f>
        <v>0</v>
      </c>
      <c r="O192" s="179">
        <f>'dod3'!O191-'dod3 квітень чистий'!O178</f>
        <v>0</v>
      </c>
      <c r="P192" s="179">
        <f>'dod3'!P191-'dod3 квітень чистий'!P178</f>
        <v>0</v>
      </c>
    </row>
    <row r="193" spans="1:18" ht="91.5" x14ac:dyDescent="0.2">
      <c r="A193" s="590" t="s">
        <v>593</v>
      </c>
      <c r="B193" s="590" t="s">
        <v>594</v>
      </c>
      <c r="C193" s="590" t="s">
        <v>122</v>
      </c>
      <c r="D193" s="590" t="s">
        <v>595</v>
      </c>
      <c r="E193" s="179">
        <f>'dod3'!E192-'dod3 квітень чистий'!E179</f>
        <v>0</v>
      </c>
      <c r="F193" s="179">
        <f>'dod3'!F192-'dod3 квітень чистий'!F179</f>
        <v>0</v>
      </c>
      <c r="G193" s="179">
        <f>'dod3'!G192-'dod3 квітень чистий'!G179</f>
        <v>0</v>
      </c>
      <c r="H193" s="179">
        <f>'dod3'!H192-'dod3 квітень чистий'!H179</f>
        <v>0</v>
      </c>
      <c r="I193" s="179">
        <f>'dod3'!I192-'dod3 квітень чистий'!I179</f>
        <v>0</v>
      </c>
      <c r="J193" s="179">
        <f>'dod3'!J192-'dod3 квітень чистий'!J179</f>
        <v>0</v>
      </c>
      <c r="K193" s="179">
        <f>'dod3'!K192-'dod3 квітень чистий'!K179</f>
        <v>0</v>
      </c>
      <c r="L193" s="179">
        <f>'dod3'!L192-'dod3 квітень чистий'!L179</f>
        <v>0</v>
      </c>
      <c r="M193" s="179">
        <f>'dod3'!M192-'dod3 квітень чистий'!M179</f>
        <v>0</v>
      </c>
      <c r="N193" s="179">
        <f>'dod3'!N192-'dod3 квітень чистий'!N179</f>
        <v>0</v>
      </c>
      <c r="O193" s="179">
        <f>'dod3'!O192-'dod3 квітень чистий'!O179</f>
        <v>0</v>
      </c>
      <c r="P193" s="179">
        <f>'dod3'!P192-'dod3 квітень чистий'!P179</f>
        <v>0</v>
      </c>
    </row>
    <row r="194" spans="1:18" ht="315" x14ac:dyDescent="0.2">
      <c r="A194" s="277" t="s">
        <v>316</v>
      </c>
      <c r="B194" s="277"/>
      <c r="C194" s="277"/>
      <c r="D194" s="277" t="s">
        <v>766</v>
      </c>
      <c r="E194" s="243">
        <f>E195</f>
        <v>0</v>
      </c>
      <c r="F194" s="243">
        <f t="shared" ref="F194:P194" si="33">F195</f>
        <v>0</v>
      </c>
      <c r="G194" s="243">
        <f t="shared" si="33"/>
        <v>0</v>
      </c>
      <c r="H194" s="243">
        <f t="shared" si="33"/>
        <v>0</v>
      </c>
      <c r="I194" s="243">
        <f t="shared" si="33"/>
        <v>0</v>
      </c>
      <c r="J194" s="243">
        <f t="shared" si="33"/>
        <v>-1405000</v>
      </c>
      <c r="K194" s="243">
        <f t="shared" si="33"/>
        <v>0</v>
      </c>
      <c r="L194" s="243">
        <f t="shared" si="33"/>
        <v>0</v>
      </c>
      <c r="M194" s="243">
        <f t="shared" si="33"/>
        <v>0</v>
      </c>
      <c r="N194" s="243">
        <f t="shared" si="33"/>
        <v>-1405000</v>
      </c>
      <c r="O194" s="244">
        <f t="shared" si="33"/>
        <v>-1405000</v>
      </c>
      <c r="P194" s="243">
        <f t="shared" si="33"/>
        <v>-1405000</v>
      </c>
    </row>
    <row r="195" spans="1:18" ht="315" x14ac:dyDescent="0.2">
      <c r="A195" s="280" t="s">
        <v>317</v>
      </c>
      <c r="B195" s="280"/>
      <c r="C195" s="280"/>
      <c r="D195" s="280" t="s">
        <v>767</v>
      </c>
      <c r="E195" s="244">
        <f>E196+E197</f>
        <v>0</v>
      </c>
      <c r="F195" s="243">
        <f>F196+F197</f>
        <v>0</v>
      </c>
      <c r="G195" s="244">
        <f>G196+G197</f>
        <v>0</v>
      </c>
      <c r="H195" s="244">
        <f>H196+H197</f>
        <v>0</v>
      </c>
      <c r="I195" s="243">
        <f>I196+I197</f>
        <v>0</v>
      </c>
      <c r="J195" s="244">
        <f>K195+N195</f>
        <v>-1405000</v>
      </c>
      <c r="K195" s="243">
        <f>K196+K197</f>
        <v>0</v>
      </c>
      <c r="L195" s="244">
        <f>L196+L197</f>
        <v>0</v>
      </c>
      <c r="M195" s="244">
        <f>M196+M197</f>
        <v>0</v>
      </c>
      <c r="N195" s="243">
        <f>O195</f>
        <v>-1405000</v>
      </c>
      <c r="O195" s="244">
        <f>O196+O197</f>
        <v>-1405000</v>
      </c>
      <c r="P195" s="244">
        <f>+J195+E195</f>
        <v>-1405000</v>
      </c>
      <c r="Q195" s="311"/>
      <c r="R195" s="325"/>
    </row>
    <row r="196" spans="1:18" ht="91.5" x14ac:dyDescent="0.2">
      <c r="A196" s="590" t="s">
        <v>577</v>
      </c>
      <c r="B196" s="590" t="s">
        <v>578</v>
      </c>
      <c r="C196" s="590" t="s">
        <v>579</v>
      </c>
      <c r="D196" s="590" t="s">
        <v>576</v>
      </c>
      <c r="E196" s="179">
        <f>'dod3'!E195-'dod3 квітень чистий'!E182</f>
        <v>0</v>
      </c>
      <c r="F196" s="179">
        <f>'dod3'!F195-'dod3 квітень чистий'!F182</f>
        <v>0</v>
      </c>
      <c r="G196" s="179">
        <f>'dod3'!G195-'dod3 квітень чистий'!G182</f>
        <v>0</v>
      </c>
      <c r="H196" s="179">
        <f>'dod3'!H195-'dod3 квітень чистий'!H182</f>
        <v>0</v>
      </c>
      <c r="I196" s="179">
        <f>'dod3'!I195-'dod3 квітень чистий'!I182</f>
        <v>0</v>
      </c>
      <c r="J196" s="179">
        <f>'dod3'!J195-'dod3 квітень чистий'!J182</f>
        <v>-1405000</v>
      </c>
      <c r="K196" s="179">
        <f>'dod3'!K195-'dod3 квітень чистий'!K182</f>
        <v>0</v>
      </c>
      <c r="L196" s="179">
        <f>'dod3'!L195-'dod3 квітень чистий'!L182</f>
        <v>0</v>
      </c>
      <c r="M196" s="179">
        <f>'dod3'!M195-'dod3 квітень чистий'!M182</f>
        <v>0</v>
      </c>
      <c r="N196" s="179">
        <f>'dod3'!N195-'dod3 квітень чистий'!N182</f>
        <v>-1405000</v>
      </c>
      <c r="O196" s="179">
        <f>'dod3'!O195-'dod3 квітень чистий'!O182</f>
        <v>-1405000</v>
      </c>
      <c r="P196" s="179">
        <f>'dod3'!P195-'dod3 квітень чистий'!P182</f>
        <v>-1405000</v>
      </c>
    </row>
    <row r="197" spans="1:18" ht="137.25" x14ac:dyDescent="0.2">
      <c r="A197" s="590" t="s">
        <v>839</v>
      </c>
      <c r="B197" s="590" t="s">
        <v>840</v>
      </c>
      <c r="C197" s="590" t="s">
        <v>324</v>
      </c>
      <c r="D197" s="590" t="s">
        <v>841</v>
      </c>
      <c r="E197" s="179">
        <f>'dod3'!E196-'dod3 квітень чистий'!E183</f>
        <v>0</v>
      </c>
      <c r="F197" s="179">
        <f>'dod3'!F196-'dod3 квітень чистий'!F183</f>
        <v>0</v>
      </c>
      <c r="G197" s="179">
        <f>'dod3'!G196-'dod3 квітень чистий'!G183</f>
        <v>0</v>
      </c>
      <c r="H197" s="179">
        <f>'dod3'!H196-'dod3 квітень чистий'!H183</f>
        <v>0</v>
      </c>
      <c r="I197" s="179">
        <f>'dod3'!I196-'dod3 квітень чистий'!I183</f>
        <v>0</v>
      </c>
      <c r="J197" s="179">
        <f>'dod3'!J196-'dod3 квітень чистий'!J183</f>
        <v>0</v>
      </c>
      <c r="K197" s="179">
        <f>'dod3'!K196-'dod3 квітень чистий'!K183</f>
        <v>0</v>
      </c>
      <c r="L197" s="179">
        <f>'dod3'!L196-'dod3 квітень чистий'!L183</f>
        <v>0</v>
      </c>
      <c r="M197" s="179">
        <f>'dod3'!M196-'dod3 квітень чистий'!M183</f>
        <v>0</v>
      </c>
      <c r="N197" s="179">
        <f>'dod3'!N196-'dod3 квітень чистий'!N183</f>
        <v>0</v>
      </c>
      <c r="O197" s="179">
        <f>'dod3'!O196-'dod3 квітень чистий'!O183</f>
        <v>0</v>
      </c>
      <c r="P197" s="179">
        <f>'dod3'!P196-'dod3 квітень чистий'!P183</f>
        <v>0</v>
      </c>
    </row>
    <row r="198" spans="1:18" ht="135" x14ac:dyDescent="0.2">
      <c r="A198" s="277" t="s">
        <v>322</v>
      </c>
      <c r="B198" s="277"/>
      <c r="C198" s="277"/>
      <c r="D198" s="277" t="s">
        <v>74</v>
      </c>
      <c r="E198" s="243">
        <f>E199</f>
        <v>-120000</v>
      </c>
      <c r="F198" s="243">
        <f t="shared" ref="F198:P198" si="34">F199</f>
        <v>-120000</v>
      </c>
      <c r="G198" s="243">
        <f t="shared" si="34"/>
        <v>0</v>
      </c>
      <c r="H198" s="243">
        <f t="shared" si="34"/>
        <v>0</v>
      </c>
      <c r="I198" s="243">
        <f t="shared" si="34"/>
        <v>0</v>
      </c>
      <c r="J198" s="243">
        <f t="shared" si="34"/>
        <v>0</v>
      </c>
      <c r="K198" s="243">
        <f t="shared" si="34"/>
        <v>0</v>
      </c>
      <c r="L198" s="243">
        <f t="shared" si="34"/>
        <v>0</v>
      </c>
      <c r="M198" s="243">
        <f t="shared" si="34"/>
        <v>0</v>
      </c>
      <c r="N198" s="243">
        <f t="shared" si="34"/>
        <v>0</v>
      </c>
      <c r="O198" s="244">
        <f t="shared" si="34"/>
        <v>0</v>
      </c>
      <c r="P198" s="243">
        <f t="shared" si="34"/>
        <v>-120000</v>
      </c>
    </row>
    <row r="199" spans="1:18" ht="135" x14ac:dyDescent="0.2">
      <c r="A199" s="280" t="s">
        <v>323</v>
      </c>
      <c r="B199" s="280"/>
      <c r="C199" s="280"/>
      <c r="D199" s="280" t="s">
        <v>98</v>
      </c>
      <c r="E199" s="244">
        <f>E201+E200+E202</f>
        <v>-120000</v>
      </c>
      <c r="F199" s="243">
        <f>F201+F200+F202</f>
        <v>-120000</v>
      </c>
      <c r="G199" s="244">
        <f>SUM(G200:G202)</f>
        <v>0</v>
      </c>
      <c r="H199" s="244">
        <f>SUM(H200:H202)</f>
        <v>0</v>
      </c>
      <c r="I199" s="243">
        <v>0</v>
      </c>
      <c r="J199" s="244">
        <f>K199+N199</f>
        <v>0</v>
      </c>
      <c r="K199" s="243">
        <f>SUM(K200:K200)</f>
        <v>0</v>
      </c>
      <c r="L199" s="244">
        <f>SUM(L200:L202)</f>
        <v>0</v>
      </c>
      <c r="M199" s="244">
        <f>SUM(M200:M202)</f>
        <v>0</v>
      </c>
      <c r="N199" s="243">
        <f>SUM(N200:N200)</f>
        <v>0</v>
      </c>
      <c r="O199" s="244">
        <f>SUM(O200:O200)</f>
        <v>0</v>
      </c>
      <c r="P199" s="244">
        <f>E199+J199</f>
        <v>-120000</v>
      </c>
      <c r="Q199" s="311"/>
      <c r="R199" s="325"/>
    </row>
    <row r="200" spans="1:18" ht="91.5" x14ac:dyDescent="0.2">
      <c r="A200" s="335">
        <v>3718600</v>
      </c>
      <c r="B200" s="335">
        <v>8600</v>
      </c>
      <c r="C200" s="590" t="s">
        <v>781</v>
      </c>
      <c r="D200" s="335" t="s">
        <v>782</v>
      </c>
      <c r="E200" s="179">
        <f>'dod3'!E199-'dod3 квітень чистий'!E187</f>
        <v>0</v>
      </c>
      <c r="F200" s="179">
        <f>'dod3'!F199-'dod3 квітень чистий'!F187</f>
        <v>0</v>
      </c>
      <c r="G200" s="179">
        <f>'dod3'!G199-'dod3 квітень чистий'!G187</f>
        <v>0</v>
      </c>
      <c r="H200" s="179">
        <f>'dod3'!H199-'dod3 квітень чистий'!H187</f>
        <v>0</v>
      </c>
      <c r="I200" s="179">
        <f>'dod3'!I199-'dod3 квітень чистий'!I187</f>
        <v>0</v>
      </c>
      <c r="J200" s="179">
        <f>'dod3'!J199-'dod3 квітень чистий'!J187</f>
        <v>0</v>
      </c>
      <c r="K200" s="179">
        <f>'dod3'!K199-'dod3 квітень чистий'!K187</f>
        <v>0</v>
      </c>
      <c r="L200" s="179">
        <f>'dod3'!L199-'dod3 квітень чистий'!L187</f>
        <v>0</v>
      </c>
      <c r="M200" s="179">
        <f>'dod3'!M199-'dod3 квітень чистий'!M187</f>
        <v>0</v>
      </c>
      <c r="N200" s="179">
        <f>'dod3'!N199-'dod3 квітень чистий'!N187</f>
        <v>0</v>
      </c>
      <c r="O200" s="179">
        <f>'dod3'!O199-'dod3 квітень чистий'!O187</f>
        <v>0</v>
      </c>
      <c r="P200" s="179">
        <f>'dod3'!P199-'dod3 квітень чистий'!P187</f>
        <v>0</v>
      </c>
    </row>
    <row r="201" spans="1:18" ht="69" customHeight="1" x14ac:dyDescent="0.2">
      <c r="A201" s="335">
        <v>3718700</v>
      </c>
      <c r="B201" s="335">
        <v>8700</v>
      </c>
      <c r="C201" s="590" t="s">
        <v>102</v>
      </c>
      <c r="D201" s="309" t="s">
        <v>100</v>
      </c>
      <c r="E201" s="179">
        <f>'dod3'!E200-'dod3 квітень чистий'!E186</f>
        <v>-120000</v>
      </c>
      <c r="F201" s="179">
        <f>'dod3'!F200-'dod3 квітень чистий'!F186</f>
        <v>-120000</v>
      </c>
      <c r="G201" s="179">
        <f>'dod3'!G200-'dod3 квітень чистий'!G186</f>
        <v>0</v>
      </c>
      <c r="H201" s="179">
        <f>'dod3'!H200-'dod3 квітень чистий'!H186</f>
        <v>0</v>
      </c>
      <c r="I201" s="179">
        <f>'dod3'!I200-'dod3 квітень чистий'!I186</f>
        <v>0</v>
      </c>
      <c r="J201" s="179">
        <f>'dod3'!J200-'dod3 квітень чистий'!J186</f>
        <v>0</v>
      </c>
      <c r="K201" s="179">
        <f>'dod3'!K200-'dod3 квітень чистий'!K186</f>
        <v>0</v>
      </c>
      <c r="L201" s="179">
        <f>'dod3'!L200-'dod3 квітень чистий'!L186</f>
        <v>0</v>
      </c>
      <c r="M201" s="179">
        <f>'dod3'!M200-'dod3 квітень чистий'!M186</f>
        <v>0</v>
      </c>
      <c r="N201" s="179">
        <f>'dod3'!N200-'dod3 квітень чистий'!N186</f>
        <v>0</v>
      </c>
      <c r="O201" s="179">
        <f>'dod3'!O200-'dod3 квітень чистий'!O186</f>
        <v>0</v>
      </c>
      <c r="P201" s="179">
        <f>'dod3'!P200-'dod3 квітень чистий'!P186</f>
        <v>-120000</v>
      </c>
    </row>
    <row r="202" spans="1:18" ht="65.25" customHeight="1" x14ac:dyDescent="0.2">
      <c r="A202" s="335">
        <v>3719110</v>
      </c>
      <c r="B202" s="335">
        <v>9110</v>
      </c>
      <c r="C202" s="590" t="s">
        <v>103</v>
      </c>
      <c r="D202" s="309" t="s">
        <v>101</v>
      </c>
      <c r="E202" s="179">
        <f>'dod3'!E201-'dod3 квітень чистий'!E188</f>
        <v>0</v>
      </c>
      <c r="F202" s="179">
        <f>'dod3'!F201-'dod3 квітень чистий'!F188</f>
        <v>0</v>
      </c>
      <c r="G202" s="179">
        <f>'dod3'!G201-'dod3 квітень чистий'!G188</f>
        <v>0</v>
      </c>
      <c r="H202" s="179">
        <f>'dod3'!H201-'dod3 квітень чистий'!H188</f>
        <v>0</v>
      </c>
      <c r="I202" s="179">
        <f>'dod3'!I201-'dod3 квітень чистий'!I188</f>
        <v>0</v>
      </c>
      <c r="J202" s="179">
        <f>'dod3'!J201-'dod3 квітень чистий'!J188</f>
        <v>0</v>
      </c>
      <c r="K202" s="179">
        <f>'dod3'!K201-'dod3 квітень чистий'!K188</f>
        <v>0</v>
      </c>
      <c r="L202" s="179">
        <f>'dod3'!L201-'dod3 квітень чистий'!L188</f>
        <v>0</v>
      </c>
      <c r="M202" s="179">
        <f>'dod3'!M201-'dod3 квітень чистий'!M188</f>
        <v>0</v>
      </c>
      <c r="N202" s="179">
        <f>'dod3'!N201-'dod3 квітень чистий'!N188</f>
        <v>0</v>
      </c>
      <c r="O202" s="179">
        <f>'dod3'!O201-'dod3 квітень чистий'!O188</f>
        <v>0</v>
      </c>
      <c r="P202" s="179">
        <f>'dod3'!P201-'dod3 квітень чистий'!P188</f>
        <v>0</v>
      </c>
    </row>
    <row r="203" spans="1:18" s="5" customFormat="1" ht="81.75" customHeight="1" x14ac:dyDescent="0.55000000000000004">
      <c r="A203" s="731" t="s">
        <v>8</v>
      </c>
      <c r="B203" s="731"/>
      <c r="C203" s="731"/>
      <c r="D203" s="731"/>
      <c r="E203" s="249">
        <f>E13+E31+E124+E45+E60+E112+E149+E171+E178+E199+E181+E188+E195</f>
        <v>57802938.869999997</v>
      </c>
      <c r="F203" s="250">
        <f>F13+F31+F124+F45+F59+F112+F149+F171+F178+F199+F181+F188+F195</f>
        <v>57802938.869999997</v>
      </c>
      <c r="G203" s="249">
        <f t="shared" ref="G203:O203" si="35">G13+G31+G124+G45+G60+G112+G149+G171+G178+G199+G181+G188+G195</f>
        <v>12509050</v>
      </c>
      <c r="H203" s="249">
        <f t="shared" si="35"/>
        <v>171177</v>
      </c>
      <c r="I203" s="250">
        <f t="shared" si="35"/>
        <v>0</v>
      </c>
      <c r="J203" s="249">
        <f t="shared" si="35"/>
        <v>49250896.759999998</v>
      </c>
      <c r="K203" s="250">
        <f t="shared" si="35"/>
        <v>2749871</v>
      </c>
      <c r="L203" s="249">
        <f t="shared" si="35"/>
        <v>709932</v>
      </c>
      <c r="M203" s="249">
        <f t="shared" si="35"/>
        <v>1384334</v>
      </c>
      <c r="N203" s="250">
        <f t="shared" si="35"/>
        <v>46501025.759999998</v>
      </c>
      <c r="O203" s="249">
        <f t="shared" si="35"/>
        <v>47399036.759999998</v>
      </c>
      <c r="P203" s="249">
        <f>P13+P31+P124+P45+P59+P112+P149+P171+P178+P199+P181+P188+P195</f>
        <v>107053835.63</v>
      </c>
      <c r="Q203" s="182"/>
    </row>
    <row r="204" spans="1:18" ht="31.5" customHeight="1" x14ac:dyDescent="0.2">
      <c r="A204" s="732" t="s">
        <v>574</v>
      </c>
      <c r="B204" s="733"/>
      <c r="C204" s="733"/>
      <c r="D204" s="733"/>
      <c r="E204" s="733"/>
      <c r="F204" s="733"/>
      <c r="G204" s="733"/>
      <c r="H204" s="733"/>
      <c r="I204" s="733"/>
      <c r="J204" s="733"/>
      <c r="K204" s="733"/>
      <c r="L204" s="733"/>
      <c r="M204" s="733"/>
      <c r="N204" s="733"/>
      <c r="O204" s="733"/>
      <c r="P204" s="733"/>
      <c r="Q204" s="24"/>
    </row>
    <row r="205" spans="1:18" ht="31.5" customHeight="1" x14ac:dyDescent="0.2">
      <c r="A205" s="198"/>
      <c r="B205" s="199"/>
      <c r="C205" s="199"/>
      <c r="D205" s="199"/>
      <c r="E205" s="199"/>
      <c r="F205" s="200"/>
      <c r="G205" s="199"/>
      <c r="H205" s="199"/>
      <c r="I205" s="200"/>
      <c r="J205" s="199"/>
      <c r="K205" s="200"/>
      <c r="L205" s="199"/>
      <c r="M205" s="199"/>
      <c r="N205" s="200"/>
      <c r="O205" s="199"/>
      <c r="P205" s="199"/>
      <c r="Q205" s="24"/>
    </row>
    <row r="206" spans="1:18" ht="61.5" customHeight="1" x14ac:dyDescent="0.65">
      <c r="A206" s="594"/>
      <c r="B206" s="594"/>
      <c r="C206" s="594"/>
      <c r="D206" s="734" t="s">
        <v>290</v>
      </c>
      <c r="E206" s="734"/>
      <c r="F206" s="734"/>
      <c r="G206" s="734"/>
      <c r="H206" s="734"/>
      <c r="I206" s="734"/>
      <c r="J206" s="734"/>
      <c r="K206" s="734"/>
      <c r="L206" s="734"/>
      <c r="M206" s="734"/>
      <c r="N206" s="734"/>
      <c r="O206" s="734"/>
      <c r="P206" s="734"/>
      <c r="Q206" s="25"/>
    </row>
    <row r="207" spans="1:18" ht="45.75" x14ac:dyDescent="0.2">
      <c r="E207" s="57"/>
      <c r="F207" s="12"/>
      <c r="J207" s="10"/>
      <c r="N207" s="52"/>
      <c r="O207" s="56"/>
      <c r="P207" s="48"/>
    </row>
    <row r="208" spans="1:18" ht="45" x14ac:dyDescent="0.55000000000000004">
      <c r="D208" s="7"/>
      <c r="E208" s="51"/>
      <c r="F208" s="230"/>
      <c r="H208" s="7"/>
      <c r="I208" s="205"/>
      <c r="J208" s="51"/>
      <c r="N208" s="205"/>
      <c r="O208" s="51"/>
      <c r="P208" s="51"/>
      <c r="Q208" s="26"/>
    </row>
    <row r="209" spans="1:18" x14ac:dyDescent="0.2">
      <c r="E209" s="8"/>
      <c r="F209" s="12"/>
      <c r="J209" s="8"/>
      <c r="O209" s="6"/>
    </row>
    <row r="210" spans="1:18" x14ac:dyDescent="0.2">
      <c r="E210" s="8"/>
      <c r="F210" s="12"/>
      <c r="J210" s="8"/>
    </row>
    <row r="211" spans="1:18" ht="45.75" x14ac:dyDescent="0.55000000000000004">
      <c r="E211" s="48"/>
      <c r="F211" s="50"/>
      <c r="G211" s="6"/>
      <c r="I211" s="202"/>
      <c r="J211" s="187"/>
      <c r="K211" s="202"/>
      <c r="L211" s="186"/>
      <c r="M211" s="186"/>
      <c r="N211" s="206"/>
      <c r="O211" s="188"/>
      <c r="P211" s="182" t="b">
        <f>E203+J203=P203</f>
        <v>1</v>
      </c>
    </row>
    <row r="212" spans="1:18" ht="13.5" x14ac:dyDescent="0.2">
      <c r="E212" s="11"/>
      <c r="F212" s="14"/>
      <c r="G212" s="4"/>
      <c r="H212" s="4"/>
      <c r="I212" s="4"/>
      <c r="J212" s="8"/>
    </row>
    <row r="213" spans="1:18" ht="45.75" x14ac:dyDescent="0.2">
      <c r="A213"/>
      <c r="B213"/>
      <c r="C213"/>
      <c r="D213" s="266" t="s">
        <v>943</v>
      </c>
      <c r="E213" s="267" t="b">
        <f>E203=F203</f>
        <v>1</v>
      </c>
      <c r="F213" s="52">
        <f>F201/P203*100</f>
        <v>-0.11209313453722911</v>
      </c>
      <c r="G213" s="218" t="s">
        <v>650</v>
      </c>
      <c r="I213" s="266"/>
      <c r="J213" s="267"/>
      <c r="K213" s="203"/>
      <c r="L213"/>
      <c r="M213"/>
      <c r="N213" s="203"/>
      <c r="O213"/>
      <c r="P213"/>
    </row>
    <row r="214" spans="1:18" ht="60.75" x14ac:dyDescent="0.2">
      <c r="D214" s="266" t="s">
        <v>944</v>
      </c>
      <c r="E214" s="267" t="b">
        <f>G203=839900+735946698</f>
        <v>0</v>
      </c>
      <c r="G214" s="55"/>
      <c r="I214" s="266" t="s">
        <v>944</v>
      </c>
      <c r="J214" s="267" t="b">
        <f>L203=0+27261672</f>
        <v>0</v>
      </c>
      <c r="O214" s="218"/>
      <c r="P214" s="196">
        <v>45276575.630000003</v>
      </c>
      <c r="Q214" s="197"/>
      <c r="R214" s="196"/>
    </row>
    <row r="215" spans="1:18" ht="60.75" x14ac:dyDescent="0.2">
      <c r="A215"/>
      <c r="B215"/>
      <c r="C215"/>
      <c r="D215" s="266" t="s">
        <v>945</v>
      </c>
      <c r="E215" s="267" t="b">
        <f>H203=97533765+11500</f>
        <v>0</v>
      </c>
      <c r="F215" s="52"/>
      <c r="G215" s="6"/>
      <c r="I215" s="266" t="s">
        <v>945</v>
      </c>
      <c r="J215" s="267" t="b">
        <f>M203=0+7617512</f>
        <v>0</v>
      </c>
      <c r="K215" s="203"/>
      <c r="L215"/>
      <c r="M215"/>
      <c r="N215" s="203"/>
      <c r="O215" s="196"/>
      <c r="P215" s="196" t="e">
        <f>P203-#REF!</f>
        <v>#REF!</v>
      </c>
      <c r="Q215" s="197"/>
      <c r="R215" s="196"/>
    </row>
    <row r="216" spans="1:18" ht="60.75" x14ac:dyDescent="0.2">
      <c r="D216" s="266"/>
      <c r="E216" s="267"/>
      <c r="F216" s="54"/>
      <c r="O216" s="218"/>
      <c r="P216" s="196" t="e">
        <f>P214=P215</f>
        <v>#REF!</v>
      </c>
    </row>
    <row r="217" spans="1:18" ht="60.75" x14ac:dyDescent="0.75">
      <c r="A217"/>
      <c r="B217"/>
      <c r="C217"/>
      <c r="D217" s="266"/>
      <c r="E217" s="267"/>
      <c r="F217" s="52"/>
      <c r="G217" s="6"/>
      <c r="J217" s="8"/>
      <c r="K217" s="203"/>
      <c r="L217"/>
      <c r="M217"/>
      <c r="N217" s="203"/>
      <c r="O217" s="361"/>
      <c r="P217" s="196" t="e">
        <f>IF(P214=P215,TRUE,FALSE)</f>
        <v>#REF!</v>
      </c>
    </row>
    <row r="218" spans="1:18" ht="62.25" x14ac:dyDescent="0.8">
      <c r="A218"/>
      <c r="B218"/>
      <c r="C218"/>
      <c r="D218"/>
      <c r="E218" s="51"/>
      <c r="F218" s="52"/>
      <c r="J218" s="8"/>
      <c r="K218" s="203"/>
      <c r="L218"/>
      <c r="M218"/>
      <c r="N218" s="203"/>
      <c r="O218"/>
      <c r="P218" s="360"/>
    </row>
    <row r="219" spans="1:18" ht="45.75" x14ac:dyDescent="0.2">
      <c r="E219" s="53"/>
      <c r="F219" s="54"/>
    </row>
    <row r="220" spans="1:18" ht="45.75" x14ac:dyDescent="0.2">
      <c r="A220"/>
      <c r="B220"/>
      <c r="C220"/>
      <c r="D220"/>
      <c r="E220" s="51"/>
      <c r="F220" s="52"/>
      <c r="K220" s="203"/>
      <c r="L220"/>
      <c r="M220"/>
      <c r="N220" s="203"/>
      <c r="O220"/>
      <c r="P220"/>
    </row>
    <row r="221" spans="1:18" ht="45.75" x14ac:dyDescent="0.2">
      <c r="E221" s="53"/>
      <c r="F221" s="54"/>
    </row>
    <row r="222" spans="1:18" ht="45.75" x14ac:dyDescent="0.2">
      <c r="E222" s="53"/>
      <c r="F222" s="54"/>
    </row>
    <row r="223" spans="1:18" ht="45.75" x14ac:dyDescent="0.2">
      <c r="E223" s="53"/>
      <c r="F223" s="54"/>
    </row>
    <row r="224" spans="1:18" ht="45.75" x14ac:dyDescent="0.2">
      <c r="A224"/>
      <c r="B224"/>
      <c r="C224"/>
      <c r="D224"/>
      <c r="E224" s="53"/>
      <c r="F224" s="54"/>
      <c r="G224"/>
      <c r="H224"/>
      <c r="I224" s="203"/>
      <c r="J224"/>
      <c r="K224" s="203"/>
      <c r="L224"/>
      <c r="M224"/>
      <c r="N224" s="203"/>
      <c r="O224"/>
      <c r="P224"/>
    </row>
    <row r="225" spans="1:16" ht="45.75" x14ac:dyDescent="0.2">
      <c r="A225"/>
      <c r="B225"/>
      <c r="C225"/>
      <c r="D225"/>
      <c r="E225" s="53"/>
      <c r="F225" s="54"/>
      <c r="G225"/>
      <c r="H225"/>
      <c r="I225" s="203"/>
      <c r="J225"/>
      <c r="K225" s="203"/>
      <c r="L225"/>
      <c r="M225"/>
      <c r="N225" s="203"/>
      <c r="O225"/>
      <c r="P225"/>
    </row>
    <row r="226" spans="1:16" ht="45.75" x14ac:dyDescent="0.2">
      <c r="A226"/>
      <c r="B226"/>
      <c r="C226"/>
      <c r="D226"/>
      <c r="E226" s="53"/>
      <c r="F226" s="54"/>
      <c r="G226"/>
      <c r="H226"/>
      <c r="I226" s="203"/>
      <c r="J226"/>
      <c r="K226" s="203"/>
      <c r="L226"/>
      <c r="M226"/>
      <c r="N226" s="203"/>
      <c r="O226"/>
      <c r="P226"/>
    </row>
    <row r="227" spans="1:16" ht="45.75" x14ac:dyDescent="0.2">
      <c r="A227"/>
      <c r="B227"/>
      <c r="C227"/>
      <c r="D227"/>
      <c r="E227" s="53"/>
      <c r="F227" s="54"/>
      <c r="G227"/>
      <c r="H227"/>
      <c r="I227" s="203"/>
      <c r="J227"/>
      <c r="K227" s="203"/>
      <c r="L227"/>
      <c r="M227"/>
      <c r="N227" s="203"/>
      <c r="O227"/>
      <c r="P227"/>
    </row>
  </sheetData>
  <mergeCells count="83">
    <mergeCell ref="A203:D203"/>
    <mergeCell ref="A204:P204"/>
    <mergeCell ref="D206:P206"/>
    <mergeCell ref="K104:K105"/>
    <mergeCell ref="L104:L105"/>
    <mergeCell ref="M104:M105"/>
    <mergeCell ref="N104:N105"/>
    <mergeCell ref="O104:O105"/>
    <mergeCell ref="P104:P105"/>
    <mergeCell ref="P101:P103"/>
    <mergeCell ref="A104:A105"/>
    <mergeCell ref="B104:B105"/>
    <mergeCell ref="C104:C105"/>
    <mergeCell ref="E104:E105"/>
    <mergeCell ref="F104:F105"/>
    <mergeCell ref="G104:G105"/>
    <mergeCell ref="H104:H105"/>
    <mergeCell ref="I104:I105"/>
    <mergeCell ref="J104:J105"/>
    <mergeCell ref="J101:J103"/>
    <mergeCell ref="K101:K103"/>
    <mergeCell ref="L101:L103"/>
    <mergeCell ref="M101:M103"/>
    <mergeCell ref="N101:N103"/>
    <mergeCell ref="O101:O103"/>
    <mergeCell ref="O82:O83"/>
    <mergeCell ref="P82:P83"/>
    <mergeCell ref="A101:A103"/>
    <mergeCell ref="B101:B103"/>
    <mergeCell ref="C101:C103"/>
    <mergeCell ref="E101:E103"/>
    <mergeCell ref="F101:F103"/>
    <mergeCell ref="G101:G103"/>
    <mergeCell ref="H101:H103"/>
    <mergeCell ref="I101:I103"/>
    <mergeCell ref="I82:I83"/>
    <mergeCell ref="J82:J83"/>
    <mergeCell ref="K82:K83"/>
    <mergeCell ref="L82:L83"/>
    <mergeCell ref="M82:M83"/>
    <mergeCell ref="N82:N83"/>
    <mergeCell ref="G82:G83"/>
    <mergeCell ref="H82:H83"/>
    <mergeCell ref="H24:H25"/>
    <mergeCell ref="I24:I25"/>
    <mergeCell ref="J24:J25"/>
    <mergeCell ref="G24:G25"/>
    <mergeCell ref="A82:A83"/>
    <mergeCell ref="B82:B83"/>
    <mergeCell ref="C82:C83"/>
    <mergeCell ref="E82:E83"/>
    <mergeCell ref="F82:F83"/>
    <mergeCell ref="A24:A25"/>
    <mergeCell ref="B24:B25"/>
    <mergeCell ref="C24:C25"/>
    <mergeCell ref="E24:E25"/>
    <mergeCell ref="F24:F25"/>
    <mergeCell ref="J8:N8"/>
    <mergeCell ref="P8:P10"/>
    <mergeCell ref="E9:E10"/>
    <mergeCell ref="F9:F10"/>
    <mergeCell ref="G9:H9"/>
    <mergeCell ref="I9:I10"/>
    <mergeCell ref="J9:J10"/>
    <mergeCell ref="K9:K10"/>
    <mergeCell ref="L9:M9"/>
    <mergeCell ref="N9:N10"/>
    <mergeCell ref="N24:N25"/>
    <mergeCell ref="O24:O25"/>
    <mergeCell ref="P24:P25"/>
    <mergeCell ref="K24:K25"/>
    <mergeCell ref="L24:L25"/>
    <mergeCell ref="M24:M25"/>
    <mergeCell ref="N1:P1"/>
    <mergeCell ref="N2:P2"/>
    <mergeCell ref="N3:P3"/>
    <mergeCell ref="A5:P5"/>
    <mergeCell ref="A6:P6"/>
    <mergeCell ref="A8:A10"/>
    <mergeCell ref="B8:B10"/>
    <mergeCell ref="C8:C10"/>
    <mergeCell ref="D8:D10"/>
    <mergeCell ref="E8:I8"/>
  </mergeCells>
  <conditionalFormatting sqref="Q178:R178">
    <cfRule type="iconSet" priority="5">
      <iconSet iconSet="3Arrows">
        <cfvo type="percent" val="0"/>
        <cfvo type="percent" val="33"/>
        <cfvo type="percent" val="67"/>
      </iconSet>
    </cfRule>
  </conditionalFormatting>
  <conditionalFormatting sqref="Q181:R181">
    <cfRule type="iconSet" priority="4">
      <iconSet iconSet="3Arrows">
        <cfvo type="percent" val="0"/>
        <cfvo type="percent" val="33"/>
        <cfvo type="percent" val="67"/>
      </iconSet>
    </cfRule>
  </conditionalFormatting>
  <conditionalFormatting sqref="Q188:R188">
    <cfRule type="iconSet" priority="3">
      <iconSet iconSet="3Arrows">
        <cfvo type="percent" val="0"/>
        <cfvo type="percent" val="33"/>
        <cfvo type="percent" val="67"/>
      </iconSet>
    </cfRule>
  </conditionalFormatting>
  <conditionalFormatting sqref="Q199:R199">
    <cfRule type="iconSet" priority="2">
      <iconSet iconSet="3Arrows">
        <cfvo type="percent" val="0"/>
        <cfvo type="percent" val="33"/>
        <cfvo type="percent" val="67"/>
      </iconSet>
    </cfRule>
  </conditionalFormatting>
  <conditionalFormatting sqref="Q195:R195">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8" max="15" man="1"/>
    <brk id="51" max="15" man="1"/>
    <brk id="69" max="15" man="1"/>
    <brk id="88" max="15" man="1"/>
    <brk id="128" max="15" man="1"/>
    <brk id="153"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26"/>
  <sheetViews>
    <sheetView view="pageBreakPreview" zoomScale="25" zoomScaleNormal="25" zoomScaleSheetLayoutView="25" zoomScalePageLayoutView="10" workbookViewId="0">
      <pane ySplit="11" topLeftCell="A102" activePane="bottomLeft" state="frozen"/>
      <selection pane="bottomLeft" activeCell="Q203" sqref="Q203"/>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86.28515625" style="9" customWidth="1"/>
    <col min="17" max="17" width="31" customWidth="1"/>
    <col min="18" max="18" width="123" bestFit="1" customWidth="1"/>
    <col min="20" max="20" width="24.7109375" bestFit="1" customWidth="1"/>
  </cols>
  <sheetData>
    <row r="1" spans="1:18" ht="45.75" x14ac:dyDescent="0.2">
      <c r="D1" s="15"/>
      <c r="E1" s="16"/>
      <c r="F1" s="17"/>
      <c r="G1" s="18"/>
      <c r="H1" s="18"/>
      <c r="I1" s="18"/>
      <c r="J1" s="16"/>
      <c r="K1" s="18"/>
      <c r="L1" s="18"/>
      <c r="M1" s="18"/>
      <c r="N1" s="711" t="s">
        <v>129</v>
      </c>
      <c r="O1" s="711"/>
      <c r="P1" s="711"/>
    </row>
    <row r="2" spans="1:18" ht="45.75" x14ac:dyDescent="0.2">
      <c r="A2" s="15"/>
      <c r="B2" s="15"/>
      <c r="C2" s="15"/>
      <c r="D2" s="15"/>
      <c r="E2" s="16"/>
      <c r="F2" s="17"/>
      <c r="G2" s="18"/>
      <c r="H2" s="18"/>
      <c r="I2" s="18"/>
      <c r="J2" s="16"/>
      <c r="K2" s="18"/>
      <c r="L2" s="18"/>
      <c r="M2" s="18"/>
      <c r="N2" s="711" t="s">
        <v>895</v>
      </c>
      <c r="O2" s="712"/>
      <c r="P2" s="712"/>
    </row>
    <row r="3" spans="1:18" ht="40.5" customHeight="1" x14ac:dyDescent="0.2">
      <c r="A3" s="15"/>
      <c r="B3" s="15"/>
      <c r="C3" s="15"/>
      <c r="D3" s="15"/>
      <c r="E3" s="16"/>
      <c r="F3" s="17"/>
      <c r="G3" s="18"/>
      <c r="H3" s="18"/>
      <c r="I3" s="18"/>
      <c r="J3" s="16"/>
      <c r="K3" s="18"/>
      <c r="L3" s="18"/>
      <c r="M3" s="18"/>
      <c r="N3" s="711"/>
      <c r="O3" s="712"/>
      <c r="P3" s="712"/>
    </row>
    <row r="4" spans="1:18" ht="45.75" hidden="1" x14ac:dyDescent="0.2">
      <c r="A4" s="15"/>
      <c r="B4" s="15"/>
      <c r="C4" s="15"/>
      <c r="D4" s="15"/>
      <c r="E4" s="16"/>
      <c r="F4" s="17"/>
      <c r="G4" s="18"/>
      <c r="H4" s="18"/>
      <c r="I4" s="18"/>
      <c r="J4" s="16"/>
      <c r="K4" s="18"/>
      <c r="L4" s="18"/>
      <c r="M4" s="18"/>
      <c r="N4" s="204"/>
      <c r="O4" s="15"/>
      <c r="P4" s="19"/>
    </row>
    <row r="5" spans="1:18" ht="45" x14ac:dyDescent="0.2">
      <c r="A5" s="713" t="s">
        <v>128</v>
      </c>
      <c r="B5" s="713"/>
      <c r="C5" s="713"/>
      <c r="D5" s="713"/>
      <c r="E5" s="713"/>
      <c r="F5" s="713"/>
      <c r="G5" s="713"/>
      <c r="H5" s="713"/>
      <c r="I5" s="713"/>
      <c r="J5" s="713"/>
      <c r="K5" s="713"/>
      <c r="L5" s="713"/>
      <c r="M5" s="713"/>
      <c r="N5" s="713"/>
      <c r="O5" s="713"/>
      <c r="P5" s="713"/>
    </row>
    <row r="6" spans="1:18" ht="45" x14ac:dyDescent="0.2">
      <c r="A6" s="713" t="s">
        <v>641</v>
      </c>
      <c r="B6" s="713"/>
      <c r="C6" s="713"/>
      <c r="D6" s="713"/>
      <c r="E6" s="713"/>
      <c r="F6" s="713"/>
      <c r="G6" s="713"/>
      <c r="H6" s="713"/>
      <c r="I6" s="713"/>
      <c r="J6" s="713"/>
      <c r="K6" s="713"/>
      <c r="L6" s="713"/>
      <c r="M6" s="713"/>
      <c r="N6" s="713"/>
      <c r="O6" s="713"/>
      <c r="P6" s="713"/>
    </row>
    <row r="7" spans="1:18" ht="53.25" customHeight="1" x14ac:dyDescent="0.2">
      <c r="A7" s="16"/>
      <c r="B7" s="16"/>
      <c r="C7" s="16"/>
      <c r="D7" s="16"/>
      <c r="E7" s="16"/>
      <c r="F7" s="17"/>
      <c r="G7" s="16"/>
      <c r="H7" s="16"/>
      <c r="I7" s="18"/>
      <c r="J7" s="16"/>
      <c r="K7" s="18"/>
      <c r="L7" s="16"/>
      <c r="M7" s="16"/>
      <c r="N7" s="18"/>
      <c r="O7" s="16"/>
      <c r="P7" s="20" t="s">
        <v>134</v>
      </c>
    </row>
    <row r="8" spans="1:18" ht="62.25" customHeight="1" x14ac:dyDescent="0.2">
      <c r="A8" s="705" t="s">
        <v>41</v>
      </c>
      <c r="B8" s="705" t="s">
        <v>42</v>
      </c>
      <c r="C8" s="709" t="s">
        <v>43</v>
      </c>
      <c r="D8" s="705" t="s">
        <v>45</v>
      </c>
      <c r="E8" s="710" t="s">
        <v>36</v>
      </c>
      <c r="F8" s="710"/>
      <c r="G8" s="710"/>
      <c r="H8" s="710"/>
      <c r="I8" s="710"/>
      <c r="J8" s="710" t="s">
        <v>124</v>
      </c>
      <c r="K8" s="710"/>
      <c r="L8" s="710"/>
      <c r="M8" s="710"/>
      <c r="N8" s="710"/>
      <c r="O8" s="21"/>
      <c r="P8" s="710" t="s">
        <v>35</v>
      </c>
    </row>
    <row r="9" spans="1:18" ht="255" customHeight="1" x14ac:dyDescent="0.2">
      <c r="A9" s="706"/>
      <c r="B9" s="708"/>
      <c r="C9" s="708"/>
      <c r="D9" s="706"/>
      <c r="E9" s="716" t="s">
        <v>7</v>
      </c>
      <c r="F9" s="717" t="s">
        <v>125</v>
      </c>
      <c r="G9" s="716" t="s">
        <v>37</v>
      </c>
      <c r="H9" s="716"/>
      <c r="I9" s="717" t="s">
        <v>127</v>
      </c>
      <c r="J9" s="716" t="s">
        <v>7</v>
      </c>
      <c r="K9" s="717" t="s">
        <v>125</v>
      </c>
      <c r="L9" s="716" t="s">
        <v>37</v>
      </c>
      <c r="M9" s="716"/>
      <c r="N9" s="717" t="s">
        <v>127</v>
      </c>
      <c r="O9" s="1" t="s">
        <v>37</v>
      </c>
      <c r="P9" s="710"/>
    </row>
    <row r="10" spans="1:18" ht="137.25" x14ac:dyDescent="0.2">
      <c r="A10" s="707"/>
      <c r="B10" s="707"/>
      <c r="C10" s="707"/>
      <c r="D10" s="707"/>
      <c r="E10" s="716"/>
      <c r="F10" s="717"/>
      <c r="G10" s="1" t="s">
        <v>126</v>
      </c>
      <c r="H10" s="1" t="s">
        <v>40</v>
      </c>
      <c r="I10" s="717"/>
      <c r="J10" s="716"/>
      <c r="K10" s="717"/>
      <c r="L10" s="1" t="s">
        <v>126</v>
      </c>
      <c r="M10" s="1" t="s">
        <v>40</v>
      </c>
      <c r="N10" s="717"/>
      <c r="O10" s="1" t="s">
        <v>32</v>
      </c>
      <c r="P10" s="710"/>
    </row>
    <row r="11" spans="1:18" s="3" customFormat="1" ht="45.75" x14ac:dyDescent="0.2">
      <c r="A11" s="22" t="s">
        <v>9</v>
      </c>
      <c r="B11" s="22" t="s">
        <v>10</v>
      </c>
      <c r="C11" s="22" t="s">
        <v>39</v>
      </c>
      <c r="D11" s="22" t="s">
        <v>12</v>
      </c>
      <c r="E11" s="23">
        <v>5</v>
      </c>
      <c r="F11" s="237">
        <v>6</v>
      </c>
      <c r="G11" s="23">
        <v>7</v>
      </c>
      <c r="H11" s="23">
        <v>8</v>
      </c>
      <c r="I11" s="201">
        <v>9</v>
      </c>
      <c r="J11" s="23">
        <v>10</v>
      </c>
      <c r="K11" s="201">
        <v>11</v>
      </c>
      <c r="L11" s="23">
        <v>12</v>
      </c>
      <c r="M11" s="23">
        <v>13</v>
      </c>
      <c r="N11" s="201">
        <v>14</v>
      </c>
      <c r="O11" s="23">
        <v>15</v>
      </c>
      <c r="P11" s="23">
        <v>16</v>
      </c>
    </row>
    <row r="12" spans="1:18" s="3" customFormat="1" ht="135" x14ac:dyDescent="0.2">
      <c r="A12" s="277" t="s">
        <v>302</v>
      </c>
      <c r="B12" s="277"/>
      <c r="C12" s="277"/>
      <c r="D12" s="278" t="s">
        <v>304</v>
      </c>
      <c r="E12" s="245">
        <f>E13</f>
        <v>137562698</v>
      </c>
      <c r="F12" s="245">
        <f t="shared" ref="F12:P12" si="0">F13</f>
        <v>137562698</v>
      </c>
      <c r="G12" s="245">
        <f t="shared" si="0"/>
        <v>90413000</v>
      </c>
      <c r="H12" s="245">
        <f t="shared" si="0"/>
        <v>4208100</v>
      </c>
      <c r="I12" s="245">
        <f t="shared" si="0"/>
        <v>0</v>
      </c>
      <c r="J12" s="245">
        <f t="shared" si="0"/>
        <v>17251157.870000001</v>
      </c>
      <c r="K12" s="245">
        <f t="shared" si="0"/>
        <v>3775620.62</v>
      </c>
      <c r="L12" s="245">
        <f t="shared" si="0"/>
        <v>0</v>
      </c>
      <c r="M12" s="245">
        <f t="shared" si="0"/>
        <v>0</v>
      </c>
      <c r="N12" s="245">
        <f t="shared" si="0"/>
        <v>13475537.25</v>
      </c>
      <c r="O12" s="279">
        <f t="shared" si="0"/>
        <v>13135537.25</v>
      </c>
      <c r="P12" s="245">
        <f t="shared" si="0"/>
        <v>154813855.87</v>
      </c>
    </row>
    <row r="13" spans="1:18" s="3" customFormat="1" ht="135" x14ac:dyDescent="0.2">
      <c r="A13" s="280" t="s">
        <v>303</v>
      </c>
      <c r="B13" s="280"/>
      <c r="C13" s="280"/>
      <c r="D13" s="281" t="s">
        <v>305</v>
      </c>
      <c r="E13" s="244">
        <f>F13</f>
        <v>137562698</v>
      </c>
      <c r="F13" s="243">
        <f>F14+F15+F26+F20+F27+F16+F22+F21+F29+F17+F28</f>
        <v>137562698</v>
      </c>
      <c r="G13" s="243">
        <f t="shared" ref="G13:H13" si="1">G14+G15+G26+G20+G27+G16+G22+G21+G29+G17</f>
        <v>90413000</v>
      </c>
      <c r="H13" s="243">
        <f t="shared" si="1"/>
        <v>4208100</v>
      </c>
      <c r="I13" s="243">
        <v>0</v>
      </c>
      <c r="J13" s="246">
        <f t="shared" ref="J13:J29" si="2">K13+N13</f>
        <v>17251157.870000001</v>
      </c>
      <c r="K13" s="243">
        <f>K14+K15+K26+K20+K27+K16+K23+K21+K29+K17+K18+K28</f>
        <v>3775620.62</v>
      </c>
      <c r="L13" s="243">
        <f>L14+L15+L26+L20+L27+L16</f>
        <v>0</v>
      </c>
      <c r="M13" s="243">
        <f>M14+M15+M26+M20+M27+M16</f>
        <v>0</v>
      </c>
      <c r="N13" s="243">
        <f>N14+N15+N26+N20+N27+N16+N23+N21+N29+N18+N28</f>
        <v>13475537.25</v>
      </c>
      <c r="O13" s="243">
        <f>O14+O15+O26+O20+O27+O16+O23+O21+O29+O18+O28</f>
        <v>13135537.25</v>
      </c>
      <c r="P13" s="244">
        <f>J13+E13</f>
        <v>154813855.87</v>
      </c>
      <c r="Q13" s="240" t="b">
        <f>P14+P15+P16+P17+P18+P20+P21+P22+P23+P26+P27+P29+P28=P13</f>
        <v>1</v>
      </c>
      <c r="R13" s="240" t="b">
        <f>O13='dod5'!J7</f>
        <v>1</v>
      </c>
    </row>
    <row r="14" spans="1:18" ht="320.25" x14ac:dyDescent="0.2">
      <c r="A14" s="357" t="s">
        <v>428</v>
      </c>
      <c r="B14" s="357" t="s">
        <v>429</v>
      </c>
      <c r="C14" s="357" t="s">
        <v>430</v>
      </c>
      <c r="D14" s="357" t="s">
        <v>427</v>
      </c>
      <c r="E14" s="532">
        <f t="shared" ref="E14:E27" si="3">F14</f>
        <v>67399730</v>
      </c>
      <c r="F14" s="47">
        <f>((61847000)+227100+86000)+5239630</f>
        <v>67399730</v>
      </c>
      <c r="G14" s="179">
        <f>(42799000)+4210430</f>
        <v>47009430</v>
      </c>
      <c r="H14" s="179">
        <f>(2438200)+12500</f>
        <v>2450700</v>
      </c>
      <c r="I14" s="47"/>
      <c r="J14" s="248">
        <f t="shared" si="2"/>
        <v>1745600</v>
      </c>
      <c r="K14" s="268"/>
      <c r="L14" s="269"/>
      <c r="M14" s="269"/>
      <c r="N14" s="359">
        <f t="shared" ref="N14:N27" si="4">O14</f>
        <v>1745600</v>
      </c>
      <c r="O14" s="239">
        <f>((525200)+1807600-86000)-501200</f>
        <v>1745600</v>
      </c>
      <c r="P14" s="358">
        <f>+J14+E14</f>
        <v>69145330</v>
      </c>
    </row>
    <row r="15" spans="1:18" ht="228.75" x14ac:dyDescent="0.2">
      <c r="A15" s="357" t="s">
        <v>432</v>
      </c>
      <c r="B15" s="357" t="s">
        <v>433</v>
      </c>
      <c r="C15" s="357" t="s">
        <v>430</v>
      </c>
      <c r="D15" s="357" t="s">
        <v>431</v>
      </c>
      <c r="E15" s="532">
        <f t="shared" ref="E15:E24" si="5">F15</f>
        <v>59153754</v>
      </c>
      <c r="F15" s="531">
        <f>((49657100+750000+50000)+235184+40000+8000)+8413470</f>
        <v>59153754</v>
      </c>
      <c r="G15" s="533">
        <f>(37157000)+6055570</f>
        <v>43212570</v>
      </c>
      <c r="H15" s="239">
        <f>(1543500)+213900</f>
        <v>1757400</v>
      </c>
      <c r="I15" s="359"/>
      <c r="J15" s="358">
        <f t="shared" si="2"/>
        <v>450000</v>
      </c>
      <c r="K15" s="359"/>
      <c r="L15" s="239"/>
      <c r="M15" s="239"/>
      <c r="N15" s="359">
        <f t="shared" si="4"/>
        <v>450000</v>
      </c>
      <c r="O15" s="239">
        <f>((826000-750000+50000)+318000)+6000</f>
        <v>450000</v>
      </c>
      <c r="P15" s="358">
        <f>E15+J15</f>
        <v>59603754</v>
      </c>
    </row>
    <row r="16" spans="1:18" ht="91.5" x14ac:dyDescent="0.2">
      <c r="A16" s="357" t="s">
        <v>445</v>
      </c>
      <c r="B16" s="357" t="s">
        <v>103</v>
      </c>
      <c r="C16" s="357" t="s">
        <v>102</v>
      </c>
      <c r="D16" s="357" t="s">
        <v>446</v>
      </c>
      <c r="E16" s="358">
        <f t="shared" si="5"/>
        <v>934250</v>
      </c>
      <c r="F16" s="359">
        <f>((1188000-165000)-183000)+94250</f>
        <v>934250</v>
      </c>
      <c r="G16" s="239">
        <f>(150000)-150000</f>
        <v>0</v>
      </c>
      <c r="H16" s="239"/>
      <c r="I16" s="359"/>
      <c r="J16" s="358">
        <f t="shared" ref="J16:J24" si="6">K16+N16</f>
        <v>0</v>
      </c>
      <c r="K16" s="359"/>
      <c r="L16" s="239"/>
      <c r="M16" s="239"/>
      <c r="N16" s="359">
        <f t="shared" ref="N16:N22" si="7">O16</f>
        <v>0</v>
      </c>
      <c r="O16" s="239"/>
      <c r="P16" s="358">
        <f>E16+J16</f>
        <v>934250</v>
      </c>
    </row>
    <row r="17" spans="1:18" ht="91.5" x14ac:dyDescent="0.2">
      <c r="A17" s="357" t="s">
        <v>929</v>
      </c>
      <c r="B17" s="357" t="s">
        <v>930</v>
      </c>
      <c r="C17" s="357" t="s">
        <v>931</v>
      </c>
      <c r="D17" s="357" t="s">
        <v>928</v>
      </c>
      <c r="E17" s="358">
        <f t="shared" si="5"/>
        <v>233000</v>
      </c>
      <c r="F17" s="359">
        <v>233000</v>
      </c>
      <c r="G17" s="239">
        <f>191000</f>
        <v>191000</v>
      </c>
      <c r="H17" s="239"/>
      <c r="I17" s="359"/>
      <c r="J17" s="358">
        <f t="shared" si="6"/>
        <v>0</v>
      </c>
      <c r="K17" s="359"/>
      <c r="L17" s="239"/>
      <c r="M17" s="239"/>
      <c r="N17" s="359">
        <f t="shared" si="7"/>
        <v>0</v>
      </c>
      <c r="O17" s="239"/>
      <c r="P17" s="358">
        <f>E17+J17</f>
        <v>233000</v>
      </c>
    </row>
    <row r="18" spans="1:18" ht="91.5" x14ac:dyDescent="0.2">
      <c r="A18" s="363" t="s">
        <v>942</v>
      </c>
      <c r="B18" s="363" t="s">
        <v>706</v>
      </c>
      <c r="C18" s="363"/>
      <c r="D18" s="363" t="s">
        <v>833</v>
      </c>
      <c r="E18" s="364">
        <f>E19</f>
        <v>0</v>
      </c>
      <c r="F18" s="364">
        <f t="shared" ref="F18:I18" si="8">F19</f>
        <v>0</v>
      </c>
      <c r="G18" s="364">
        <f t="shared" si="8"/>
        <v>0</v>
      </c>
      <c r="H18" s="364">
        <f t="shared" si="8"/>
        <v>0</v>
      </c>
      <c r="I18" s="364">
        <f t="shared" si="8"/>
        <v>0</v>
      </c>
      <c r="J18" s="364">
        <f t="shared" si="6"/>
        <v>660842</v>
      </c>
      <c r="K18" s="366">
        <f>K19</f>
        <v>0</v>
      </c>
      <c r="L18" s="239"/>
      <c r="M18" s="239"/>
      <c r="N18" s="366">
        <f t="shared" si="7"/>
        <v>660842</v>
      </c>
      <c r="O18" s="239">
        <f>O19</f>
        <v>660842</v>
      </c>
      <c r="P18" s="364">
        <f>E18+J18</f>
        <v>660842</v>
      </c>
    </row>
    <row r="19" spans="1:18" ht="366" x14ac:dyDescent="0.2">
      <c r="A19" s="365" t="s">
        <v>939</v>
      </c>
      <c r="B19" s="365" t="s">
        <v>940</v>
      </c>
      <c r="C19" s="365" t="s">
        <v>708</v>
      </c>
      <c r="D19" s="365" t="s">
        <v>941</v>
      </c>
      <c r="E19" s="366"/>
      <c r="F19" s="366"/>
      <c r="G19" s="366"/>
      <c r="H19" s="366"/>
      <c r="I19" s="366"/>
      <c r="J19" s="366">
        <f t="shared" si="6"/>
        <v>660842</v>
      </c>
      <c r="K19" s="366"/>
      <c r="L19" s="366"/>
      <c r="M19" s="366"/>
      <c r="N19" s="366">
        <f t="shared" si="7"/>
        <v>660842</v>
      </c>
      <c r="O19" s="366">
        <v>660842</v>
      </c>
      <c r="P19" s="366">
        <f>E19+J19</f>
        <v>660842</v>
      </c>
    </row>
    <row r="20" spans="1:18" ht="91.5" x14ac:dyDescent="0.2">
      <c r="A20" s="363" t="s">
        <v>435</v>
      </c>
      <c r="B20" s="363" t="s">
        <v>436</v>
      </c>
      <c r="C20" s="363" t="s">
        <v>437</v>
      </c>
      <c r="D20" s="363" t="s">
        <v>434</v>
      </c>
      <c r="E20" s="364">
        <f t="shared" si="5"/>
        <v>4100700</v>
      </c>
      <c r="F20" s="366">
        <f>(1750700)+2350000</f>
        <v>4100700</v>
      </c>
      <c r="G20" s="239"/>
      <c r="H20" s="239"/>
      <c r="I20" s="366"/>
      <c r="J20" s="364">
        <f t="shared" si="6"/>
        <v>0</v>
      </c>
      <c r="K20" s="366"/>
      <c r="L20" s="239"/>
      <c r="M20" s="239"/>
      <c r="N20" s="366">
        <f t="shared" si="7"/>
        <v>0</v>
      </c>
      <c r="O20" s="239"/>
      <c r="P20" s="364">
        <f>+J20+E20</f>
        <v>4100700</v>
      </c>
    </row>
    <row r="21" spans="1:18" ht="91.5" hidden="1" x14ac:dyDescent="0.2">
      <c r="A21" s="336" t="s">
        <v>646</v>
      </c>
      <c r="B21" s="340" t="s">
        <v>373</v>
      </c>
      <c r="C21" s="340" t="s">
        <v>324</v>
      </c>
      <c r="D21" s="336" t="s">
        <v>89</v>
      </c>
      <c r="E21" s="337">
        <f t="shared" ref="E21" si="9">F21</f>
        <v>0</v>
      </c>
      <c r="F21" s="338"/>
      <c r="G21" s="339"/>
      <c r="H21" s="339"/>
      <c r="I21" s="338"/>
      <c r="J21" s="337">
        <f t="shared" si="6"/>
        <v>0</v>
      </c>
      <c r="K21" s="338"/>
      <c r="L21" s="339"/>
      <c r="M21" s="339"/>
      <c r="N21" s="338">
        <f t="shared" si="7"/>
        <v>0</v>
      </c>
      <c r="O21" s="339">
        <f>(2500000)-2500000</f>
        <v>0</v>
      </c>
      <c r="P21" s="337">
        <f>+J21+E21</f>
        <v>0</v>
      </c>
    </row>
    <row r="22" spans="1:18" ht="137.25" x14ac:dyDescent="0.2">
      <c r="A22" s="363" t="s">
        <v>565</v>
      </c>
      <c r="B22" s="363" t="s">
        <v>566</v>
      </c>
      <c r="C22" s="363" t="s">
        <v>324</v>
      </c>
      <c r="D22" s="362" t="s">
        <v>564</v>
      </c>
      <c r="E22" s="364">
        <f t="shared" si="5"/>
        <v>165000</v>
      </c>
      <c r="F22" s="366">
        <v>165000</v>
      </c>
      <c r="G22" s="239"/>
      <c r="H22" s="239"/>
      <c r="I22" s="366"/>
      <c r="J22" s="364">
        <f t="shared" si="6"/>
        <v>0</v>
      </c>
      <c r="K22" s="366"/>
      <c r="L22" s="239"/>
      <c r="M22" s="239"/>
      <c r="N22" s="366">
        <f t="shared" si="7"/>
        <v>0</v>
      </c>
      <c r="O22" s="239"/>
      <c r="P22" s="364">
        <f>+J22+E22</f>
        <v>165000</v>
      </c>
    </row>
    <row r="23" spans="1:18" ht="46.5" x14ac:dyDescent="0.2">
      <c r="A23" s="363" t="s">
        <v>448</v>
      </c>
      <c r="B23" s="363" t="s">
        <v>449</v>
      </c>
      <c r="C23" s="363"/>
      <c r="D23" s="274" t="s">
        <v>447</v>
      </c>
      <c r="E23" s="364">
        <f t="shared" si="5"/>
        <v>0</v>
      </c>
      <c r="F23" s="366"/>
      <c r="G23" s="239"/>
      <c r="H23" s="239"/>
      <c r="I23" s="366"/>
      <c r="J23" s="364">
        <f t="shared" si="6"/>
        <v>4115620.62</v>
      </c>
      <c r="K23" s="366">
        <f>K24</f>
        <v>3775620.62</v>
      </c>
      <c r="L23" s="239"/>
      <c r="M23" s="239"/>
      <c r="N23" s="366">
        <f>N24</f>
        <v>340000</v>
      </c>
      <c r="O23" s="239">
        <f>O24</f>
        <v>0</v>
      </c>
      <c r="P23" s="364">
        <f>+J23+E23</f>
        <v>4115620.62</v>
      </c>
    </row>
    <row r="24" spans="1:18" s="203" customFormat="1" ht="409.5" x14ac:dyDescent="0.2">
      <c r="A24" s="718" t="s">
        <v>700</v>
      </c>
      <c r="B24" s="718" t="s">
        <v>699</v>
      </c>
      <c r="C24" s="718" t="s">
        <v>324</v>
      </c>
      <c r="D24" s="275" t="s">
        <v>728</v>
      </c>
      <c r="E24" s="714">
        <f t="shared" si="5"/>
        <v>0</v>
      </c>
      <c r="F24" s="714"/>
      <c r="G24" s="714"/>
      <c r="H24" s="714"/>
      <c r="I24" s="714"/>
      <c r="J24" s="714">
        <f t="shared" si="6"/>
        <v>4115620.62</v>
      </c>
      <c r="K24" s="714">
        <f>((2667000)+508620.62+(550000))+50000</f>
        <v>3775620.62</v>
      </c>
      <c r="L24" s="714"/>
      <c r="M24" s="714"/>
      <c r="N24" s="714">
        <f>((O24+740000)+200000-(550000))-50000</f>
        <v>340000</v>
      </c>
      <c r="O24" s="714"/>
      <c r="P24" s="714">
        <f>E24+J24</f>
        <v>4115620.62</v>
      </c>
    </row>
    <row r="25" spans="1:18" s="203" customFormat="1" ht="137.25" x14ac:dyDescent="0.2">
      <c r="A25" s="719"/>
      <c r="B25" s="719"/>
      <c r="C25" s="719"/>
      <c r="D25" s="276" t="s">
        <v>729</v>
      </c>
      <c r="E25" s="715"/>
      <c r="F25" s="715"/>
      <c r="G25" s="715"/>
      <c r="H25" s="715"/>
      <c r="I25" s="715"/>
      <c r="J25" s="715"/>
      <c r="K25" s="715"/>
      <c r="L25" s="715"/>
      <c r="M25" s="715"/>
      <c r="N25" s="715"/>
      <c r="O25" s="715"/>
      <c r="P25" s="715"/>
    </row>
    <row r="26" spans="1:18" ht="91.5" x14ac:dyDescent="0.2">
      <c r="A26" s="357" t="s">
        <v>438</v>
      </c>
      <c r="B26" s="357" t="s">
        <v>439</v>
      </c>
      <c r="C26" s="357" t="s">
        <v>440</v>
      </c>
      <c r="D26" s="356" t="s">
        <v>441</v>
      </c>
      <c r="E26" s="358">
        <f>F26</f>
        <v>3725800</v>
      </c>
      <c r="F26" s="359">
        <f>((2555000)+700800)+470000</f>
        <v>3725800</v>
      </c>
      <c r="G26" s="239"/>
      <c r="H26" s="239"/>
      <c r="I26" s="359"/>
      <c r="J26" s="358">
        <f t="shared" si="2"/>
        <v>4000000</v>
      </c>
      <c r="K26" s="359"/>
      <c r="L26" s="239"/>
      <c r="M26" s="239"/>
      <c r="N26" s="359">
        <f t="shared" si="4"/>
        <v>4000000</v>
      </c>
      <c r="O26" s="239">
        <f>(1200000)+2800000</f>
        <v>4000000</v>
      </c>
      <c r="P26" s="358">
        <f t="shared" ref="P26:P28" si="10">E26+J26</f>
        <v>7725800</v>
      </c>
    </row>
    <row r="27" spans="1:18" ht="274.5" x14ac:dyDescent="0.2">
      <c r="A27" s="387" t="s">
        <v>442</v>
      </c>
      <c r="B27" s="387" t="s">
        <v>443</v>
      </c>
      <c r="C27" s="387" t="s">
        <v>103</v>
      </c>
      <c r="D27" s="387" t="s">
        <v>444</v>
      </c>
      <c r="E27" s="388">
        <f t="shared" si="3"/>
        <v>160000</v>
      </c>
      <c r="F27" s="390">
        <v>160000</v>
      </c>
      <c r="G27" s="239"/>
      <c r="H27" s="239"/>
      <c r="I27" s="390"/>
      <c r="J27" s="388"/>
      <c r="K27" s="390"/>
      <c r="L27" s="239"/>
      <c r="M27" s="239"/>
      <c r="N27" s="390">
        <f t="shared" si="4"/>
        <v>0</v>
      </c>
      <c r="O27" s="239"/>
      <c r="P27" s="388">
        <f t="shared" si="10"/>
        <v>160000</v>
      </c>
    </row>
    <row r="28" spans="1:18" ht="91.5" x14ac:dyDescent="0.2">
      <c r="A28" s="357" t="s">
        <v>966</v>
      </c>
      <c r="B28" s="357" t="s">
        <v>800</v>
      </c>
      <c r="C28" s="357" t="s">
        <v>103</v>
      </c>
      <c r="D28" s="357" t="s">
        <v>801</v>
      </c>
      <c r="E28" s="358"/>
      <c r="F28" s="359"/>
      <c r="G28" s="239"/>
      <c r="H28" s="239"/>
      <c r="I28" s="359"/>
      <c r="J28" s="358">
        <f t="shared" si="2"/>
        <v>100000</v>
      </c>
      <c r="K28" s="359"/>
      <c r="L28" s="239"/>
      <c r="M28" s="239"/>
      <c r="N28" s="359">
        <f t="shared" ref="N28:N29" si="11">O28</f>
        <v>100000</v>
      </c>
      <c r="O28" s="239">
        <f>200000-200000+100000</f>
        <v>100000</v>
      </c>
      <c r="P28" s="358">
        <f t="shared" si="10"/>
        <v>100000</v>
      </c>
    </row>
    <row r="29" spans="1:18" ht="183" x14ac:dyDescent="0.2">
      <c r="A29" s="357" t="s">
        <v>822</v>
      </c>
      <c r="B29" s="357" t="s">
        <v>823</v>
      </c>
      <c r="C29" s="357" t="s">
        <v>103</v>
      </c>
      <c r="D29" s="357" t="s">
        <v>824</v>
      </c>
      <c r="E29" s="358">
        <f t="shared" ref="E29" si="12">F29</f>
        <v>1690464</v>
      </c>
      <c r="F29" s="359">
        <f>(1317664+100000+50000)+222800</f>
        <v>1690464</v>
      </c>
      <c r="G29" s="239"/>
      <c r="H29" s="239"/>
      <c r="I29" s="359"/>
      <c r="J29" s="358">
        <f t="shared" si="2"/>
        <v>6179095.25</v>
      </c>
      <c r="K29" s="359"/>
      <c r="L29" s="239"/>
      <c r="M29" s="239"/>
      <c r="N29" s="359">
        <f t="shared" si="11"/>
        <v>6179095.25</v>
      </c>
      <c r="O29" s="239">
        <f>(5497336-100000)+38000+743759.25</f>
        <v>6179095.25</v>
      </c>
      <c r="P29" s="358">
        <f t="shared" ref="P29" si="13">E29+J29</f>
        <v>7869559.25</v>
      </c>
    </row>
    <row r="30" spans="1:18" ht="135" x14ac:dyDescent="0.2">
      <c r="A30" s="277" t="s">
        <v>306</v>
      </c>
      <c r="B30" s="277"/>
      <c r="C30" s="277"/>
      <c r="D30" s="278" t="s">
        <v>1</v>
      </c>
      <c r="E30" s="243">
        <f>E31</f>
        <v>899821040</v>
      </c>
      <c r="F30" s="243">
        <f t="shared" ref="F30:P30" si="14">F31</f>
        <v>899821040</v>
      </c>
      <c r="G30" s="243">
        <f t="shared" si="14"/>
        <v>576717521</v>
      </c>
      <c r="H30" s="243">
        <f t="shared" si="14"/>
        <v>87878308</v>
      </c>
      <c r="I30" s="243">
        <f t="shared" si="14"/>
        <v>0</v>
      </c>
      <c r="J30" s="243">
        <f t="shared" si="14"/>
        <v>136989283</v>
      </c>
      <c r="K30" s="243">
        <f t="shared" si="14"/>
        <v>87412249</v>
      </c>
      <c r="L30" s="243">
        <f t="shared" si="14"/>
        <v>22250104</v>
      </c>
      <c r="M30" s="243">
        <f t="shared" si="14"/>
        <v>7540734</v>
      </c>
      <c r="N30" s="243">
        <f t="shared" si="14"/>
        <v>49577034</v>
      </c>
      <c r="O30" s="244">
        <f t="shared" si="14"/>
        <v>48055034</v>
      </c>
      <c r="P30" s="243">
        <f t="shared" si="14"/>
        <v>1036810323</v>
      </c>
    </row>
    <row r="31" spans="1:18" ht="135" x14ac:dyDescent="0.2">
      <c r="A31" s="280" t="s">
        <v>307</v>
      </c>
      <c r="B31" s="280"/>
      <c r="C31" s="280"/>
      <c r="D31" s="281" t="s">
        <v>2</v>
      </c>
      <c r="E31" s="244">
        <f>E32+E33+E34+E35+E36+E38+E39+E37+E42</f>
        <v>899821040</v>
      </c>
      <c r="F31" s="243">
        <f>F32+F33+F34+F35+F36+F38+F39+F37+F42+F400</f>
        <v>899821040</v>
      </c>
      <c r="G31" s="244">
        <f>G32+G33+G34+G35+G36+G38+G39+G37+G42</f>
        <v>576717521</v>
      </c>
      <c r="H31" s="244">
        <f>H32+H33+H34+H35+H36+H38+H39+H37+H42</f>
        <v>87878308</v>
      </c>
      <c r="I31" s="243">
        <f>I32+I33+I34+I35+I36+I38+I39+I37</f>
        <v>0</v>
      </c>
      <c r="J31" s="244">
        <f t="shared" ref="J31:O31" si="15">J32+J33+J34+J35+J36+J38+J39+J37+J42</f>
        <v>136989283</v>
      </c>
      <c r="K31" s="243">
        <f t="shared" si="15"/>
        <v>87412249</v>
      </c>
      <c r="L31" s="244">
        <f t="shared" si="15"/>
        <v>22250104</v>
      </c>
      <c r="M31" s="244">
        <f t="shared" si="15"/>
        <v>7540734</v>
      </c>
      <c r="N31" s="243">
        <f t="shared" si="15"/>
        <v>49577034</v>
      </c>
      <c r="O31" s="244">
        <f t="shared" si="15"/>
        <v>48055034</v>
      </c>
      <c r="P31" s="244">
        <f t="shared" ref="P31:P41" si="16">E31+J31</f>
        <v>1036810323</v>
      </c>
      <c r="Q31" s="240" t="b">
        <f>P31=P32+P33+P34+P35+P36+P37+P38+P39+P42</f>
        <v>1</v>
      </c>
      <c r="R31" s="240" t="b">
        <f>O31='dod5'!J21</f>
        <v>1</v>
      </c>
    </row>
    <row r="32" spans="1:18" ht="67.5" customHeight="1" x14ac:dyDescent="0.55000000000000004">
      <c r="A32" s="411" t="s">
        <v>376</v>
      </c>
      <c r="B32" s="411" t="s">
        <v>377</v>
      </c>
      <c r="C32" s="411" t="s">
        <v>379</v>
      </c>
      <c r="D32" s="411" t="s">
        <v>380</v>
      </c>
      <c r="E32" s="412">
        <f>F32</f>
        <v>237786061</v>
      </c>
      <c r="F32" s="414">
        <f>((241481300+165502+120830)+707200+3213800+389000+834500+41349+100000-100000)-9167420</f>
        <v>237786061</v>
      </c>
      <c r="G32" s="239">
        <f>((151576300)+3213800)-3687600</f>
        <v>151102500</v>
      </c>
      <c r="H32" s="239">
        <f>27650500-12000</f>
        <v>27638500</v>
      </c>
      <c r="I32" s="414"/>
      <c r="J32" s="412">
        <f t="shared" ref="J32:J40" si="17">K32+N32</f>
        <v>43062993</v>
      </c>
      <c r="K32" s="414">
        <v>34398400</v>
      </c>
      <c r="L32" s="239">
        <v>6344700</v>
      </c>
      <c r="M32" s="239">
        <v>677200</v>
      </c>
      <c r="N32" s="414">
        <f>O32+525900-(120000)</f>
        <v>8664593</v>
      </c>
      <c r="O32" s="239">
        <f>((2466200+2000000+60000+353242+55000+50000*2)+777000+1256600-41349+80000-100000+100000+(442000))+710000</f>
        <v>8258693</v>
      </c>
      <c r="P32" s="412">
        <f t="shared" si="16"/>
        <v>280849054</v>
      </c>
      <c r="Q32" s="26"/>
      <c r="R32" s="26"/>
    </row>
    <row r="33" spans="1:20" ht="389.25" customHeight="1" x14ac:dyDescent="0.55000000000000004">
      <c r="A33" s="411" t="s">
        <v>382</v>
      </c>
      <c r="B33" s="411" t="s">
        <v>378</v>
      </c>
      <c r="C33" s="411" t="s">
        <v>383</v>
      </c>
      <c r="D33" s="411" t="s">
        <v>914</v>
      </c>
      <c r="E33" s="412">
        <f t="shared" ref="E33:E41" si="18">F33</f>
        <v>503096772.06</v>
      </c>
      <c r="F33" s="414">
        <f>((448765400+1750000+318969+495888+5582500)+15670400+1239421+3447600+272674+4898800+375000+230505+2658152-25000+7000+86612-40000-8000+(5263782))+12707069.06-600000</f>
        <v>503096772.06</v>
      </c>
      <c r="G33" s="239">
        <f>((302091800)+15670400+1239421)+11034000</f>
        <v>330035621</v>
      </c>
      <c r="H33" s="239">
        <f>(36896200+5582500-(20000))+100721</f>
        <v>42559421</v>
      </c>
      <c r="I33" s="414"/>
      <c r="J33" s="412">
        <f t="shared" si="17"/>
        <v>50948484</v>
      </c>
      <c r="K33" s="414">
        <f>(36530400)-1380110</f>
        <v>35150290</v>
      </c>
      <c r="L33" s="239">
        <f>(12782600)-1131270</f>
        <v>11651330</v>
      </c>
      <c r="M33" s="239">
        <v>912900</v>
      </c>
      <c r="N33" s="414">
        <f>O33+802800-(180000)</f>
        <v>15798194</v>
      </c>
      <c r="O33" s="239">
        <f>((1348532+200000+500000+297437+100000+749800*2)+4419450+583700+666579+67900+2794000-86612+250000+(1281056))+653752+600000</f>
        <v>15175394</v>
      </c>
      <c r="P33" s="412">
        <f t="shared" si="16"/>
        <v>554045256.05999994</v>
      </c>
      <c r="Q33" s="26"/>
      <c r="R33" s="26"/>
      <c r="T33" s="181"/>
    </row>
    <row r="34" spans="1:20" ht="137.25" x14ac:dyDescent="0.2">
      <c r="A34" s="411" t="s">
        <v>384</v>
      </c>
      <c r="B34" s="411" t="s">
        <v>385</v>
      </c>
      <c r="C34" s="411" t="s">
        <v>383</v>
      </c>
      <c r="D34" s="411" t="s">
        <v>46</v>
      </c>
      <c r="E34" s="412">
        <f t="shared" si="18"/>
        <v>2009955.94</v>
      </c>
      <c r="F34" s="414">
        <f>((2337100+15700)+146500+32200)-521544.06</f>
        <v>2009955.94</v>
      </c>
      <c r="G34" s="239">
        <f>((1765400)+146500)-300000</f>
        <v>1611900</v>
      </c>
      <c r="H34" s="239">
        <f>(93700+15700)-100721</f>
        <v>8679</v>
      </c>
      <c r="I34" s="414"/>
      <c r="J34" s="412">
        <f t="shared" si="17"/>
        <v>0</v>
      </c>
      <c r="K34" s="414"/>
      <c r="L34" s="239"/>
      <c r="M34" s="239"/>
      <c r="N34" s="414">
        <f t="shared" ref="N34:N38" si="19">O34</f>
        <v>0</v>
      </c>
      <c r="O34" s="239"/>
      <c r="P34" s="412">
        <f t="shared" si="16"/>
        <v>2009955.94</v>
      </c>
    </row>
    <row r="35" spans="1:20" ht="409.6" customHeight="1" x14ac:dyDescent="0.2">
      <c r="A35" s="411" t="s">
        <v>387</v>
      </c>
      <c r="B35" s="411" t="s">
        <v>386</v>
      </c>
      <c r="C35" s="411" t="s">
        <v>388</v>
      </c>
      <c r="D35" s="411" t="s">
        <v>47</v>
      </c>
      <c r="E35" s="412">
        <f t="shared" si="18"/>
        <v>15583400</v>
      </c>
      <c r="F35" s="414">
        <f>((13802000+388300)+691500+152100+82500+307600)+192400-33000</f>
        <v>15583400</v>
      </c>
      <c r="G35" s="239">
        <f>((9727200)+691500)+157000</f>
        <v>10575700</v>
      </c>
      <c r="H35" s="239">
        <f>941200+388300</f>
        <v>1329500</v>
      </c>
      <c r="I35" s="414"/>
      <c r="J35" s="412">
        <f t="shared" si="17"/>
        <v>513449</v>
      </c>
      <c r="K35" s="414">
        <v>35600</v>
      </c>
      <c r="L35" s="239"/>
      <c r="M35" s="239">
        <v>24400</v>
      </c>
      <c r="N35" s="414">
        <f t="shared" si="19"/>
        <v>477849</v>
      </c>
      <c r="O35" s="239">
        <f>(300000)+138200+6849-200+33000</f>
        <v>477849</v>
      </c>
      <c r="P35" s="412">
        <f t="shared" si="16"/>
        <v>16096849</v>
      </c>
    </row>
    <row r="36" spans="1:20" ht="183" x14ac:dyDescent="0.2">
      <c r="A36" s="411" t="s">
        <v>389</v>
      </c>
      <c r="B36" s="411" t="s">
        <v>363</v>
      </c>
      <c r="C36" s="411" t="s">
        <v>344</v>
      </c>
      <c r="D36" s="411" t="s">
        <v>48</v>
      </c>
      <c r="E36" s="412">
        <f t="shared" si="18"/>
        <v>25342420</v>
      </c>
      <c r="F36" s="414">
        <f>((27524100)+334800+73700+6000)-2596180</f>
        <v>25342420</v>
      </c>
      <c r="G36" s="239">
        <f>((19443400)+334800)-2376200</f>
        <v>17402000</v>
      </c>
      <c r="H36" s="239">
        <f>(2247200-(260000))+199000</f>
        <v>2186200</v>
      </c>
      <c r="I36" s="414"/>
      <c r="J36" s="412">
        <f t="shared" si="17"/>
        <v>11763200</v>
      </c>
      <c r="K36" s="414">
        <v>4499900</v>
      </c>
      <c r="L36" s="239">
        <v>928200</v>
      </c>
      <c r="M36" s="239">
        <v>324500</v>
      </c>
      <c r="N36" s="414">
        <f>O36+153300+(300000)</f>
        <v>7263300</v>
      </c>
      <c r="O36" s="239">
        <f>((4000000)+605000+470000-250000+(185000))+1800000</f>
        <v>6810000</v>
      </c>
      <c r="P36" s="412">
        <f t="shared" si="16"/>
        <v>37105620</v>
      </c>
    </row>
    <row r="37" spans="1:20" ht="155.25" customHeight="1" x14ac:dyDescent="0.2">
      <c r="A37" s="411" t="s">
        <v>390</v>
      </c>
      <c r="B37" s="411" t="s">
        <v>391</v>
      </c>
      <c r="C37" s="411" t="s">
        <v>392</v>
      </c>
      <c r="D37" s="411" t="s">
        <v>393</v>
      </c>
      <c r="E37" s="412">
        <f t="shared" si="18"/>
        <v>97256631</v>
      </c>
      <c r="F37" s="414">
        <f>((96795900-6000000+6264431)+3553400+781700)-4138800</f>
        <v>97256631</v>
      </c>
      <c r="G37" s="239">
        <f>((52131100)+3553400)-2818800</f>
        <v>52865700</v>
      </c>
      <c r="H37" s="239">
        <f>10956900-4000000+6264431</f>
        <v>13221331</v>
      </c>
      <c r="I37" s="414"/>
      <c r="J37" s="412">
        <f t="shared" si="17"/>
        <v>12791259</v>
      </c>
      <c r="K37" s="414">
        <f>((8084200)+2479639+(335560))+1851860</f>
        <v>12751259</v>
      </c>
      <c r="L37" s="239">
        <f>((1501800)+823942)+709932</f>
        <v>3035674</v>
      </c>
      <c r="M37" s="239">
        <f>(4165000+(1011312))+401422</f>
        <v>5577734</v>
      </c>
      <c r="N37" s="414">
        <f>(O37+245800)+129760-(335560)</f>
        <v>40000</v>
      </c>
      <c r="O37" s="239"/>
      <c r="P37" s="412">
        <f t="shared" si="16"/>
        <v>110047890</v>
      </c>
    </row>
    <row r="38" spans="1:20" ht="130.5" customHeight="1" x14ac:dyDescent="0.2">
      <c r="A38" s="411" t="s">
        <v>395</v>
      </c>
      <c r="B38" s="411" t="s">
        <v>396</v>
      </c>
      <c r="C38" s="411" t="s">
        <v>397</v>
      </c>
      <c r="D38" s="411" t="s">
        <v>394</v>
      </c>
      <c r="E38" s="412">
        <f t="shared" si="18"/>
        <v>4275700</v>
      </c>
      <c r="F38" s="414">
        <f>((3952900)+63500+14000+65000+147000)+33300</f>
        <v>4275700</v>
      </c>
      <c r="G38" s="239">
        <f>((2696100)+63500)+5500</f>
        <v>2765100</v>
      </c>
      <c r="H38" s="239">
        <v>197300</v>
      </c>
      <c r="I38" s="414"/>
      <c r="J38" s="412">
        <f t="shared" si="17"/>
        <v>176450</v>
      </c>
      <c r="K38" s="414">
        <v>76000</v>
      </c>
      <c r="L38" s="239"/>
      <c r="M38" s="239"/>
      <c r="N38" s="414">
        <f t="shared" si="19"/>
        <v>100450</v>
      </c>
      <c r="O38" s="239">
        <f>(0)+100450</f>
        <v>100450</v>
      </c>
      <c r="P38" s="412">
        <f t="shared" si="16"/>
        <v>4452150</v>
      </c>
    </row>
    <row r="39" spans="1:20" ht="112.5" customHeight="1" x14ac:dyDescent="0.2">
      <c r="A39" s="411" t="s">
        <v>399</v>
      </c>
      <c r="B39" s="411" t="s">
        <v>400</v>
      </c>
      <c r="C39" s="411"/>
      <c r="D39" s="410" t="s">
        <v>398</v>
      </c>
      <c r="E39" s="412">
        <f t="shared" si="18"/>
        <v>14364100</v>
      </c>
      <c r="F39" s="414">
        <f>F40+F41</f>
        <v>14364100</v>
      </c>
      <c r="G39" s="239">
        <f>G40+G41</f>
        <v>10359000</v>
      </c>
      <c r="H39" s="239">
        <f t="shared" ref="H39" si="20">H40</f>
        <v>737377</v>
      </c>
      <c r="I39" s="414"/>
      <c r="J39" s="412">
        <f t="shared" si="17"/>
        <v>1299700</v>
      </c>
      <c r="K39" s="414">
        <f>K40</f>
        <v>500800</v>
      </c>
      <c r="L39" s="239">
        <f t="shared" ref="L39" si="21">L40</f>
        <v>290200</v>
      </c>
      <c r="M39" s="239">
        <f t="shared" ref="M39" si="22">M40</f>
        <v>24000</v>
      </c>
      <c r="N39" s="414">
        <f>N40</f>
        <v>798900</v>
      </c>
      <c r="O39" s="239">
        <f>O40</f>
        <v>798900</v>
      </c>
      <c r="P39" s="412">
        <f t="shared" si="16"/>
        <v>15663800</v>
      </c>
    </row>
    <row r="40" spans="1:20" s="203" customFormat="1" ht="139.5" customHeight="1" x14ac:dyDescent="0.2">
      <c r="A40" s="408" t="s">
        <v>656</v>
      </c>
      <c r="B40" s="408" t="s">
        <v>657</v>
      </c>
      <c r="C40" s="408" t="s">
        <v>397</v>
      </c>
      <c r="D40" s="408" t="s">
        <v>655</v>
      </c>
      <c r="E40" s="414">
        <f t="shared" si="18"/>
        <v>14196900</v>
      </c>
      <c r="F40" s="414">
        <f>((13719600)+342300+75300+20000+125900)-86200</f>
        <v>14196900</v>
      </c>
      <c r="G40" s="414">
        <f>(10016700)+342300</f>
        <v>10359000</v>
      </c>
      <c r="H40" s="414">
        <f>764800-(27423)</f>
        <v>737377</v>
      </c>
      <c r="I40" s="409"/>
      <c r="J40" s="414">
        <f t="shared" si="17"/>
        <v>1299700</v>
      </c>
      <c r="K40" s="414">
        <v>500800</v>
      </c>
      <c r="L40" s="414">
        <v>290200</v>
      </c>
      <c r="M40" s="414">
        <v>24000</v>
      </c>
      <c r="N40" s="414">
        <f t="shared" ref="N40" si="23">O40</f>
        <v>798900</v>
      </c>
      <c r="O40" s="409">
        <f>(48000)+750900</f>
        <v>798900</v>
      </c>
      <c r="P40" s="414">
        <f t="shared" si="16"/>
        <v>15496600</v>
      </c>
    </row>
    <row r="41" spans="1:20" s="203" customFormat="1" ht="124.5" customHeight="1" x14ac:dyDescent="0.2">
      <c r="A41" s="408" t="s">
        <v>697</v>
      </c>
      <c r="B41" s="408" t="s">
        <v>698</v>
      </c>
      <c r="C41" s="408" t="s">
        <v>397</v>
      </c>
      <c r="D41" s="413" t="s">
        <v>696</v>
      </c>
      <c r="E41" s="409">
        <f t="shared" si="18"/>
        <v>167200</v>
      </c>
      <c r="F41" s="409">
        <f>(140000+27200-27200)+27200</f>
        <v>167200</v>
      </c>
      <c r="G41" s="409"/>
      <c r="H41" s="409"/>
      <c r="I41" s="409"/>
      <c r="J41" s="414">
        <f t="shared" ref="J41" si="24">K41+N41</f>
        <v>0</v>
      </c>
      <c r="K41" s="409"/>
      <c r="L41" s="409"/>
      <c r="M41" s="409"/>
      <c r="N41" s="409"/>
      <c r="O41" s="409"/>
      <c r="P41" s="414">
        <f t="shared" si="16"/>
        <v>167200</v>
      </c>
    </row>
    <row r="42" spans="1:20" ht="46.5" x14ac:dyDescent="0.2">
      <c r="A42" s="411" t="s">
        <v>402</v>
      </c>
      <c r="B42" s="411" t="s">
        <v>403</v>
      </c>
      <c r="C42" s="411" t="s">
        <v>404</v>
      </c>
      <c r="D42" s="411" t="s">
        <v>99</v>
      </c>
      <c r="E42" s="412">
        <f>F42</f>
        <v>106000</v>
      </c>
      <c r="F42" s="414">
        <v>106000</v>
      </c>
      <c r="G42" s="239"/>
      <c r="H42" s="239"/>
      <c r="I42" s="414"/>
      <c r="J42" s="412">
        <f>K42+N42</f>
        <v>16433748</v>
      </c>
      <c r="K42" s="414"/>
      <c r="L42" s="239"/>
      <c r="M42" s="239"/>
      <c r="N42" s="414">
        <f>O42</f>
        <v>16433748</v>
      </c>
      <c r="O42" s="239">
        <f>(1191000+8287748-106000)+7061000</f>
        <v>16433748</v>
      </c>
      <c r="P42" s="412">
        <f>E42+J42</f>
        <v>16539748</v>
      </c>
    </row>
    <row r="43" spans="1:20" ht="135" x14ac:dyDescent="0.2">
      <c r="A43" s="299" t="s">
        <v>308</v>
      </c>
      <c r="B43" s="300"/>
      <c r="C43" s="300"/>
      <c r="D43" s="278" t="s">
        <v>53</v>
      </c>
      <c r="E43" s="246">
        <f>E44</f>
        <v>350075473</v>
      </c>
      <c r="F43" s="247">
        <f t="shared" ref="F43:P43" si="25">F44</f>
        <v>350075473</v>
      </c>
      <c r="G43" s="246">
        <f t="shared" si="25"/>
        <v>1567600</v>
      </c>
      <c r="H43" s="246">
        <f t="shared" si="25"/>
        <v>99700</v>
      </c>
      <c r="I43" s="247">
        <f t="shared" si="25"/>
        <v>0</v>
      </c>
      <c r="J43" s="246">
        <f t="shared" si="25"/>
        <v>44768973</v>
      </c>
      <c r="K43" s="247">
        <f t="shared" si="25"/>
        <v>16691169</v>
      </c>
      <c r="L43" s="246">
        <f t="shared" si="25"/>
        <v>0</v>
      </c>
      <c r="M43" s="246">
        <f t="shared" si="25"/>
        <v>0</v>
      </c>
      <c r="N43" s="247">
        <f t="shared" si="25"/>
        <v>28077804</v>
      </c>
      <c r="O43" s="246">
        <f t="shared" si="25"/>
        <v>27691255</v>
      </c>
      <c r="P43" s="246">
        <f t="shared" si="25"/>
        <v>394844446</v>
      </c>
    </row>
    <row r="44" spans="1:20" ht="135" x14ac:dyDescent="0.2">
      <c r="A44" s="277" t="s">
        <v>309</v>
      </c>
      <c r="B44" s="277"/>
      <c r="C44" s="277"/>
      <c r="D44" s="281" t="s">
        <v>91</v>
      </c>
      <c r="E44" s="244">
        <f>E45+E46+E47+E48+E54+E49+E51+E57</f>
        <v>350075473</v>
      </c>
      <c r="F44" s="243">
        <f>F45+F46+F47+F48+F54+F49+F51+F57</f>
        <v>350075473</v>
      </c>
      <c r="G44" s="244">
        <f>G45+G46+G47+G48+G54+G49+G51</f>
        <v>1567600</v>
      </c>
      <c r="H44" s="244">
        <f>H45+H46+H47+H48+H54+H49+H51</f>
        <v>99700</v>
      </c>
      <c r="I44" s="243">
        <v>0</v>
      </c>
      <c r="J44" s="244">
        <f t="shared" ref="J44:J54" si="26">K44+N44</f>
        <v>44768973</v>
      </c>
      <c r="K44" s="243">
        <f>K45+K46+K47+K48+K54+K49+K51+K57</f>
        <v>16691169</v>
      </c>
      <c r="L44" s="244">
        <f>L45+L46+L47+L48+L54+L49+L51</f>
        <v>0</v>
      </c>
      <c r="M44" s="244">
        <f>M45+M46+M47+M48+M54+M49+M51</f>
        <v>0</v>
      </c>
      <c r="N44" s="243">
        <f>N45+N46+N47+N48+N54+N49+N51+N57</f>
        <v>28077804</v>
      </c>
      <c r="O44" s="244">
        <f>O45+O46+O47+O48+O54+O49+O57</f>
        <v>27691255</v>
      </c>
      <c r="P44" s="244">
        <f t="shared" ref="P44:P54" si="27">E44+J44</f>
        <v>394844446</v>
      </c>
      <c r="Q44" s="240" t="b">
        <f>P44=P45+P46+P47+P48+P50+P52+P53+P55+P56+P57</f>
        <v>1</v>
      </c>
      <c r="R44" s="240" t="b">
        <f>O44='dod5'!J36</f>
        <v>1</v>
      </c>
    </row>
    <row r="45" spans="1:20" ht="91.5" x14ac:dyDescent="0.2">
      <c r="A45" s="411" t="s">
        <v>405</v>
      </c>
      <c r="B45" s="411" t="s">
        <v>401</v>
      </c>
      <c r="C45" s="411" t="s">
        <v>406</v>
      </c>
      <c r="D45" s="411" t="s">
        <v>55</v>
      </c>
      <c r="E45" s="412">
        <f>F45</f>
        <v>176481411</v>
      </c>
      <c r="F45" s="414">
        <f>((169809941+1000000+714000+50000)-714000+2474600-360000+3000000+160000+360000+1000000-(3120000))+2087870+19000</f>
        <v>176481411</v>
      </c>
      <c r="G45" s="239"/>
      <c r="H45" s="239"/>
      <c r="I45" s="414"/>
      <c r="J45" s="412">
        <f t="shared" si="26"/>
        <v>25953925</v>
      </c>
      <c r="K45" s="414">
        <v>5806250</v>
      </c>
      <c r="L45" s="239"/>
      <c r="M45" s="239"/>
      <c r="N45" s="414">
        <f>O45</f>
        <v>20147675</v>
      </c>
      <c r="O45" s="239">
        <f>(((4250000+1000000)+11650768-113-25620-12940+88000)+2678580)+400000+163000-44000</f>
        <v>20147675</v>
      </c>
      <c r="P45" s="412">
        <f t="shared" si="27"/>
        <v>202435336</v>
      </c>
    </row>
    <row r="46" spans="1:20" ht="137.25" x14ac:dyDescent="0.2">
      <c r="A46" s="411" t="s">
        <v>407</v>
      </c>
      <c r="B46" s="411" t="s">
        <v>408</v>
      </c>
      <c r="C46" s="411" t="s">
        <v>409</v>
      </c>
      <c r="D46" s="411" t="s">
        <v>410</v>
      </c>
      <c r="E46" s="412">
        <f t="shared" ref="E46:E54" si="28">F46</f>
        <v>53951300</v>
      </c>
      <c r="F46" s="414">
        <f>((53366300+320000)+115000)+150000</f>
        <v>53951300</v>
      </c>
      <c r="G46" s="239"/>
      <c r="H46" s="239"/>
      <c r="I46" s="414"/>
      <c r="J46" s="412">
        <f t="shared" si="26"/>
        <v>1720650</v>
      </c>
      <c r="K46" s="414">
        <f>((852000)-30000)-11549</f>
        <v>810451</v>
      </c>
      <c r="L46" s="239"/>
      <c r="M46" s="239"/>
      <c r="N46" s="414">
        <f>((O46)+30000)+11549</f>
        <v>910199</v>
      </c>
      <c r="O46" s="239">
        <f>(597150)+181500+90000</f>
        <v>868650</v>
      </c>
      <c r="P46" s="412">
        <f t="shared" si="27"/>
        <v>55671950</v>
      </c>
    </row>
    <row r="47" spans="1:20" ht="137.25" x14ac:dyDescent="0.2">
      <c r="A47" s="411" t="s">
        <v>411</v>
      </c>
      <c r="B47" s="411" t="s">
        <v>412</v>
      </c>
      <c r="C47" s="411" t="s">
        <v>413</v>
      </c>
      <c r="D47" s="411" t="s">
        <v>730</v>
      </c>
      <c r="E47" s="412">
        <f t="shared" si="28"/>
        <v>54131886</v>
      </c>
      <c r="F47" s="414">
        <f>((53234500+5881200)-5881200+502148-12148)+407386</f>
        <v>54131886</v>
      </c>
      <c r="G47" s="239"/>
      <c r="H47" s="239"/>
      <c r="I47" s="414"/>
      <c r="J47" s="412">
        <f t="shared" si="26"/>
        <v>8064761</v>
      </c>
      <c r="K47" s="414">
        <f>((5312168)-249000)-26000</f>
        <v>5037168</v>
      </c>
      <c r="L47" s="239"/>
      <c r="M47" s="239"/>
      <c r="N47" s="414">
        <f>((O47)+249000)+26000</f>
        <v>3027593</v>
      </c>
      <c r="O47" s="239">
        <f>(1617460+12148+22000)+1100985</f>
        <v>2752593</v>
      </c>
      <c r="P47" s="412">
        <f t="shared" si="27"/>
        <v>62196647</v>
      </c>
    </row>
    <row r="48" spans="1:20" ht="91.5" x14ac:dyDescent="0.2">
      <c r="A48" s="411" t="s">
        <v>414</v>
      </c>
      <c r="B48" s="411" t="s">
        <v>415</v>
      </c>
      <c r="C48" s="411" t="s">
        <v>416</v>
      </c>
      <c r="D48" s="411" t="s">
        <v>417</v>
      </c>
      <c r="E48" s="412">
        <f t="shared" si="28"/>
        <v>9470400</v>
      </c>
      <c r="F48" s="414">
        <f>((9008400+22000)-160000)+600000</f>
        <v>9470400</v>
      </c>
      <c r="G48" s="239"/>
      <c r="H48" s="239"/>
      <c r="I48" s="414"/>
      <c r="J48" s="412">
        <f t="shared" si="26"/>
        <v>5210400</v>
      </c>
      <c r="K48" s="414">
        <f>(5000400)-70000</f>
        <v>4930400</v>
      </c>
      <c r="L48" s="239"/>
      <c r="M48" s="239"/>
      <c r="N48" s="414">
        <f>O48+70000</f>
        <v>280000</v>
      </c>
      <c r="O48" s="239">
        <f>(89000)+121000</f>
        <v>210000</v>
      </c>
      <c r="P48" s="412">
        <f t="shared" si="27"/>
        <v>14680800</v>
      </c>
    </row>
    <row r="49" spans="1:22" ht="91.5" x14ac:dyDescent="0.2">
      <c r="A49" s="411" t="s">
        <v>418</v>
      </c>
      <c r="B49" s="411" t="s">
        <v>419</v>
      </c>
      <c r="C49" s="411"/>
      <c r="D49" s="411" t="s">
        <v>731</v>
      </c>
      <c r="E49" s="412">
        <f t="shared" si="28"/>
        <v>36734176</v>
      </c>
      <c r="F49" s="414">
        <f>F50</f>
        <v>36734176</v>
      </c>
      <c r="G49" s="239"/>
      <c r="H49" s="239"/>
      <c r="I49" s="414"/>
      <c r="J49" s="412">
        <f t="shared" si="26"/>
        <v>2374000</v>
      </c>
      <c r="K49" s="414">
        <f>K50</f>
        <v>86500</v>
      </c>
      <c r="L49" s="239"/>
      <c r="M49" s="239"/>
      <c r="N49" s="414">
        <f t="shared" ref="N49:N50" si="29">O49</f>
        <v>2287500</v>
      </c>
      <c r="O49" s="239">
        <f>O50</f>
        <v>2287500</v>
      </c>
      <c r="P49" s="412">
        <f t="shared" si="27"/>
        <v>39108176</v>
      </c>
    </row>
    <row r="50" spans="1:22" ht="183" x14ac:dyDescent="0.2">
      <c r="A50" s="413" t="s">
        <v>420</v>
      </c>
      <c r="B50" s="408" t="s">
        <v>421</v>
      </c>
      <c r="C50" s="408" t="s">
        <v>732</v>
      </c>
      <c r="D50" s="413" t="s">
        <v>422</v>
      </c>
      <c r="E50" s="414">
        <f t="shared" si="28"/>
        <v>36734176</v>
      </c>
      <c r="F50" s="414">
        <f>((6889600+25900000+340000+4561100+2835500)-2835500+70200+(1780000))-2806724</f>
        <v>36734176</v>
      </c>
      <c r="G50" s="414"/>
      <c r="H50" s="414"/>
      <c r="I50" s="414"/>
      <c r="J50" s="414">
        <f t="shared" si="26"/>
        <v>2374000</v>
      </c>
      <c r="K50" s="414">
        <v>86500</v>
      </c>
      <c r="L50" s="414"/>
      <c r="M50" s="414"/>
      <c r="N50" s="414">
        <f t="shared" si="29"/>
        <v>2287500</v>
      </c>
      <c r="O50" s="239">
        <f>((540000+1000000)+715000)+32500</f>
        <v>2287500</v>
      </c>
      <c r="P50" s="414">
        <f t="shared" si="27"/>
        <v>39108176</v>
      </c>
    </row>
    <row r="51" spans="1:22" ht="137.25" x14ac:dyDescent="0.2">
      <c r="A51" s="411" t="s">
        <v>783</v>
      </c>
      <c r="B51" s="410" t="s">
        <v>784</v>
      </c>
      <c r="C51" s="410"/>
      <c r="D51" s="410" t="s">
        <v>785</v>
      </c>
      <c r="E51" s="412">
        <f t="shared" ref="E51:E53" si="30">F51</f>
        <v>16621600</v>
      </c>
      <c r="F51" s="414">
        <f>SUM(F52:F53)</f>
        <v>16621600</v>
      </c>
      <c r="G51" s="239">
        <f t="shared" ref="G51:H51" si="31">SUM(G52:G53)</f>
        <v>0</v>
      </c>
      <c r="H51" s="239">
        <f t="shared" si="31"/>
        <v>0</v>
      </c>
      <c r="I51" s="414"/>
      <c r="J51" s="412">
        <f t="shared" ref="J51:J53" si="32">K51+N51</f>
        <v>0</v>
      </c>
      <c r="K51" s="414">
        <f>SUM(K52:K53)</f>
        <v>0</v>
      </c>
      <c r="L51" s="239">
        <f t="shared" ref="L51:M51" si="33">SUM(L52:L53)</f>
        <v>0</v>
      </c>
      <c r="M51" s="239">
        <f t="shared" si="33"/>
        <v>0</v>
      </c>
      <c r="N51" s="414">
        <f>SUM(N52:N53)</f>
        <v>0</v>
      </c>
      <c r="O51" s="239"/>
      <c r="P51" s="412">
        <f t="shared" ref="P51:P53" si="34">E51+J51</f>
        <v>16621600</v>
      </c>
    </row>
    <row r="52" spans="1:22" ht="183" x14ac:dyDescent="0.2">
      <c r="A52" s="413" t="s">
        <v>786</v>
      </c>
      <c r="B52" s="413" t="s">
        <v>787</v>
      </c>
      <c r="C52" s="410" t="s">
        <v>425</v>
      </c>
      <c r="D52" s="298" t="s">
        <v>788</v>
      </c>
      <c r="E52" s="414">
        <f t="shared" si="30"/>
        <v>10295900</v>
      </c>
      <c r="F52" s="414">
        <f>(6595200+(1340000))+2360700</f>
        <v>10295900</v>
      </c>
      <c r="G52" s="414"/>
      <c r="H52" s="414"/>
      <c r="I52" s="414"/>
      <c r="J52" s="414">
        <f t="shared" si="32"/>
        <v>0</v>
      </c>
      <c r="K52" s="414"/>
      <c r="L52" s="414"/>
      <c r="M52" s="414"/>
      <c r="N52" s="414">
        <f t="shared" ref="N52:N53" si="35">O52</f>
        <v>0</v>
      </c>
      <c r="O52" s="414"/>
      <c r="P52" s="414">
        <f t="shared" si="34"/>
        <v>10295900</v>
      </c>
    </row>
    <row r="53" spans="1:22" ht="183" x14ac:dyDescent="0.2">
      <c r="A53" s="413" t="s">
        <v>791</v>
      </c>
      <c r="B53" s="413" t="s">
        <v>790</v>
      </c>
      <c r="C53" s="410" t="s">
        <v>425</v>
      </c>
      <c r="D53" s="298" t="s">
        <v>789</v>
      </c>
      <c r="E53" s="414">
        <f t="shared" si="30"/>
        <v>6325700</v>
      </c>
      <c r="F53" s="414">
        <f>2835500+(3490200)</f>
        <v>6325700</v>
      </c>
      <c r="G53" s="414"/>
      <c r="H53" s="414"/>
      <c r="I53" s="414"/>
      <c r="J53" s="414">
        <f t="shared" si="32"/>
        <v>0</v>
      </c>
      <c r="K53" s="414"/>
      <c r="L53" s="414"/>
      <c r="M53" s="414"/>
      <c r="N53" s="414">
        <f t="shared" si="35"/>
        <v>0</v>
      </c>
      <c r="O53" s="414"/>
      <c r="P53" s="414">
        <f t="shared" si="34"/>
        <v>6325700</v>
      </c>
    </row>
    <row r="54" spans="1:22" ht="91.5" customHeight="1" x14ac:dyDescent="0.2">
      <c r="A54" s="411" t="s">
        <v>423</v>
      </c>
      <c r="B54" s="410" t="s">
        <v>424</v>
      </c>
      <c r="C54" s="410"/>
      <c r="D54" s="410" t="s">
        <v>426</v>
      </c>
      <c r="E54" s="412">
        <f t="shared" si="28"/>
        <v>2500300</v>
      </c>
      <c r="F54" s="414">
        <f>SUM(F55:F56)</f>
        <v>2500300</v>
      </c>
      <c r="G54" s="239">
        <f t="shared" ref="G54:H54" si="36">SUM(G55:G56)</f>
        <v>1567600</v>
      </c>
      <c r="H54" s="239">
        <f t="shared" si="36"/>
        <v>99700</v>
      </c>
      <c r="I54" s="414"/>
      <c r="J54" s="412">
        <f t="shared" si="26"/>
        <v>22800</v>
      </c>
      <c r="K54" s="414">
        <f>SUM(K55:K56)</f>
        <v>20400</v>
      </c>
      <c r="L54" s="239">
        <f t="shared" ref="L54" si="37">SUM(L55:L56)</f>
        <v>0</v>
      </c>
      <c r="M54" s="239">
        <f t="shared" ref="M54" si="38">SUM(M55:M56)</f>
        <v>0</v>
      </c>
      <c r="N54" s="414">
        <f>SUM(N55:N56)</f>
        <v>2400</v>
      </c>
      <c r="O54" s="414">
        <f>SUM(O55:O56)</f>
        <v>2400</v>
      </c>
      <c r="P54" s="412">
        <f t="shared" si="27"/>
        <v>2523100</v>
      </c>
    </row>
    <row r="55" spans="1:22" s="203" customFormat="1" ht="137.25" x14ac:dyDescent="0.2">
      <c r="A55" s="413" t="s">
        <v>660</v>
      </c>
      <c r="B55" s="413" t="s">
        <v>662</v>
      </c>
      <c r="C55" s="408" t="s">
        <v>425</v>
      </c>
      <c r="D55" s="298" t="s">
        <v>658</v>
      </c>
      <c r="E55" s="414">
        <f t="shared" ref="E55:E57" si="39">F55</f>
        <v>2200300</v>
      </c>
      <c r="F55" s="414">
        <f>((2459300-300000)+11000+10000)+20000</f>
        <v>2200300</v>
      </c>
      <c r="G55" s="414">
        <v>1567600</v>
      </c>
      <c r="H55" s="414">
        <v>99700</v>
      </c>
      <c r="I55" s="414"/>
      <c r="J55" s="414">
        <f t="shared" ref="J55:J57" si="40">K55+N55</f>
        <v>22800</v>
      </c>
      <c r="K55" s="414">
        <v>20400</v>
      </c>
      <c r="L55" s="414"/>
      <c r="M55" s="414"/>
      <c r="N55" s="414">
        <f t="shared" ref="N55:N56" si="41">O55</f>
        <v>2400</v>
      </c>
      <c r="O55" s="414">
        <f>(30000-10000)-17600</f>
        <v>2400</v>
      </c>
      <c r="P55" s="414">
        <f t="shared" ref="P55:P57" si="42">E55+J55</f>
        <v>2223100</v>
      </c>
    </row>
    <row r="56" spans="1:22" s="203" customFormat="1" ht="91.5" x14ac:dyDescent="0.2">
      <c r="A56" s="413" t="s">
        <v>661</v>
      </c>
      <c r="B56" s="413" t="s">
        <v>663</v>
      </c>
      <c r="C56" s="408" t="s">
        <v>425</v>
      </c>
      <c r="D56" s="298" t="s">
        <v>659</v>
      </c>
      <c r="E56" s="414">
        <f t="shared" si="39"/>
        <v>300000</v>
      </c>
      <c r="F56" s="414">
        <v>300000</v>
      </c>
      <c r="G56" s="414"/>
      <c r="H56" s="414"/>
      <c r="I56" s="414"/>
      <c r="J56" s="414">
        <f t="shared" si="40"/>
        <v>0</v>
      </c>
      <c r="K56" s="414"/>
      <c r="L56" s="414"/>
      <c r="M56" s="414"/>
      <c r="N56" s="414">
        <f t="shared" si="41"/>
        <v>0</v>
      </c>
      <c r="O56" s="414"/>
      <c r="P56" s="414">
        <f t="shared" si="42"/>
        <v>300000</v>
      </c>
    </row>
    <row r="57" spans="1:22" ht="91.5" x14ac:dyDescent="0.2">
      <c r="A57" s="411" t="s">
        <v>799</v>
      </c>
      <c r="B57" s="410" t="s">
        <v>800</v>
      </c>
      <c r="C57" s="410" t="s">
        <v>103</v>
      </c>
      <c r="D57" s="410" t="s">
        <v>801</v>
      </c>
      <c r="E57" s="412">
        <f t="shared" si="39"/>
        <v>184400</v>
      </c>
      <c r="F57" s="414">
        <f>(0)+184400</f>
        <v>184400</v>
      </c>
      <c r="G57" s="239"/>
      <c r="H57" s="239"/>
      <c r="I57" s="414"/>
      <c r="J57" s="412">
        <f t="shared" si="40"/>
        <v>1422437</v>
      </c>
      <c r="K57" s="414"/>
      <c r="L57" s="239"/>
      <c r="M57" s="239"/>
      <c r="N57" s="414">
        <f>O57</f>
        <v>1422437</v>
      </c>
      <c r="O57" s="239">
        <f>(452800)+921000+48637</f>
        <v>1422437</v>
      </c>
      <c r="P57" s="412">
        <f t="shared" si="42"/>
        <v>1606837</v>
      </c>
    </row>
    <row r="58" spans="1:22" ht="225" x14ac:dyDescent="0.2">
      <c r="A58" s="277" t="s">
        <v>310</v>
      </c>
      <c r="B58" s="277"/>
      <c r="C58" s="277"/>
      <c r="D58" s="278" t="s">
        <v>92</v>
      </c>
      <c r="E58" s="243">
        <f>E59</f>
        <v>987481959</v>
      </c>
      <c r="F58" s="243">
        <f>F59</f>
        <v>987481959</v>
      </c>
      <c r="G58" s="243">
        <f>G59</f>
        <v>14120200</v>
      </c>
      <c r="H58" s="243">
        <f t="shared" ref="H58:O58" si="43">H59</f>
        <v>881300</v>
      </c>
      <c r="I58" s="243">
        <f t="shared" si="43"/>
        <v>0</v>
      </c>
      <c r="J58" s="243">
        <f t="shared" si="43"/>
        <v>10900222.629999999</v>
      </c>
      <c r="K58" s="243">
        <f t="shared" si="43"/>
        <v>94000</v>
      </c>
      <c r="L58" s="243">
        <f t="shared" si="43"/>
        <v>50000</v>
      </c>
      <c r="M58" s="243">
        <f t="shared" si="43"/>
        <v>4000</v>
      </c>
      <c r="N58" s="243">
        <f t="shared" si="43"/>
        <v>10806222.629999999</v>
      </c>
      <c r="O58" s="244">
        <f t="shared" si="43"/>
        <v>10806222.629999999</v>
      </c>
      <c r="P58" s="244">
        <f>P59</f>
        <v>998382181.63</v>
      </c>
    </row>
    <row r="59" spans="1:22" ht="225" x14ac:dyDescent="0.2">
      <c r="A59" s="280" t="s">
        <v>311</v>
      </c>
      <c r="B59" s="280"/>
      <c r="C59" s="280"/>
      <c r="D59" s="281" t="s">
        <v>93</v>
      </c>
      <c r="E59" s="244">
        <f>E97+E89+E105+E92+E72+E81+E66+E60+E63+E103+E80+E88+E93+E96</f>
        <v>987481959</v>
      </c>
      <c r="F59" s="243">
        <f>F97+F89+F105+F92+F72+F81+F66+F60+F63+F103+F80+F88+F93+F96</f>
        <v>987481959</v>
      </c>
      <c r="G59" s="244">
        <f>G97+G89+G105+G92+G72+G81+G66+G60+G63+G103+G80+G88</f>
        <v>14120200</v>
      </c>
      <c r="H59" s="244">
        <f>H97+H89+H105+H92+H72+H81+H66+H60+H63+H103+H80+H88</f>
        <v>881300</v>
      </c>
      <c r="I59" s="243">
        <v>0</v>
      </c>
      <c r="J59" s="244">
        <f t="shared" ref="J59:J66" si="44">K59+N59</f>
        <v>10900222.629999999</v>
      </c>
      <c r="K59" s="243">
        <f>K97+K89+K105+K92+K72+K81+K66+K60+K63+K103+K80+K88+K108+K99</f>
        <v>94000</v>
      </c>
      <c r="L59" s="244">
        <f>L97+L89+L105+L92+L72+L81+L66+L60+L63+L103+L80+L88</f>
        <v>50000</v>
      </c>
      <c r="M59" s="244">
        <f>M97+M89+M105+M92+M72+M81+M66+M60+M63+M103+M80+M88</f>
        <v>4000</v>
      </c>
      <c r="N59" s="243">
        <f>N97+N89+N105+N92+N72+N81+N66+N60+N63+N103+N80+N88+N108+N99</f>
        <v>10806222.629999999</v>
      </c>
      <c r="O59" s="244">
        <f>O97+O89+O105+O92+O72+O81+O66+O60+O63+O103+O80+O88+O108+O99</f>
        <v>10806222.629999999</v>
      </c>
      <c r="P59" s="244">
        <f t="shared" ref="P59:P66" si="45">E59+J59</f>
        <v>998382181.63</v>
      </c>
      <c r="Q59" s="311" t="b">
        <f>P59=P61+P62+P64+P65+P67+P68+P69+P70+P71+P73+P74+P75+P76+P77+P78+P79+P80+P83+P84+P85+P86+P87+P88+P90+P91+P92+P94+P95+P96+P98+P100+P103+P106+P107+P109</f>
        <v>1</v>
      </c>
      <c r="R59" s="325" t="b">
        <f>O59='dod5'!J54</f>
        <v>1</v>
      </c>
      <c r="S59" s="312"/>
      <c r="T59" s="311"/>
      <c r="U59" s="312"/>
      <c r="V59" s="312"/>
    </row>
    <row r="60" spans="1:22" ht="366" x14ac:dyDescent="0.2">
      <c r="A60" s="468" t="s">
        <v>451</v>
      </c>
      <c r="B60" s="468" t="s">
        <v>452</v>
      </c>
      <c r="C60" s="468"/>
      <c r="D60" s="468" t="s">
        <v>14</v>
      </c>
      <c r="E60" s="471">
        <f t="shared" ref="E60:E66" si="46">F60</f>
        <v>523967300</v>
      </c>
      <c r="F60" s="473">
        <f>F61+F62</f>
        <v>523967300</v>
      </c>
      <c r="G60" s="239">
        <f>G61+G62</f>
        <v>0</v>
      </c>
      <c r="H60" s="239">
        <f>H61+H62</f>
        <v>0</v>
      </c>
      <c r="I60" s="473">
        <f>I61+I62</f>
        <v>0</v>
      </c>
      <c r="J60" s="471">
        <f t="shared" si="44"/>
        <v>0</v>
      </c>
      <c r="K60" s="473">
        <f>K61+K62</f>
        <v>0</v>
      </c>
      <c r="L60" s="239">
        <f>L61+L62</f>
        <v>0</v>
      </c>
      <c r="M60" s="239">
        <f>M61+M62</f>
        <v>0</v>
      </c>
      <c r="N60" s="473">
        <f>N61+N62</f>
        <v>0</v>
      </c>
      <c r="O60" s="239">
        <f>O61+O62</f>
        <v>0</v>
      </c>
      <c r="P60" s="471">
        <f t="shared" si="45"/>
        <v>523967300</v>
      </c>
    </row>
    <row r="61" spans="1:22" ht="183" x14ac:dyDescent="0.2">
      <c r="A61" s="465" t="s">
        <v>453</v>
      </c>
      <c r="B61" s="465" t="s">
        <v>454</v>
      </c>
      <c r="C61" s="465" t="s">
        <v>385</v>
      </c>
      <c r="D61" s="301" t="s">
        <v>450</v>
      </c>
      <c r="E61" s="466">
        <f t="shared" si="46"/>
        <v>57500000</v>
      </c>
      <c r="F61" s="466">
        <v>57500000</v>
      </c>
      <c r="G61" s="466"/>
      <c r="H61" s="466"/>
      <c r="I61" s="466"/>
      <c r="J61" s="466">
        <f t="shared" si="44"/>
        <v>0</v>
      </c>
      <c r="K61" s="466"/>
      <c r="L61" s="466"/>
      <c r="M61" s="466"/>
      <c r="N61" s="466">
        <f>O61</f>
        <v>0</v>
      </c>
      <c r="O61" s="242"/>
      <c r="P61" s="466">
        <f t="shared" si="45"/>
        <v>57500000</v>
      </c>
    </row>
    <row r="62" spans="1:22" ht="183" x14ac:dyDescent="0.2">
      <c r="A62" s="302" t="s">
        <v>476</v>
      </c>
      <c r="B62" s="465" t="s">
        <v>477</v>
      </c>
      <c r="C62" s="465" t="s">
        <v>117</v>
      </c>
      <c r="D62" s="472" t="s">
        <v>15</v>
      </c>
      <c r="E62" s="191">
        <f t="shared" si="46"/>
        <v>466467300</v>
      </c>
      <c r="F62" s="473">
        <v>466467300</v>
      </c>
      <c r="G62" s="473"/>
      <c r="H62" s="473"/>
      <c r="I62" s="473"/>
      <c r="J62" s="466">
        <f t="shared" si="44"/>
        <v>0</v>
      </c>
      <c r="K62" s="473"/>
      <c r="L62" s="473"/>
      <c r="M62" s="473"/>
      <c r="N62" s="473">
        <f>O62</f>
        <v>0</v>
      </c>
      <c r="O62" s="473"/>
      <c r="P62" s="473">
        <f t="shared" si="45"/>
        <v>466467300</v>
      </c>
    </row>
    <row r="63" spans="1:22" ht="228.75" x14ac:dyDescent="0.2">
      <c r="A63" s="469" t="s">
        <v>478</v>
      </c>
      <c r="B63" s="469" t="s">
        <v>479</v>
      </c>
      <c r="C63" s="472"/>
      <c r="D63" s="469" t="s">
        <v>16</v>
      </c>
      <c r="E63" s="471">
        <f t="shared" si="46"/>
        <v>60000</v>
      </c>
      <c r="F63" s="471">
        <f>F64+F65</f>
        <v>60000</v>
      </c>
      <c r="G63" s="239">
        <f>G64+G65</f>
        <v>0</v>
      </c>
      <c r="H63" s="239">
        <f>H64+H65</f>
        <v>0</v>
      </c>
      <c r="I63" s="239">
        <f>I64+I65</f>
        <v>0</v>
      </c>
      <c r="J63" s="471">
        <f t="shared" si="44"/>
        <v>0</v>
      </c>
      <c r="K63" s="239">
        <f>K64+K65</f>
        <v>0</v>
      </c>
      <c r="L63" s="239">
        <f>L64+L65</f>
        <v>0</v>
      </c>
      <c r="M63" s="239">
        <f>M64+M65</f>
        <v>0</v>
      </c>
      <c r="N63" s="239">
        <f>N64+N65</f>
        <v>0</v>
      </c>
      <c r="O63" s="239">
        <f>O64+O65</f>
        <v>0</v>
      </c>
      <c r="P63" s="471">
        <f t="shared" si="45"/>
        <v>60000</v>
      </c>
    </row>
    <row r="64" spans="1:22" ht="274.5" x14ac:dyDescent="0.2">
      <c r="A64" s="472" t="s">
        <v>481</v>
      </c>
      <c r="B64" s="472" t="s">
        <v>482</v>
      </c>
      <c r="C64" s="472" t="s">
        <v>385</v>
      </c>
      <c r="D64" s="303" t="s">
        <v>480</v>
      </c>
      <c r="E64" s="466">
        <f t="shared" si="46"/>
        <v>2000</v>
      </c>
      <c r="F64" s="466">
        <v>2000</v>
      </c>
      <c r="G64" s="466"/>
      <c r="H64" s="466"/>
      <c r="I64" s="466"/>
      <c r="J64" s="466">
        <f t="shared" si="44"/>
        <v>0</v>
      </c>
      <c r="K64" s="466"/>
      <c r="L64" s="466"/>
      <c r="M64" s="466"/>
      <c r="N64" s="466">
        <f>O64</f>
        <v>0</v>
      </c>
      <c r="O64" s="242"/>
      <c r="P64" s="466">
        <f t="shared" si="45"/>
        <v>2000</v>
      </c>
    </row>
    <row r="65" spans="1:16" ht="228.75" x14ac:dyDescent="0.2">
      <c r="A65" s="472" t="s">
        <v>483</v>
      </c>
      <c r="B65" s="472" t="s">
        <v>484</v>
      </c>
      <c r="C65" s="303">
        <v>1060</v>
      </c>
      <c r="D65" s="304" t="s">
        <v>27</v>
      </c>
      <c r="E65" s="473">
        <f t="shared" si="46"/>
        <v>58000</v>
      </c>
      <c r="F65" s="473">
        <f>56400+1600</f>
        <v>58000</v>
      </c>
      <c r="G65" s="473"/>
      <c r="H65" s="473"/>
      <c r="I65" s="473"/>
      <c r="J65" s="473">
        <f t="shared" si="44"/>
        <v>0</v>
      </c>
      <c r="K65" s="473"/>
      <c r="L65" s="473"/>
      <c r="M65" s="473"/>
      <c r="N65" s="473">
        <f>O65</f>
        <v>0</v>
      </c>
      <c r="O65" s="239"/>
      <c r="P65" s="473">
        <f t="shared" si="45"/>
        <v>58000</v>
      </c>
    </row>
    <row r="66" spans="1:16" ht="274.5" x14ac:dyDescent="0.2">
      <c r="A66" s="468" t="s">
        <v>514</v>
      </c>
      <c r="B66" s="468" t="s">
        <v>515</v>
      </c>
      <c r="C66" s="468"/>
      <c r="D66" s="305" t="s">
        <v>513</v>
      </c>
      <c r="E66" s="467">
        <f t="shared" si="46"/>
        <v>73462930</v>
      </c>
      <c r="F66" s="466">
        <f>F67+F68+F69+F70+F71</f>
        <v>73462930</v>
      </c>
      <c r="G66" s="242">
        <f>G67+G68+G69+G70+G71</f>
        <v>0</v>
      </c>
      <c r="H66" s="242">
        <f>H67+H68+H69+H70+H71</f>
        <v>0</v>
      </c>
      <c r="I66" s="466">
        <f>I67+I68+I69+I70+I71</f>
        <v>0</v>
      </c>
      <c r="J66" s="467">
        <f t="shared" si="44"/>
        <v>100000</v>
      </c>
      <c r="K66" s="466">
        <f>K67+K68+K69+K70+K71</f>
        <v>0</v>
      </c>
      <c r="L66" s="242">
        <f>L67+L68+L69+L70+L71</f>
        <v>0</v>
      </c>
      <c r="M66" s="242">
        <f>M67+M68+M69+M70+M71</f>
        <v>0</v>
      </c>
      <c r="N66" s="466">
        <f>N67+N68+N69+N70+N71</f>
        <v>100000</v>
      </c>
      <c r="O66" s="242">
        <f>O67+O68+O69+O70+O71</f>
        <v>100000</v>
      </c>
      <c r="P66" s="467">
        <f t="shared" si="45"/>
        <v>73562930</v>
      </c>
    </row>
    <row r="67" spans="1:16" s="203" customFormat="1" ht="137.25" x14ac:dyDescent="0.2">
      <c r="A67" s="465" t="s">
        <v>516</v>
      </c>
      <c r="B67" s="465" t="s">
        <v>517</v>
      </c>
      <c r="C67" s="465" t="s">
        <v>385</v>
      </c>
      <c r="D67" s="306" t="s">
        <v>518</v>
      </c>
      <c r="E67" s="466">
        <f>F67</f>
        <v>315130</v>
      </c>
      <c r="F67" s="466">
        <v>315130</v>
      </c>
      <c r="G67" s="466"/>
      <c r="H67" s="466"/>
      <c r="I67" s="466"/>
      <c r="J67" s="466">
        <f>K67+N67</f>
        <v>100000</v>
      </c>
      <c r="K67" s="466"/>
      <c r="L67" s="466"/>
      <c r="M67" s="466"/>
      <c r="N67" s="466">
        <f>O67</f>
        <v>100000</v>
      </c>
      <c r="O67" s="466">
        <v>100000</v>
      </c>
      <c r="P67" s="466">
        <f>E67+J67</f>
        <v>415130</v>
      </c>
    </row>
    <row r="68" spans="1:16" s="203" customFormat="1" ht="137.25" x14ac:dyDescent="0.2">
      <c r="A68" s="472" t="s">
        <v>519</v>
      </c>
      <c r="B68" s="472" t="s">
        <v>520</v>
      </c>
      <c r="C68" s="472" t="s">
        <v>386</v>
      </c>
      <c r="D68" s="472" t="s">
        <v>24</v>
      </c>
      <c r="E68" s="473">
        <f t="shared" ref="E68:E97" si="47">F68</f>
        <v>1550000</v>
      </c>
      <c r="F68" s="473">
        <f>(1750000)-200000</f>
        <v>1550000</v>
      </c>
      <c r="G68" s="473"/>
      <c r="H68" s="473"/>
      <c r="I68" s="473"/>
      <c r="J68" s="473">
        <f t="shared" ref="J68:J97" si="48">K68+N68</f>
        <v>0</v>
      </c>
      <c r="K68" s="473"/>
      <c r="L68" s="473"/>
      <c r="M68" s="473"/>
      <c r="N68" s="473">
        <f>O68</f>
        <v>0</v>
      </c>
      <c r="O68" s="473"/>
      <c r="P68" s="473">
        <f t="shared" ref="P68:P91" si="49">E68+J68</f>
        <v>1550000</v>
      </c>
    </row>
    <row r="69" spans="1:16" s="203" customFormat="1" ht="183" x14ac:dyDescent="0.2">
      <c r="A69" s="472" t="s">
        <v>522</v>
      </c>
      <c r="B69" s="472" t="s">
        <v>523</v>
      </c>
      <c r="C69" s="472" t="s">
        <v>386</v>
      </c>
      <c r="D69" s="465" t="s">
        <v>25</v>
      </c>
      <c r="E69" s="473">
        <f t="shared" si="47"/>
        <v>5000000</v>
      </c>
      <c r="F69" s="473">
        <v>5000000</v>
      </c>
      <c r="G69" s="473"/>
      <c r="H69" s="473"/>
      <c r="I69" s="473"/>
      <c r="J69" s="473">
        <f t="shared" si="48"/>
        <v>0</v>
      </c>
      <c r="K69" s="473"/>
      <c r="L69" s="473"/>
      <c r="M69" s="473"/>
      <c r="N69" s="473">
        <f>O69</f>
        <v>0</v>
      </c>
      <c r="O69" s="473"/>
      <c r="P69" s="473">
        <f t="shared" si="49"/>
        <v>5000000</v>
      </c>
    </row>
    <row r="70" spans="1:16" s="203" customFormat="1" ht="183" x14ac:dyDescent="0.2">
      <c r="A70" s="465" t="s">
        <v>524</v>
      </c>
      <c r="B70" s="465" t="s">
        <v>521</v>
      </c>
      <c r="C70" s="465" t="s">
        <v>386</v>
      </c>
      <c r="D70" s="465" t="s">
        <v>26</v>
      </c>
      <c r="E70" s="473">
        <f t="shared" si="47"/>
        <v>400000</v>
      </c>
      <c r="F70" s="473">
        <v>400000</v>
      </c>
      <c r="G70" s="473"/>
      <c r="H70" s="473"/>
      <c r="I70" s="473"/>
      <c r="J70" s="473">
        <f t="shared" si="48"/>
        <v>0</v>
      </c>
      <c r="K70" s="473"/>
      <c r="L70" s="473"/>
      <c r="M70" s="473"/>
      <c r="N70" s="473">
        <f>O70</f>
        <v>0</v>
      </c>
      <c r="O70" s="473"/>
      <c r="P70" s="473">
        <f t="shared" si="49"/>
        <v>400000</v>
      </c>
    </row>
    <row r="71" spans="1:16" s="203" customFormat="1" ht="183" x14ac:dyDescent="0.2">
      <c r="A71" s="465" t="s">
        <v>525</v>
      </c>
      <c r="B71" s="465" t="s">
        <v>526</v>
      </c>
      <c r="C71" s="465" t="s">
        <v>386</v>
      </c>
      <c r="D71" s="465" t="s">
        <v>31</v>
      </c>
      <c r="E71" s="473">
        <f t="shared" si="47"/>
        <v>66197800</v>
      </c>
      <c r="F71" s="473">
        <f>(59197800)+7000000</f>
        <v>66197800</v>
      </c>
      <c r="G71" s="473"/>
      <c r="H71" s="473"/>
      <c r="I71" s="473"/>
      <c r="J71" s="473">
        <f t="shared" si="48"/>
        <v>0</v>
      </c>
      <c r="K71" s="473"/>
      <c r="L71" s="473"/>
      <c r="M71" s="473"/>
      <c r="N71" s="473">
        <f>O71</f>
        <v>0</v>
      </c>
      <c r="O71" s="473"/>
      <c r="P71" s="473">
        <f t="shared" si="49"/>
        <v>66197800</v>
      </c>
    </row>
    <row r="72" spans="1:16" ht="183" x14ac:dyDescent="0.2">
      <c r="A72" s="469" t="s">
        <v>455</v>
      </c>
      <c r="B72" s="469" t="s">
        <v>456</v>
      </c>
      <c r="C72" s="469"/>
      <c r="D72" s="469" t="s">
        <v>733</v>
      </c>
      <c r="E72" s="471">
        <f t="shared" si="47"/>
        <v>231787720</v>
      </c>
      <c r="F72" s="473">
        <f>SUM(F73:F79)</f>
        <v>231787720</v>
      </c>
      <c r="G72" s="239">
        <f>SUM(G73:G79)</f>
        <v>0</v>
      </c>
      <c r="H72" s="239">
        <f>SUM(H73:H79)</f>
        <v>0</v>
      </c>
      <c r="I72" s="473">
        <f>SUM(I73:I79)</f>
        <v>0</v>
      </c>
      <c r="J72" s="471">
        <f t="shared" si="48"/>
        <v>0</v>
      </c>
      <c r="K72" s="473">
        <f>SUM(K73:K79)</f>
        <v>0</v>
      </c>
      <c r="L72" s="239">
        <f>SUM(L73:L79)</f>
        <v>0</v>
      </c>
      <c r="M72" s="239">
        <f>SUM(M73:M79)</f>
        <v>0</v>
      </c>
      <c r="N72" s="473">
        <f>SUM(N73:N79)</f>
        <v>0</v>
      </c>
      <c r="O72" s="239">
        <f>SUM(O73:O79)</f>
        <v>0</v>
      </c>
      <c r="P72" s="471">
        <f t="shared" si="49"/>
        <v>231787720</v>
      </c>
    </row>
    <row r="73" spans="1:16" s="203" customFormat="1" ht="91.5" x14ac:dyDescent="0.2">
      <c r="A73" s="472" t="s">
        <v>465</v>
      </c>
      <c r="B73" s="472" t="s">
        <v>457</v>
      </c>
      <c r="C73" s="472" t="s">
        <v>353</v>
      </c>
      <c r="D73" s="472" t="s">
        <v>18</v>
      </c>
      <c r="E73" s="473">
        <f t="shared" si="47"/>
        <v>2853000</v>
      </c>
      <c r="F73" s="473">
        <v>2853000</v>
      </c>
      <c r="G73" s="473"/>
      <c r="H73" s="473"/>
      <c r="I73" s="473"/>
      <c r="J73" s="473">
        <f t="shared" si="48"/>
        <v>0</v>
      </c>
      <c r="K73" s="473"/>
      <c r="L73" s="473"/>
      <c r="M73" s="473"/>
      <c r="N73" s="473">
        <f t="shared" ref="N73:N88" si="50">O73</f>
        <v>0</v>
      </c>
      <c r="O73" s="473"/>
      <c r="P73" s="473">
        <f t="shared" si="49"/>
        <v>2853000</v>
      </c>
    </row>
    <row r="74" spans="1:16" s="203" customFormat="1" ht="91.5" x14ac:dyDescent="0.2">
      <c r="A74" s="472" t="s">
        <v>466</v>
      </c>
      <c r="B74" s="472" t="s">
        <v>458</v>
      </c>
      <c r="C74" s="472" t="s">
        <v>353</v>
      </c>
      <c r="D74" s="472" t="s">
        <v>464</v>
      </c>
      <c r="E74" s="473">
        <f>F74</f>
        <v>305000</v>
      </c>
      <c r="F74" s="473">
        <v>305000</v>
      </c>
      <c r="G74" s="473"/>
      <c r="H74" s="473"/>
      <c r="I74" s="473"/>
      <c r="J74" s="473">
        <f>K74+N74</f>
        <v>0</v>
      </c>
      <c r="K74" s="473"/>
      <c r="L74" s="473"/>
      <c r="M74" s="473"/>
      <c r="N74" s="473">
        <f>O74</f>
        <v>0</v>
      </c>
      <c r="O74" s="473"/>
      <c r="P74" s="473">
        <f>E74+J74</f>
        <v>305000</v>
      </c>
    </row>
    <row r="75" spans="1:16" s="203" customFormat="1" ht="91.5" x14ac:dyDescent="0.2">
      <c r="A75" s="472" t="s">
        <v>467</v>
      </c>
      <c r="B75" s="472" t="s">
        <v>459</v>
      </c>
      <c r="C75" s="472" t="s">
        <v>353</v>
      </c>
      <c r="D75" s="472" t="s">
        <v>19</v>
      </c>
      <c r="E75" s="473">
        <f t="shared" si="47"/>
        <v>155242720</v>
      </c>
      <c r="F75" s="473">
        <f>155000000+6123900+780000-(6661180)</f>
        <v>155242720</v>
      </c>
      <c r="G75" s="473"/>
      <c r="H75" s="473"/>
      <c r="I75" s="473"/>
      <c r="J75" s="473">
        <f t="shared" si="48"/>
        <v>0</v>
      </c>
      <c r="K75" s="473"/>
      <c r="L75" s="473"/>
      <c r="M75" s="473"/>
      <c r="N75" s="473">
        <f t="shared" si="50"/>
        <v>0</v>
      </c>
      <c r="O75" s="473"/>
      <c r="P75" s="473">
        <f t="shared" si="49"/>
        <v>155242720</v>
      </c>
    </row>
    <row r="76" spans="1:16" s="203" customFormat="1" ht="137.25" x14ac:dyDescent="0.2">
      <c r="A76" s="472" t="s">
        <v>468</v>
      </c>
      <c r="B76" s="472" t="s">
        <v>460</v>
      </c>
      <c r="C76" s="472" t="s">
        <v>353</v>
      </c>
      <c r="D76" s="472" t="s">
        <v>20</v>
      </c>
      <c r="E76" s="473">
        <f t="shared" si="47"/>
        <v>4390000</v>
      </c>
      <c r="F76" s="473">
        <v>4390000</v>
      </c>
      <c r="G76" s="473"/>
      <c r="H76" s="473"/>
      <c r="I76" s="473"/>
      <c r="J76" s="473">
        <f t="shared" si="48"/>
        <v>0</v>
      </c>
      <c r="K76" s="473"/>
      <c r="L76" s="473"/>
      <c r="M76" s="473"/>
      <c r="N76" s="473">
        <f t="shared" si="50"/>
        <v>0</v>
      </c>
      <c r="O76" s="473"/>
      <c r="P76" s="473">
        <f t="shared" si="49"/>
        <v>4390000</v>
      </c>
    </row>
    <row r="77" spans="1:16" s="203" customFormat="1" ht="91.5" x14ac:dyDescent="0.2">
      <c r="A77" s="472" t="s">
        <v>469</v>
      </c>
      <c r="B77" s="472" t="s">
        <v>461</v>
      </c>
      <c r="C77" s="472" t="s">
        <v>353</v>
      </c>
      <c r="D77" s="472" t="s">
        <v>21</v>
      </c>
      <c r="E77" s="473">
        <f t="shared" si="47"/>
        <v>24267000</v>
      </c>
      <c r="F77" s="473">
        <v>24267000</v>
      </c>
      <c r="G77" s="473"/>
      <c r="H77" s="473"/>
      <c r="I77" s="473"/>
      <c r="J77" s="473">
        <f t="shared" si="48"/>
        <v>0</v>
      </c>
      <c r="K77" s="473"/>
      <c r="L77" s="473"/>
      <c r="M77" s="473"/>
      <c r="N77" s="473">
        <f t="shared" si="50"/>
        <v>0</v>
      </c>
      <c r="O77" s="473"/>
      <c r="P77" s="473">
        <f t="shared" si="49"/>
        <v>24267000</v>
      </c>
    </row>
    <row r="78" spans="1:16" s="203" customFormat="1" ht="91.5" x14ac:dyDescent="0.2">
      <c r="A78" s="472" t="s">
        <v>470</v>
      </c>
      <c r="B78" s="472" t="s">
        <v>462</v>
      </c>
      <c r="C78" s="472" t="s">
        <v>353</v>
      </c>
      <c r="D78" s="472" t="s">
        <v>22</v>
      </c>
      <c r="E78" s="473">
        <f t="shared" si="47"/>
        <v>3330000</v>
      </c>
      <c r="F78" s="473">
        <v>3330000</v>
      </c>
      <c r="G78" s="473"/>
      <c r="H78" s="473"/>
      <c r="I78" s="473"/>
      <c r="J78" s="473">
        <f t="shared" si="48"/>
        <v>0</v>
      </c>
      <c r="K78" s="473"/>
      <c r="L78" s="473"/>
      <c r="M78" s="473"/>
      <c r="N78" s="473">
        <f t="shared" si="50"/>
        <v>0</v>
      </c>
      <c r="O78" s="473"/>
      <c r="P78" s="473">
        <f t="shared" si="49"/>
        <v>3330000</v>
      </c>
    </row>
    <row r="79" spans="1:16" s="203" customFormat="1" ht="137.25" x14ac:dyDescent="0.2">
      <c r="A79" s="472" t="s">
        <v>471</v>
      </c>
      <c r="B79" s="472" t="s">
        <v>463</v>
      </c>
      <c r="C79" s="472" t="s">
        <v>353</v>
      </c>
      <c r="D79" s="472" t="s">
        <v>23</v>
      </c>
      <c r="E79" s="473">
        <f t="shared" si="47"/>
        <v>41400000</v>
      </c>
      <c r="F79" s="473">
        <v>41400000</v>
      </c>
      <c r="G79" s="473"/>
      <c r="H79" s="473"/>
      <c r="I79" s="473"/>
      <c r="J79" s="473">
        <f t="shared" si="48"/>
        <v>0</v>
      </c>
      <c r="K79" s="473"/>
      <c r="L79" s="473"/>
      <c r="M79" s="473"/>
      <c r="N79" s="473">
        <f t="shared" si="50"/>
        <v>0</v>
      </c>
      <c r="O79" s="473"/>
      <c r="P79" s="473">
        <f t="shared" si="49"/>
        <v>41400000</v>
      </c>
    </row>
    <row r="80" spans="1:16" ht="183" x14ac:dyDescent="0.2">
      <c r="A80" s="469" t="s">
        <v>485</v>
      </c>
      <c r="B80" s="469" t="s">
        <v>472</v>
      </c>
      <c r="C80" s="469" t="s">
        <v>386</v>
      </c>
      <c r="D80" s="469" t="s">
        <v>17</v>
      </c>
      <c r="E80" s="471">
        <f t="shared" si="47"/>
        <v>174859</v>
      </c>
      <c r="F80" s="473">
        <v>174859</v>
      </c>
      <c r="G80" s="239"/>
      <c r="H80" s="239"/>
      <c r="I80" s="473"/>
      <c r="J80" s="471">
        <f t="shared" si="48"/>
        <v>0</v>
      </c>
      <c r="K80" s="473"/>
      <c r="L80" s="239"/>
      <c r="M80" s="239"/>
      <c r="N80" s="473">
        <f t="shared" si="50"/>
        <v>0</v>
      </c>
      <c r="O80" s="239"/>
      <c r="P80" s="471">
        <f t="shared" si="49"/>
        <v>174859</v>
      </c>
    </row>
    <row r="81" spans="1:16" ht="361.5" customHeight="1" x14ac:dyDescent="0.2">
      <c r="A81" s="720" t="s">
        <v>475</v>
      </c>
      <c r="B81" s="721" t="s">
        <v>473</v>
      </c>
      <c r="C81" s="721"/>
      <c r="D81" s="307" t="s">
        <v>737</v>
      </c>
      <c r="E81" s="723">
        <f t="shared" si="47"/>
        <v>105286800</v>
      </c>
      <c r="F81" s="724">
        <f>SUM(F83:F87)</f>
        <v>105286800</v>
      </c>
      <c r="G81" s="724"/>
      <c r="H81" s="724"/>
      <c r="I81" s="724"/>
      <c r="J81" s="725">
        <f t="shared" si="48"/>
        <v>0</v>
      </c>
      <c r="K81" s="724"/>
      <c r="L81" s="724"/>
      <c r="M81" s="724"/>
      <c r="N81" s="724">
        <f t="shared" si="50"/>
        <v>0</v>
      </c>
      <c r="O81" s="724"/>
      <c r="P81" s="725">
        <f t="shared" si="49"/>
        <v>105286800</v>
      </c>
    </row>
    <row r="82" spans="1:16" ht="336" customHeight="1" x14ac:dyDescent="0.2">
      <c r="A82" s="694"/>
      <c r="B82" s="722"/>
      <c r="C82" s="722"/>
      <c r="D82" s="308" t="s">
        <v>738</v>
      </c>
      <c r="E82" s="722"/>
      <c r="F82" s="719"/>
      <c r="G82" s="694"/>
      <c r="H82" s="694"/>
      <c r="I82" s="719"/>
      <c r="J82" s="694"/>
      <c r="K82" s="719"/>
      <c r="L82" s="694"/>
      <c r="M82" s="694"/>
      <c r="N82" s="719"/>
      <c r="O82" s="694"/>
      <c r="P82" s="694"/>
    </row>
    <row r="83" spans="1:16" s="203" customFormat="1" ht="183" x14ac:dyDescent="0.2">
      <c r="A83" s="472" t="s">
        <v>739</v>
      </c>
      <c r="B83" s="472" t="s">
        <v>740</v>
      </c>
      <c r="C83" s="472" t="s">
        <v>377</v>
      </c>
      <c r="D83" s="472" t="s">
        <v>736</v>
      </c>
      <c r="E83" s="473">
        <f t="shared" ref="E83:E87" si="51">F83</f>
        <v>62560700</v>
      </c>
      <c r="F83" s="473">
        <f>62560700+270822.5-(270822.5)</f>
        <v>62560700</v>
      </c>
      <c r="G83" s="473"/>
      <c r="H83" s="473"/>
      <c r="I83" s="473"/>
      <c r="J83" s="473">
        <f t="shared" ref="J83" si="52">K83+N83</f>
        <v>0</v>
      </c>
      <c r="K83" s="473"/>
      <c r="L83" s="473"/>
      <c r="M83" s="473"/>
      <c r="N83" s="473">
        <f t="shared" ref="N83" si="53">O83</f>
        <v>0</v>
      </c>
      <c r="O83" s="473"/>
      <c r="P83" s="473">
        <f t="shared" ref="P83:P87" si="54">E83+J83</f>
        <v>62560700</v>
      </c>
    </row>
    <row r="84" spans="1:16" s="203" customFormat="1" ht="274.5" x14ac:dyDescent="0.2">
      <c r="A84" s="472" t="s">
        <v>846</v>
      </c>
      <c r="B84" s="472" t="s">
        <v>847</v>
      </c>
      <c r="C84" s="472" t="s">
        <v>377</v>
      </c>
      <c r="D84" s="472" t="s">
        <v>848</v>
      </c>
      <c r="E84" s="473">
        <f t="shared" ref="E84" si="55">F84</f>
        <v>16226448.640000001</v>
      </c>
      <c r="F84" s="473">
        <f>(10757096.4+6300+(963212.07+963052.24-963212.07))+4500000</f>
        <v>16226448.640000001</v>
      </c>
      <c r="G84" s="473"/>
      <c r="H84" s="473"/>
      <c r="I84" s="473"/>
      <c r="J84" s="473">
        <f t="shared" ref="J84" si="56">K84+N84</f>
        <v>0</v>
      </c>
      <c r="K84" s="473"/>
      <c r="L84" s="473"/>
      <c r="M84" s="473"/>
      <c r="N84" s="473">
        <f t="shared" ref="N84" si="57">O84</f>
        <v>0</v>
      </c>
      <c r="O84" s="473"/>
      <c r="P84" s="473">
        <f t="shared" ref="P84" si="58">E84+J84</f>
        <v>16226448.640000001</v>
      </c>
    </row>
    <row r="85" spans="1:16" s="203" customFormat="1" ht="183" x14ac:dyDescent="0.2">
      <c r="A85" s="472" t="s">
        <v>734</v>
      </c>
      <c r="B85" s="472" t="s">
        <v>735</v>
      </c>
      <c r="C85" s="472" t="s">
        <v>377</v>
      </c>
      <c r="D85" s="472" t="s">
        <v>664</v>
      </c>
      <c r="E85" s="473">
        <f t="shared" ref="E85:E86" si="59">F85</f>
        <v>24737747.760000002</v>
      </c>
      <c r="F85" s="473">
        <f>(11605800+18595000-(963052.24))-4500000</f>
        <v>24737747.760000002</v>
      </c>
      <c r="G85" s="473"/>
      <c r="H85" s="473"/>
      <c r="I85" s="473"/>
      <c r="J85" s="473">
        <f>K85+N85</f>
        <v>0</v>
      </c>
      <c r="K85" s="473"/>
      <c r="L85" s="473"/>
      <c r="M85" s="473"/>
      <c r="N85" s="473"/>
      <c r="O85" s="473"/>
      <c r="P85" s="473">
        <f t="shared" ref="P85:P86" si="60">E85+J85</f>
        <v>24737747.760000002</v>
      </c>
    </row>
    <row r="86" spans="1:16" s="203" customFormat="1" ht="274.5" x14ac:dyDescent="0.2">
      <c r="A86" s="472" t="s">
        <v>743</v>
      </c>
      <c r="B86" s="472" t="s">
        <v>744</v>
      </c>
      <c r="C86" s="472" t="s">
        <v>377</v>
      </c>
      <c r="D86" s="472" t="s">
        <v>745</v>
      </c>
      <c r="E86" s="473">
        <f t="shared" si="59"/>
        <v>1521903.5999999996</v>
      </c>
      <c r="F86" s="473">
        <f>(12285300)-10757096.4-6300</f>
        <v>1521903.5999999996</v>
      </c>
      <c r="G86" s="473"/>
      <c r="H86" s="473"/>
      <c r="I86" s="473"/>
      <c r="J86" s="473">
        <f>K86+N86</f>
        <v>0</v>
      </c>
      <c r="K86" s="473"/>
      <c r="L86" s="473"/>
      <c r="M86" s="473"/>
      <c r="N86" s="473"/>
      <c r="O86" s="473"/>
      <c r="P86" s="473">
        <f t="shared" si="60"/>
        <v>1521903.5999999996</v>
      </c>
    </row>
    <row r="87" spans="1:16" s="203" customFormat="1" ht="320.25" x14ac:dyDescent="0.2">
      <c r="A87" s="472" t="s">
        <v>741</v>
      </c>
      <c r="B87" s="472" t="s">
        <v>742</v>
      </c>
      <c r="C87" s="472" t="s">
        <v>377</v>
      </c>
      <c r="D87" s="472" t="s">
        <v>746</v>
      </c>
      <c r="E87" s="473">
        <f t="shared" si="51"/>
        <v>240000</v>
      </c>
      <c r="F87" s="473">
        <v>240000</v>
      </c>
      <c r="G87" s="473"/>
      <c r="H87" s="473"/>
      <c r="I87" s="473"/>
      <c r="J87" s="473">
        <f>K87+N87</f>
        <v>0</v>
      </c>
      <c r="K87" s="473"/>
      <c r="L87" s="473"/>
      <c r="M87" s="473"/>
      <c r="N87" s="473"/>
      <c r="O87" s="473"/>
      <c r="P87" s="473">
        <f t="shared" si="54"/>
        <v>240000</v>
      </c>
    </row>
    <row r="88" spans="1:16" ht="163.5" customHeight="1" x14ac:dyDescent="0.2">
      <c r="A88" s="469" t="s">
        <v>486</v>
      </c>
      <c r="B88" s="469" t="s">
        <v>474</v>
      </c>
      <c r="C88" s="469" t="s">
        <v>385</v>
      </c>
      <c r="D88" s="469" t="s">
        <v>665</v>
      </c>
      <c r="E88" s="471">
        <f t="shared" si="47"/>
        <v>188940</v>
      </c>
      <c r="F88" s="473">
        <v>188940</v>
      </c>
      <c r="G88" s="239"/>
      <c r="H88" s="239"/>
      <c r="I88" s="473"/>
      <c r="J88" s="471">
        <f t="shared" si="48"/>
        <v>0</v>
      </c>
      <c r="K88" s="473"/>
      <c r="L88" s="239"/>
      <c r="M88" s="239"/>
      <c r="N88" s="473">
        <f t="shared" si="50"/>
        <v>0</v>
      </c>
      <c r="O88" s="239"/>
      <c r="P88" s="471">
        <f t="shared" si="49"/>
        <v>188940</v>
      </c>
    </row>
    <row r="89" spans="1:16" ht="274.5" x14ac:dyDescent="0.2">
      <c r="A89" s="469" t="s">
        <v>507</v>
      </c>
      <c r="B89" s="469" t="s">
        <v>508</v>
      </c>
      <c r="C89" s="469"/>
      <c r="D89" s="469" t="s">
        <v>666</v>
      </c>
      <c r="E89" s="471">
        <f>F89</f>
        <v>18569643</v>
      </c>
      <c r="F89" s="241">
        <f>F90+F91</f>
        <v>18569643</v>
      </c>
      <c r="G89" s="239">
        <f>G90+G91</f>
        <v>12084800</v>
      </c>
      <c r="H89" s="239">
        <f>H90+H91</f>
        <v>551100</v>
      </c>
      <c r="I89" s="473">
        <f>I90+I91</f>
        <v>0</v>
      </c>
      <c r="J89" s="471">
        <f t="shared" si="48"/>
        <v>703200</v>
      </c>
      <c r="K89" s="473">
        <f>K90+K91</f>
        <v>94000</v>
      </c>
      <c r="L89" s="239">
        <f>L90+L91</f>
        <v>50000</v>
      </c>
      <c r="M89" s="239">
        <f>M90+M91</f>
        <v>4000</v>
      </c>
      <c r="N89" s="473">
        <f>N90+N91</f>
        <v>609200</v>
      </c>
      <c r="O89" s="239">
        <f>O90+O91</f>
        <v>609200</v>
      </c>
      <c r="P89" s="471">
        <f t="shared" si="49"/>
        <v>19272843</v>
      </c>
    </row>
    <row r="90" spans="1:16" ht="301.5" customHeight="1" x14ac:dyDescent="0.2">
      <c r="A90" s="472" t="s">
        <v>511</v>
      </c>
      <c r="B90" s="472" t="s">
        <v>509</v>
      </c>
      <c r="C90" s="472" t="s">
        <v>378</v>
      </c>
      <c r="D90" s="472" t="s">
        <v>52</v>
      </c>
      <c r="E90" s="473">
        <f t="shared" si="47"/>
        <v>14058400</v>
      </c>
      <c r="F90" s="473">
        <f>((13614700)+180500)+200000+36900+6100+20200</f>
        <v>14058400</v>
      </c>
      <c r="G90" s="473">
        <f>(9134300)+36900</f>
        <v>9171200</v>
      </c>
      <c r="H90" s="473">
        <f>(238000)+20200</f>
        <v>258200</v>
      </c>
      <c r="I90" s="473"/>
      <c r="J90" s="473">
        <f t="shared" si="48"/>
        <v>284500</v>
      </c>
      <c r="K90" s="473">
        <v>94000</v>
      </c>
      <c r="L90" s="473">
        <v>50000</v>
      </c>
      <c r="M90" s="473">
        <v>4000</v>
      </c>
      <c r="N90" s="473">
        <f>O90</f>
        <v>190500</v>
      </c>
      <c r="O90" s="473">
        <f>(112000)+43500+35000</f>
        <v>190500</v>
      </c>
      <c r="P90" s="473">
        <f t="shared" si="49"/>
        <v>14342900</v>
      </c>
    </row>
    <row r="91" spans="1:16" ht="137.25" x14ac:dyDescent="0.2">
      <c r="A91" s="472" t="s">
        <v>512</v>
      </c>
      <c r="B91" s="472" t="s">
        <v>510</v>
      </c>
      <c r="C91" s="472" t="s">
        <v>377</v>
      </c>
      <c r="D91" s="472" t="s">
        <v>667</v>
      </c>
      <c r="E91" s="473">
        <f t="shared" si="47"/>
        <v>4511243</v>
      </c>
      <c r="F91" s="473">
        <f>(2311800+2069300)+75100+16500+500+38043</f>
        <v>4511243</v>
      </c>
      <c r="G91" s="473">
        <f>(1573500+1265000)+75100</f>
        <v>2913600</v>
      </c>
      <c r="H91" s="473">
        <f>(177900+114500)+500</f>
        <v>292900</v>
      </c>
      <c r="I91" s="473"/>
      <c r="J91" s="473">
        <f t="shared" si="48"/>
        <v>418700</v>
      </c>
      <c r="K91" s="473"/>
      <c r="L91" s="473"/>
      <c r="M91" s="473"/>
      <c r="N91" s="473">
        <f>O91</f>
        <v>418700</v>
      </c>
      <c r="O91" s="473">
        <f>(170000)+236700+12000</f>
        <v>418700</v>
      </c>
      <c r="P91" s="473">
        <f t="shared" si="49"/>
        <v>4929943</v>
      </c>
    </row>
    <row r="92" spans="1:16" ht="409.5" x14ac:dyDescent="0.2">
      <c r="A92" s="469" t="s">
        <v>504</v>
      </c>
      <c r="B92" s="469" t="s">
        <v>505</v>
      </c>
      <c r="C92" s="469" t="s">
        <v>377</v>
      </c>
      <c r="D92" s="469" t="s">
        <v>668</v>
      </c>
      <c r="E92" s="471">
        <f t="shared" si="47"/>
        <v>1375600</v>
      </c>
      <c r="F92" s="473">
        <f>1375600+240000-240000</f>
        <v>1375600</v>
      </c>
      <c r="G92" s="239"/>
      <c r="H92" s="239"/>
      <c r="I92" s="473"/>
      <c r="J92" s="471">
        <f t="shared" si="48"/>
        <v>0</v>
      </c>
      <c r="K92" s="473">
        <v>0</v>
      </c>
      <c r="L92" s="239"/>
      <c r="M92" s="239"/>
      <c r="N92" s="473">
        <f>O92</f>
        <v>0</v>
      </c>
      <c r="O92" s="239">
        <v>0</v>
      </c>
      <c r="P92" s="471">
        <f>+J92+E92</f>
        <v>1375600</v>
      </c>
    </row>
    <row r="93" spans="1:16" ht="137.25" x14ac:dyDescent="0.2">
      <c r="A93" s="469" t="s">
        <v>669</v>
      </c>
      <c r="B93" s="469" t="s">
        <v>670</v>
      </c>
      <c r="C93" s="469"/>
      <c r="D93" s="469" t="s">
        <v>671</v>
      </c>
      <c r="E93" s="471">
        <f t="shared" ref="E93" si="61">F93</f>
        <v>123527</v>
      </c>
      <c r="F93" s="473">
        <f>SUM(F94:F95)</f>
        <v>123527</v>
      </c>
      <c r="G93" s="239"/>
      <c r="H93" s="239"/>
      <c r="I93" s="473"/>
      <c r="J93" s="471">
        <f t="shared" ref="J93" si="62">K93+N93</f>
        <v>0</v>
      </c>
      <c r="K93" s="473">
        <v>0</v>
      </c>
      <c r="L93" s="239"/>
      <c r="M93" s="239"/>
      <c r="N93" s="473">
        <f>O93</f>
        <v>0</v>
      </c>
      <c r="O93" s="239">
        <v>0</v>
      </c>
      <c r="P93" s="471">
        <f>+J93+E93</f>
        <v>123527</v>
      </c>
    </row>
    <row r="94" spans="1:16" ht="274.5" x14ac:dyDescent="0.2">
      <c r="A94" s="472" t="s">
        <v>672</v>
      </c>
      <c r="B94" s="472" t="s">
        <v>673</v>
      </c>
      <c r="C94" s="472" t="s">
        <v>377</v>
      </c>
      <c r="D94" s="472" t="s">
        <v>747</v>
      </c>
      <c r="E94" s="473">
        <f t="shared" si="47"/>
        <v>123359</v>
      </c>
      <c r="F94" s="473">
        <v>123359</v>
      </c>
      <c r="G94" s="473"/>
      <c r="H94" s="473"/>
      <c r="I94" s="473"/>
      <c r="J94" s="473">
        <f t="shared" si="48"/>
        <v>0</v>
      </c>
      <c r="K94" s="473"/>
      <c r="L94" s="473"/>
      <c r="M94" s="473"/>
      <c r="N94" s="473">
        <f t="shared" ref="N94:N98" si="63">O94</f>
        <v>0</v>
      </c>
      <c r="O94" s="239"/>
      <c r="P94" s="473">
        <f>+J94+E94</f>
        <v>123359</v>
      </c>
    </row>
    <row r="95" spans="1:16" ht="112.5" customHeight="1" x14ac:dyDescent="0.2">
      <c r="A95" s="472" t="s">
        <v>674</v>
      </c>
      <c r="B95" s="472" t="s">
        <v>675</v>
      </c>
      <c r="C95" s="472" t="s">
        <v>377</v>
      </c>
      <c r="D95" s="472" t="s">
        <v>748</v>
      </c>
      <c r="E95" s="473">
        <f t="shared" si="47"/>
        <v>168</v>
      </c>
      <c r="F95" s="473">
        <v>168</v>
      </c>
      <c r="G95" s="473"/>
      <c r="H95" s="473"/>
      <c r="I95" s="473"/>
      <c r="J95" s="473">
        <f t="shared" si="48"/>
        <v>0</v>
      </c>
      <c r="K95" s="473"/>
      <c r="L95" s="473"/>
      <c r="M95" s="473"/>
      <c r="N95" s="473">
        <f t="shared" si="63"/>
        <v>0</v>
      </c>
      <c r="O95" s="239"/>
      <c r="P95" s="473">
        <f>+J95+E95</f>
        <v>168</v>
      </c>
    </row>
    <row r="96" spans="1:16" ht="366" x14ac:dyDescent="0.2">
      <c r="A96" s="469" t="s">
        <v>751</v>
      </c>
      <c r="B96" s="469" t="s">
        <v>750</v>
      </c>
      <c r="C96" s="469" t="s">
        <v>117</v>
      </c>
      <c r="D96" s="469" t="s">
        <v>749</v>
      </c>
      <c r="E96" s="471">
        <f t="shared" ref="E96" si="64">F96</f>
        <v>2026990</v>
      </c>
      <c r="F96" s="473">
        <v>2026990</v>
      </c>
      <c r="G96" s="239">
        <f t="shared" ref="G96:H97" si="65">G97</f>
        <v>0</v>
      </c>
      <c r="H96" s="239">
        <f t="shared" si="65"/>
        <v>0</v>
      </c>
      <c r="I96" s="473"/>
      <c r="J96" s="471">
        <f t="shared" ref="J96" si="66">K96+N96</f>
        <v>0</v>
      </c>
      <c r="K96" s="473">
        <f t="shared" ref="K96:M99" si="67">K97</f>
        <v>0</v>
      </c>
      <c r="L96" s="239">
        <f t="shared" si="67"/>
        <v>0</v>
      </c>
      <c r="M96" s="239">
        <f t="shared" si="67"/>
        <v>0</v>
      </c>
      <c r="N96" s="473">
        <f t="shared" ref="N96" si="68">O96</f>
        <v>0</v>
      </c>
      <c r="O96" s="239">
        <f>O97</f>
        <v>0</v>
      </c>
      <c r="P96" s="471">
        <f>E96+J96</f>
        <v>2026990</v>
      </c>
    </row>
    <row r="97" spans="1:18" ht="91.5" x14ac:dyDescent="0.2">
      <c r="A97" s="469" t="s">
        <v>676</v>
      </c>
      <c r="B97" s="469" t="s">
        <v>677</v>
      </c>
      <c r="C97" s="469"/>
      <c r="D97" s="309" t="s">
        <v>50</v>
      </c>
      <c r="E97" s="471">
        <f t="shared" si="47"/>
        <v>500000</v>
      </c>
      <c r="F97" s="473">
        <f>F98</f>
        <v>500000</v>
      </c>
      <c r="G97" s="239">
        <f t="shared" si="65"/>
        <v>0</v>
      </c>
      <c r="H97" s="239">
        <f t="shared" si="65"/>
        <v>0</v>
      </c>
      <c r="I97" s="473"/>
      <c r="J97" s="471">
        <f t="shared" si="48"/>
        <v>0</v>
      </c>
      <c r="K97" s="473">
        <f t="shared" si="67"/>
        <v>0</v>
      </c>
      <c r="L97" s="239">
        <f t="shared" si="67"/>
        <v>0</v>
      </c>
      <c r="M97" s="239">
        <f t="shared" si="67"/>
        <v>0</v>
      </c>
      <c r="N97" s="473">
        <f t="shared" si="63"/>
        <v>0</v>
      </c>
      <c r="O97" s="239">
        <f>O98</f>
        <v>0</v>
      </c>
      <c r="P97" s="471">
        <f>E97+J97</f>
        <v>500000</v>
      </c>
    </row>
    <row r="98" spans="1:18" ht="228.75" x14ac:dyDescent="0.2">
      <c r="A98" s="472" t="s">
        <v>678</v>
      </c>
      <c r="B98" s="472" t="s">
        <v>679</v>
      </c>
      <c r="C98" s="472" t="s">
        <v>385</v>
      </c>
      <c r="D98" s="472" t="s">
        <v>752</v>
      </c>
      <c r="E98" s="473">
        <f t="shared" ref="E98:E108" si="69">F98</f>
        <v>500000</v>
      </c>
      <c r="F98" s="473">
        <f>(400000)+100000</f>
        <v>500000</v>
      </c>
      <c r="G98" s="473"/>
      <c r="H98" s="473"/>
      <c r="I98" s="473"/>
      <c r="J98" s="473">
        <f t="shared" ref="J98:J108" si="70">K98+N98</f>
        <v>0</v>
      </c>
      <c r="K98" s="473"/>
      <c r="L98" s="473"/>
      <c r="M98" s="473"/>
      <c r="N98" s="473">
        <f t="shared" si="63"/>
        <v>0</v>
      </c>
      <c r="O98" s="239"/>
      <c r="P98" s="473">
        <f>E98+J98</f>
        <v>500000</v>
      </c>
    </row>
    <row r="99" spans="1:18" ht="228.75" x14ac:dyDescent="0.2">
      <c r="A99" s="469" t="s">
        <v>947</v>
      </c>
      <c r="B99" s="469" t="s">
        <v>948</v>
      </c>
      <c r="C99" s="469"/>
      <c r="D99" s="309" t="s">
        <v>946</v>
      </c>
      <c r="E99" s="471"/>
      <c r="F99" s="473"/>
      <c r="G99" s="239"/>
      <c r="H99" s="239"/>
      <c r="I99" s="473"/>
      <c r="J99" s="471">
        <f t="shared" si="70"/>
        <v>6864875.6299999999</v>
      </c>
      <c r="K99" s="473">
        <f t="shared" si="67"/>
        <v>0</v>
      </c>
      <c r="L99" s="239"/>
      <c r="M99" s="239"/>
      <c r="N99" s="473">
        <f t="shared" ref="N99:N100" si="71">O99</f>
        <v>6864875.6299999999</v>
      </c>
      <c r="O99" s="239">
        <f>O100</f>
        <v>6864875.6299999999</v>
      </c>
      <c r="P99" s="471">
        <f>E99+J99</f>
        <v>6864875.6299999999</v>
      </c>
    </row>
    <row r="100" spans="1:18" s="203" customFormat="1" ht="409.5" x14ac:dyDescent="0.2">
      <c r="A100" s="718" t="s">
        <v>949</v>
      </c>
      <c r="B100" s="718" t="s">
        <v>950</v>
      </c>
      <c r="C100" s="728" t="s">
        <v>117</v>
      </c>
      <c r="D100" s="310" t="s">
        <v>951</v>
      </c>
      <c r="E100" s="730"/>
      <c r="F100" s="730"/>
      <c r="G100" s="730"/>
      <c r="H100" s="730"/>
      <c r="I100" s="730"/>
      <c r="J100" s="724">
        <f t="shared" ref="J100" si="72">K100+N100</f>
        <v>6864875.6299999999</v>
      </c>
      <c r="K100" s="724"/>
      <c r="L100" s="724"/>
      <c r="M100" s="724"/>
      <c r="N100" s="724">
        <f t="shared" si="71"/>
        <v>6864875.6299999999</v>
      </c>
      <c r="O100" s="724">
        <v>6864875.6299999999</v>
      </c>
      <c r="P100" s="724">
        <f>E100+J100</f>
        <v>6864875.6299999999</v>
      </c>
    </row>
    <row r="101" spans="1:18" s="203" customFormat="1" ht="409.5" x14ac:dyDescent="0.2">
      <c r="A101" s="739"/>
      <c r="B101" s="739"/>
      <c r="C101" s="740"/>
      <c r="D101" s="310" t="s">
        <v>952</v>
      </c>
      <c r="E101" s="740"/>
      <c r="F101" s="740"/>
      <c r="G101" s="740"/>
      <c r="H101" s="740"/>
      <c r="I101" s="740"/>
      <c r="J101" s="739"/>
      <c r="K101" s="739"/>
      <c r="L101" s="739"/>
      <c r="M101" s="739"/>
      <c r="N101" s="739"/>
      <c r="O101" s="739"/>
      <c r="P101" s="739"/>
    </row>
    <row r="102" spans="1:18" s="203" customFormat="1" ht="94.5" customHeight="1" x14ac:dyDescent="0.2">
      <c r="A102" s="719"/>
      <c r="B102" s="719"/>
      <c r="C102" s="740"/>
      <c r="D102" s="493" t="s">
        <v>953</v>
      </c>
      <c r="E102" s="740"/>
      <c r="F102" s="740"/>
      <c r="G102" s="740"/>
      <c r="H102" s="740"/>
      <c r="I102" s="740"/>
      <c r="J102" s="719"/>
      <c r="K102" s="719"/>
      <c r="L102" s="719"/>
      <c r="M102" s="719"/>
      <c r="N102" s="719"/>
      <c r="O102" s="719"/>
      <c r="P102" s="719"/>
    </row>
    <row r="103" spans="1:18" ht="409.5" x14ac:dyDescent="0.2">
      <c r="A103" s="720" t="s">
        <v>503</v>
      </c>
      <c r="B103" s="720" t="s">
        <v>362</v>
      </c>
      <c r="C103" s="721" t="s">
        <v>353</v>
      </c>
      <c r="D103" s="307" t="s">
        <v>680</v>
      </c>
      <c r="E103" s="723">
        <f>F103</f>
        <v>851000</v>
      </c>
      <c r="F103" s="724">
        <v>851000</v>
      </c>
      <c r="G103" s="724"/>
      <c r="H103" s="724"/>
      <c r="I103" s="724"/>
      <c r="J103" s="725">
        <f>K103+N103</f>
        <v>0</v>
      </c>
      <c r="K103" s="724"/>
      <c r="L103" s="724"/>
      <c r="M103" s="724"/>
      <c r="N103" s="724">
        <f>O103</f>
        <v>0</v>
      </c>
      <c r="O103" s="724"/>
      <c r="P103" s="725">
        <f>E103+J103</f>
        <v>851000</v>
      </c>
    </row>
    <row r="104" spans="1:18" ht="327.75" customHeight="1" x14ac:dyDescent="0.2">
      <c r="A104" s="694"/>
      <c r="B104" s="694"/>
      <c r="C104" s="722"/>
      <c r="D104" s="321" t="s">
        <v>681</v>
      </c>
      <c r="E104" s="722"/>
      <c r="F104" s="719"/>
      <c r="G104" s="694"/>
      <c r="H104" s="694"/>
      <c r="I104" s="719"/>
      <c r="J104" s="694"/>
      <c r="K104" s="719"/>
      <c r="L104" s="694"/>
      <c r="M104" s="694"/>
      <c r="N104" s="719"/>
      <c r="O104" s="694"/>
      <c r="P104" s="694"/>
    </row>
    <row r="105" spans="1:18" ht="46.5" x14ac:dyDescent="0.2">
      <c r="A105" s="469" t="s">
        <v>684</v>
      </c>
      <c r="B105" s="469" t="s">
        <v>685</v>
      </c>
      <c r="C105" s="469"/>
      <c r="D105" s="469" t="s">
        <v>364</v>
      </c>
      <c r="E105" s="471">
        <f t="shared" si="69"/>
        <v>29106650</v>
      </c>
      <c r="F105" s="473">
        <f>F106+F107</f>
        <v>29106650</v>
      </c>
      <c r="G105" s="179">
        <f>G106+G107</f>
        <v>2035400</v>
      </c>
      <c r="H105" s="179">
        <f>H106+H107</f>
        <v>330200</v>
      </c>
      <c r="I105" s="47"/>
      <c r="J105" s="471">
        <f t="shared" si="70"/>
        <v>697800</v>
      </c>
      <c r="K105" s="473">
        <f>K106+K107</f>
        <v>0</v>
      </c>
      <c r="L105" s="179">
        <f>L106+L107</f>
        <v>0</v>
      </c>
      <c r="M105" s="179">
        <f>M106+M107</f>
        <v>0</v>
      </c>
      <c r="N105" s="47">
        <f>N106+N107</f>
        <v>697800</v>
      </c>
      <c r="O105" s="179">
        <f>O106+O107</f>
        <v>697800</v>
      </c>
      <c r="P105" s="471">
        <f>E105+J105</f>
        <v>29804450</v>
      </c>
    </row>
    <row r="106" spans="1:18" ht="183" x14ac:dyDescent="0.2">
      <c r="A106" s="472" t="s">
        <v>682</v>
      </c>
      <c r="B106" s="472" t="s">
        <v>686</v>
      </c>
      <c r="C106" s="472" t="s">
        <v>363</v>
      </c>
      <c r="D106" s="298" t="s">
        <v>688</v>
      </c>
      <c r="E106" s="473">
        <f t="shared" si="69"/>
        <v>3454700</v>
      </c>
      <c r="F106" s="473">
        <f>((5404100-2069300)+23600)+55000+41300</f>
        <v>3454700</v>
      </c>
      <c r="G106" s="47">
        <f>3300400-1265000</f>
        <v>2035400</v>
      </c>
      <c r="H106" s="47">
        <f>444700-114500</f>
        <v>330200</v>
      </c>
      <c r="I106" s="473"/>
      <c r="J106" s="473">
        <f t="shared" si="70"/>
        <v>117800</v>
      </c>
      <c r="K106" s="473"/>
      <c r="L106" s="473"/>
      <c r="M106" s="473"/>
      <c r="N106" s="473">
        <f t="shared" ref="N106:N109" si="73">O106</f>
        <v>117800</v>
      </c>
      <c r="O106" s="473">
        <f>(24000+81800)+12000</f>
        <v>117800</v>
      </c>
      <c r="P106" s="473">
        <f t="shared" ref="P106:P107" si="74">E106+J106</f>
        <v>3572500</v>
      </c>
    </row>
    <row r="107" spans="1:18" ht="137.25" x14ac:dyDescent="0.2">
      <c r="A107" s="472" t="s">
        <v>683</v>
      </c>
      <c r="B107" s="472" t="s">
        <v>687</v>
      </c>
      <c r="C107" s="472" t="s">
        <v>363</v>
      </c>
      <c r="D107" s="298" t="s">
        <v>689</v>
      </c>
      <c r="E107" s="473">
        <f t="shared" si="69"/>
        <v>25651950</v>
      </c>
      <c r="F107" s="473">
        <f>((19868590+12285300-12285300-2026990)+3159700)+200000+20000+199000+4000000+150000+50000+31650</f>
        <v>25651950</v>
      </c>
      <c r="G107" s="473"/>
      <c r="H107" s="473"/>
      <c r="I107" s="473"/>
      <c r="J107" s="473">
        <f t="shared" si="70"/>
        <v>580000</v>
      </c>
      <c r="K107" s="473"/>
      <c r="L107" s="473"/>
      <c r="M107" s="473"/>
      <c r="N107" s="473">
        <f t="shared" si="73"/>
        <v>580000</v>
      </c>
      <c r="O107" s="473">
        <f>(400000)+80000+100000</f>
        <v>580000</v>
      </c>
      <c r="P107" s="473">
        <f t="shared" si="74"/>
        <v>26231950</v>
      </c>
    </row>
    <row r="108" spans="1:18" ht="91.5" x14ac:dyDescent="0.2">
      <c r="A108" s="469" t="s">
        <v>832</v>
      </c>
      <c r="B108" s="469" t="s">
        <v>706</v>
      </c>
      <c r="C108" s="469"/>
      <c r="D108" s="469" t="s">
        <v>833</v>
      </c>
      <c r="E108" s="471">
        <f t="shared" si="69"/>
        <v>0</v>
      </c>
      <c r="F108" s="473">
        <f>F109</f>
        <v>0</v>
      </c>
      <c r="G108" s="239">
        <f t="shared" ref="G108:H108" si="75">G109</f>
        <v>0</v>
      </c>
      <c r="H108" s="239">
        <f t="shared" si="75"/>
        <v>0</v>
      </c>
      <c r="I108" s="473"/>
      <c r="J108" s="471">
        <f t="shared" si="70"/>
        <v>2534347</v>
      </c>
      <c r="K108" s="473">
        <f t="shared" ref="K108:M108" si="76">K109</f>
        <v>0</v>
      </c>
      <c r="L108" s="239">
        <f t="shared" si="76"/>
        <v>0</v>
      </c>
      <c r="M108" s="239">
        <f t="shared" si="76"/>
        <v>0</v>
      </c>
      <c r="N108" s="473">
        <f t="shared" si="73"/>
        <v>2534347</v>
      </c>
      <c r="O108" s="239">
        <f>O109</f>
        <v>2534347</v>
      </c>
      <c r="P108" s="471">
        <f>E108+J108</f>
        <v>2534347</v>
      </c>
    </row>
    <row r="109" spans="1:18" ht="137.25" x14ac:dyDescent="0.2">
      <c r="A109" s="472" t="s">
        <v>836</v>
      </c>
      <c r="B109" s="472" t="s">
        <v>834</v>
      </c>
      <c r="C109" s="472" t="s">
        <v>708</v>
      </c>
      <c r="D109" s="298" t="s">
        <v>835</v>
      </c>
      <c r="E109" s="473">
        <f t="shared" ref="E109" si="77">F109</f>
        <v>0</v>
      </c>
      <c r="F109" s="473"/>
      <c r="G109" s="473"/>
      <c r="H109" s="473"/>
      <c r="I109" s="473"/>
      <c r="J109" s="473">
        <f t="shared" ref="J109" si="78">K109+N109</f>
        <v>2534347</v>
      </c>
      <c r="K109" s="473"/>
      <c r="L109" s="473"/>
      <c r="M109" s="473"/>
      <c r="N109" s="473">
        <f t="shared" si="73"/>
        <v>2534347</v>
      </c>
      <c r="O109" s="239">
        <f>(2500000)+34347</f>
        <v>2534347</v>
      </c>
      <c r="P109" s="473">
        <f>E109+J109</f>
        <v>2534347</v>
      </c>
    </row>
    <row r="110" spans="1:18" ht="180" x14ac:dyDescent="0.2">
      <c r="A110" s="322">
        <v>1000000</v>
      </c>
      <c r="B110" s="322"/>
      <c r="C110" s="322"/>
      <c r="D110" s="277" t="s">
        <v>68</v>
      </c>
      <c r="E110" s="243">
        <f>E111</f>
        <v>72933500</v>
      </c>
      <c r="F110" s="243">
        <f t="shared" ref="F110:P110" si="79">F111</f>
        <v>72933500</v>
      </c>
      <c r="G110" s="243">
        <f t="shared" si="79"/>
        <v>50790400</v>
      </c>
      <c r="H110" s="243">
        <f t="shared" si="79"/>
        <v>3320500</v>
      </c>
      <c r="I110" s="243">
        <f t="shared" si="79"/>
        <v>0</v>
      </c>
      <c r="J110" s="243">
        <f t="shared" si="79"/>
        <v>14623555</v>
      </c>
      <c r="K110" s="243">
        <f t="shared" si="79"/>
        <v>6593800</v>
      </c>
      <c r="L110" s="243">
        <f t="shared" si="79"/>
        <v>4801700</v>
      </c>
      <c r="M110" s="243">
        <f t="shared" si="79"/>
        <v>184500</v>
      </c>
      <c r="N110" s="243">
        <f t="shared" si="79"/>
        <v>8029755</v>
      </c>
      <c r="O110" s="244">
        <f t="shared" si="79"/>
        <v>7961855</v>
      </c>
      <c r="P110" s="243">
        <f t="shared" si="79"/>
        <v>87557055</v>
      </c>
    </row>
    <row r="111" spans="1:18" ht="180" x14ac:dyDescent="0.2">
      <c r="A111" s="323">
        <v>1010000</v>
      </c>
      <c r="B111" s="323"/>
      <c r="C111" s="323"/>
      <c r="D111" s="280" t="s">
        <v>94</v>
      </c>
      <c r="E111" s="244">
        <f>E113+E114+E115+E116+E112+E118+E117+E121</f>
        <v>72933500</v>
      </c>
      <c r="F111" s="243">
        <f>F113+F114+F115+F116+F112+F118+F117+F121</f>
        <v>72933500</v>
      </c>
      <c r="G111" s="244">
        <f>G113+G114+G115+G116+G112+G118+G117+G121</f>
        <v>50790400</v>
      </c>
      <c r="H111" s="244">
        <f>H113+H114+H115+H116+H112+H118+H117+H121</f>
        <v>3320500</v>
      </c>
      <c r="I111" s="243">
        <v>0</v>
      </c>
      <c r="J111" s="244">
        <f t="shared" ref="J111:J117" si="80">K111+N111</f>
        <v>14623555</v>
      </c>
      <c r="K111" s="243">
        <f>K113+K114+K115+K116+K112+K118+K117+K121</f>
        <v>6593800</v>
      </c>
      <c r="L111" s="244">
        <f>L113+L114+L115+L116+L112+L118+L117+L121</f>
        <v>4801700</v>
      </c>
      <c r="M111" s="244">
        <f>M113+M114+M115+M116+M112+M118+M117+M121</f>
        <v>184500</v>
      </c>
      <c r="N111" s="243">
        <f>N113+N114+N115+N116+N112+N118+N117+N121</f>
        <v>8029755</v>
      </c>
      <c r="O111" s="244">
        <f>O113+O114+O115+O116+O112+O118+O117+O121</f>
        <v>7961855</v>
      </c>
      <c r="P111" s="244">
        <f t="shared" ref="P111:P116" si="81">E111+J111</f>
        <v>87557055</v>
      </c>
      <c r="Q111" s="311" t="b">
        <f>P111=P112+P113+P114+P115+P116+P117+P119+P120+P121</f>
        <v>1</v>
      </c>
      <c r="R111" s="325" t="b">
        <f>O111='dod5'!J74</f>
        <v>1</v>
      </c>
    </row>
    <row r="112" spans="1:18" ht="274.5" x14ac:dyDescent="0.2">
      <c r="A112" s="387" t="s">
        <v>49</v>
      </c>
      <c r="B112" s="387" t="s">
        <v>343</v>
      </c>
      <c r="C112" s="387" t="s">
        <v>344</v>
      </c>
      <c r="D112" s="387" t="s">
        <v>342</v>
      </c>
      <c r="E112" s="388">
        <f>F112</f>
        <v>41628400</v>
      </c>
      <c r="F112" s="390">
        <f>((41587600)+40800)+0</f>
        <v>41628400</v>
      </c>
      <c r="G112" s="239">
        <v>32071000</v>
      </c>
      <c r="H112" s="239">
        <v>1995800</v>
      </c>
      <c r="I112" s="390"/>
      <c r="J112" s="388">
        <f>K112+N112</f>
        <v>8066835</v>
      </c>
      <c r="K112" s="390">
        <v>6080900</v>
      </c>
      <c r="L112" s="239">
        <v>4609600</v>
      </c>
      <c r="M112" s="239">
        <v>126600</v>
      </c>
      <c r="N112" s="390">
        <f>O112+36200</f>
        <v>1985935</v>
      </c>
      <c r="O112" s="239">
        <f>(1607000)+342735</f>
        <v>1949735</v>
      </c>
      <c r="P112" s="388">
        <f>E112+J112</f>
        <v>49695235</v>
      </c>
    </row>
    <row r="113" spans="1:18" ht="46.5" x14ac:dyDescent="0.2">
      <c r="A113" s="387" t="s">
        <v>325</v>
      </c>
      <c r="B113" s="387" t="s">
        <v>326</v>
      </c>
      <c r="C113" s="387" t="s">
        <v>330</v>
      </c>
      <c r="D113" s="387" t="s">
        <v>331</v>
      </c>
      <c r="E113" s="388">
        <f t="shared" ref="E113:E117" si="82">F113</f>
        <v>623000</v>
      </c>
      <c r="F113" s="390">
        <v>623000</v>
      </c>
      <c r="G113" s="239"/>
      <c r="H113" s="239"/>
      <c r="I113" s="390"/>
      <c r="J113" s="388">
        <f t="shared" si="80"/>
        <v>0</v>
      </c>
      <c r="K113" s="390"/>
      <c r="L113" s="239"/>
      <c r="M113" s="239"/>
      <c r="N113" s="390">
        <f t="shared" ref="N113:N115" si="83">O113</f>
        <v>0</v>
      </c>
      <c r="O113" s="239"/>
      <c r="P113" s="388">
        <f t="shared" si="81"/>
        <v>623000</v>
      </c>
    </row>
    <row r="114" spans="1:18" ht="91.5" x14ac:dyDescent="0.2">
      <c r="A114" s="387" t="s">
        <v>332</v>
      </c>
      <c r="B114" s="387" t="s">
        <v>333</v>
      </c>
      <c r="C114" s="387" t="s">
        <v>334</v>
      </c>
      <c r="D114" s="387" t="s">
        <v>335</v>
      </c>
      <c r="E114" s="388">
        <f t="shared" si="82"/>
        <v>7110500</v>
      </c>
      <c r="F114" s="390">
        <v>7110500</v>
      </c>
      <c r="G114" s="239">
        <v>5288800</v>
      </c>
      <c r="H114" s="239">
        <v>477900</v>
      </c>
      <c r="I114" s="390"/>
      <c r="J114" s="388">
        <f t="shared" si="80"/>
        <v>627000</v>
      </c>
      <c r="K114" s="390">
        <v>80000</v>
      </c>
      <c r="L114" s="239">
        <v>9800</v>
      </c>
      <c r="M114" s="239">
        <v>18500</v>
      </c>
      <c r="N114" s="390">
        <f t="shared" si="83"/>
        <v>547000</v>
      </c>
      <c r="O114" s="239">
        <f>((0)+530000)+17000</f>
        <v>547000</v>
      </c>
      <c r="P114" s="388">
        <f t="shared" si="81"/>
        <v>7737500</v>
      </c>
    </row>
    <row r="115" spans="1:18" ht="91.5" x14ac:dyDescent="0.2">
      <c r="A115" s="387" t="s">
        <v>336</v>
      </c>
      <c r="B115" s="387" t="s">
        <v>337</v>
      </c>
      <c r="C115" s="387" t="s">
        <v>334</v>
      </c>
      <c r="D115" s="387" t="s">
        <v>338</v>
      </c>
      <c r="E115" s="388">
        <f t="shared" si="82"/>
        <v>1097900</v>
      </c>
      <c r="F115" s="390">
        <v>1097900</v>
      </c>
      <c r="G115" s="239">
        <v>672100</v>
      </c>
      <c r="H115" s="239">
        <v>208000</v>
      </c>
      <c r="I115" s="390"/>
      <c r="J115" s="388">
        <f t="shared" si="80"/>
        <v>3332820</v>
      </c>
      <c r="K115" s="390">
        <v>70100</v>
      </c>
      <c r="L115" s="239">
        <v>6100</v>
      </c>
      <c r="M115" s="239">
        <v>3200</v>
      </c>
      <c r="N115" s="390">
        <f t="shared" si="83"/>
        <v>3262720</v>
      </c>
      <c r="O115" s="239">
        <f>((3000000)+422720)-160000</f>
        <v>3262720</v>
      </c>
      <c r="P115" s="388">
        <f t="shared" si="81"/>
        <v>4430720</v>
      </c>
    </row>
    <row r="116" spans="1:18" ht="183" x14ac:dyDescent="0.2">
      <c r="A116" s="387" t="s">
        <v>339</v>
      </c>
      <c r="B116" s="387" t="s">
        <v>327</v>
      </c>
      <c r="C116" s="387" t="s">
        <v>340</v>
      </c>
      <c r="D116" s="387" t="s">
        <v>341</v>
      </c>
      <c r="E116" s="388">
        <f t="shared" si="82"/>
        <v>5298100</v>
      </c>
      <c r="F116" s="390">
        <f>(5268100)+30000</f>
        <v>5298100</v>
      </c>
      <c r="G116" s="239">
        <v>3736300</v>
      </c>
      <c r="H116" s="239">
        <v>604100</v>
      </c>
      <c r="I116" s="390"/>
      <c r="J116" s="388">
        <f t="shared" si="80"/>
        <v>2348500</v>
      </c>
      <c r="K116" s="390">
        <v>303000</v>
      </c>
      <c r="L116" s="239">
        <v>172700</v>
      </c>
      <c r="M116" s="239">
        <v>36200</v>
      </c>
      <c r="N116" s="390">
        <f>O116+31700</f>
        <v>2045500</v>
      </c>
      <c r="O116" s="239">
        <f>((1229800)+1955500)-1171500</f>
        <v>2013800</v>
      </c>
      <c r="P116" s="388">
        <f t="shared" si="81"/>
        <v>7646600</v>
      </c>
    </row>
    <row r="117" spans="1:18" ht="91.5" x14ac:dyDescent="0.2">
      <c r="A117" s="387" t="s">
        <v>815</v>
      </c>
      <c r="B117" s="387" t="s">
        <v>816</v>
      </c>
      <c r="C117" s="387" t="s">
        <v>817</v>
      </c>
      <c r="D117" s="387" t="s">
        <v>814</v>
      </c>
      <c r="E117" s="388">
        <f t="shared" si="82"/>
        <v>110000</v>
      </c>
      <c r="F117" s="390">
        <f>(60000)+50000</f>
        <v>110000</v>
      </c>
      <c r="G117" s="239"/>
      <c r="H117" s="239"/>
      <c r="I117" s="390"/>
      <c r="J117" s="388">
        <f t="shared" si="80"/>
        <v>0</v>
      </c>
      <c r="K117" s="390"/>
      <c r="L117" s="239"/>
      <c r="M117" s="239"/>
      <c r="N117" s="390">
        <f>O117</f>
        <v>0</v>
      </c>
      <c r="O117" s="239"/>
      <c r="P117" s="388">
        <f>E117+J117</f>
        <v>110000</v>
      </c>
    </row>
    <row r="118" spans="1:18" ht="91.5" x14ac:dyDescent="0.2">
      <c r="A118" s="387" t="s">
        <v>346</v>
      </c>
      <c r="B118" s="387" t="s">
        <v>347</v>
      </c>
      <c r="C118" s="387"/>
      <c r="D118" s="387" t="s">
        <v>345</v>
      </c>
      <c r="E118" s="388">
        <f>F118</f>
        <v>17065600</v>
      </c>
      <c r="F118" s="390">
        <f>F119+F120</f>
        <v>17065600</v>
      </c>
      <c r="G118" s="239">
        <f>G119+G120</f>
        <v>9022200</v>
      </c>
      <c r="H118" s="239">
        <f>H119+H120</f>
        <v>34700</v>
      </c>
      <c r="I118" s="390"/>
      <c r="J118" s="388">
        <f>K118+N118</f>
        <v>166600</v>
      </c>
      <c r="K118" s="390">
        <f>K119+K120</f>
        <v>59800</v>
      </c>
      <c r="L118" s="239">
        <f>L119+L120</f>
        <v>3500</v>
      </c>
      <c r="M118" s="239">
        <f>M119+M120</f>
        <v>0</v>
      </c>
      <c r="N118" s="390">
        <f>N119+N120</f>
        <v>106800</v>
      </c>
      <c r="O118" s="239">
        <f>O119+O120</f>
        <v>106800</v>
      </c>
      <c r="P118" s="388">
        <f>E118+J118</f>
        <v>17232200</v>
      </c>
    </row>
    <row r="119" spans="1:18" ht="137.25" x14ac:dyDescent="0.2">
      <c r="A119" s="389" t="s">
        <v>691</v>
      </c>
      <c r="B119" s="389" t="s">
        <v>692</v>
      </c>
      <c r="C119" s="389" t="s">
        <v>348</v>
      </c>
      <c r="D119" s="389" t="s">
        <v>690</v>
      </c>
      <c r="E119" s="390">
        <f>F119</f>
        <v>11780600</v>
      </c>
      <c r="F119" s="390">
        <f>((10587000)+1002000)+191600</f>
        <v>11780600</v>
      </c>
      <c r="G119" s="390">
        <f>(8201200)+821000</f>
        <v>9022200</v>
      </c>
      <c r="H119" s="390">
        <v>34700</v>
      </c>
      <c r="I119" s="390"/>
      <c r="J119" s="390">
        <f>K119+N119</f>
        <v>166600</v>
      </c>
      <c r="K119" s="390">
        <v>59800</v>
      </c>
      <c r="L119" s="390">
        <v>3500</v>
      </c>
      <c r="M119" s="390"/>
      <c r="N119" s="390">
        <f>O119</f>
        <v>106800</v>
      </c>
      <c r="O119" s="390">
        <f>((0)+87500)+19300</f>
        <v>106800</v>
      </c>
      <c r="P119" s="390">
        <f>E119+J119</f>
        <v>11947200</v>
      </c>
    </row>
    <row r="120" spans="1:18" ht="91.5" x14ac:dyDescent="0.2">
      <c r="A120" s="389" t="s">
        <v>693</v>
      </c>
      <c r="B120" s="389" t="s">
        <v>694</v>
      </c>
      <c r="C120" s="389" t="s">
        <v>348</v>
      </c>
      <c r="D120" s="389" t="s">
        <v>695</v>
      </c>
      <c r="E120" s="390">
        <f>F120</f>
        <v>5285000</v>
      </c>
      <c r="F120" s="390">
        <f>((3600000)+1135000)+550000</f>
        <v>5285000</v>
      </c>
      <c r="G120" s="390"/>
      <c r="H120" s="390"/>
      <c r="I120" s="390"/>
      <c r="J120" s="390">
        <f>K120+N120</f>
        <v>0</v>
      </c>
      <c r="K120" s="390"/>
      <c r="L120" s="390"/>
      <c r="M120" s="390"/>
      <c r="N120" s="390">
        <f>O120</f>
        <v>0</v>
      </c>
      <c r="O120" s="390"/>
      <c r="P120" s="390">
        <f>E120+J120</f>
        <v>5285000</v>
      </c>
    </row>
    <row r="121" spans="1:18" ht="91.5" x14ac:dyDescent="0.2">
      <c r="A121" s="387" t="s">
        <v>819</v>
      </c>
      <c r="B121" s="387" t="s">
        <v>373</v>
      </c>
      <c r="C121" s="387" t="s">
        <v>324</v>
      </c>
      <c r="D121" s="387" t="s">
        <v>818</v>
      </c>
      <c r="E121" s="388">
        <f t="shared" ref="E121" si="84">F121</f>
        <v>0</v>
      </c>
      <c r="F121" s="390"/>
      <c r="G121" s="239"/>
      <c r="H121" s="239"/>
      <c r="I121" s="390"/>
      <c r="J121" s="388">
        <f t="shared" ref="J121" si="85">K121+N121</f>
        <v>81800</v>
      </c>
      <c r="K121" s="390"/>
      <c r="L121" s="239"/>
      <c r="M121" s="239"/>
      <c r="N121" s="390">
        <f>O121</f>
        <v>81800</v>
      </c>
      <c r="O121" s="239">
        <f>(27000)+54800</f>
        <v>81800</v>
      </c>
      <c r="P121" s="388">
        <f>E121+J121</f>
        <v>81800</v>
      </c>
    </row>
    <row r="122" spans="1:18" ht="135" x14ac:dyDescent="0.2">
      <c r="A122" s="277" t="s">
        <v>65</v>
      </c>
      <c r="B122" s="277"/>
      <c r="C122" s="277"/>
      <c r="D122" s="277" t="s">
        <v>66</v>
      </c>
      <c r="E122" s="243">
        <f>E123</f>
        <v>41069186</v>
      </c>
      <c r="F122" s="243">
        <f t="shared" ref="F122:P122" si="86">F123</f>
        <v>41069186</v>
      </c>
      <c r="G122" s="243">
        <f t="shared" si="86"/>
        <v>14843177</v>
      </c>
      <c r="H122" s="243">
        <f t="shared" si="86"/>
        <v>1636457</v>
      </c>
      <c r="I122" s="243">
        <f t="shared" si="86"/>
        <v>0</v>
      </c>
      <c r="J122" s="243">
        <f t="shared" si="86"/>
        <v>8291893.3200000003</v>
      </c>
      <c r="K122" s="243">
        <f t="shared" si="86"/>
        <v>1892800</v>
      </c>
      <c r="L122" s="243">
        <f t="shared" si="86"/>
        <v>869800</v>
      </c>
      <c r="M122" s="243">
        <f t="shared" si="86"/>
        <v>289700</v>
      </c>
      <c r="N122" s="243">
        <f t="shared" si="86"/>
        <v>6399093.3200000003</v>
      </c>
      <c r="O122" s="244">
        <f t="shared" si="86"/>
        <v>6353593.3200000003</v>
      </c>
      <c r="P122" s="243">
        <f t="shared" si="86"/>
        <v>49361079.32</v>
      </c>
    </row>
    <row r="123" spans="1:18" ht="135" x14ac:dyDescent="0.2">
      <c r="A123" s="280" t="s">
        <v>64</v>
      </c>
      <c r="B123" s="280"/>
      <c r="C123" s="280"/>
      <c r="D123" s="280" t="s">
        <v>90</v>
      </c>
      <c r="E123" s="244">
        <f>E124+E126+E130+E133+E135+E140+E145+E143+E146+E138</f>
        <v>41069186</v>
      </c>
      <c r="F123" s="243">
        <f>F124+F126+F130+F133+F135+F140+F145+F143+F146+F138</f>
        <v>41069186</v>
      </c>
      <c r="G123" s="244">
        <f>G124+G126+G130+G133+G135+G140+G145+G143+G146+G138</f>
        <v>14843177</v>
      </c>
      <c r="H123" s="244">
        <f>H124+H126+H130+H133+H135+H140+H145+H143+H146+H138</f>
        <v>1636457</v>
      </c>
      <c r="I123" s="243">
        <f>I124+I126+I130+I133+I135+I140+I145</f>
        <v>0</v>
      </c>
      <c r="J123" s="246">
        <f>K123+N123</f>
        <v>8291893.3200000003</v>
      </c>
      <c r="K123" s="243">
        <f>K124+K126+K130+K133+K135+K140+K145+K143+K146+K138</f>
        <v>1892800</v>
      </c>
      <c r="L123" s="244">
        <f>L124+L126+L130+L133+L135+L140+L145+L143+L146+L138</f>
        <v>869800</v>
      </c>
      <c r="M123" s="244">
        <f>M124+M126+M130+M133+M135+M140+M145+M143+M146+M138</f>
        <v>289700</v>
      </c>
      <c r="N123" s="243">
        <f>N124+N126+N130+N133+N135+N140+N145+N146+N138</f>
        <v>6399093.3200000003</v>
      </c>
      <c r="O123" s="244">
        <f>O124+O126+O130+O133+O135+O140+O145+O146+O138</f>
        <v>6353593.3200000003</v>
      </c>
      <c r="P123" s="244">
        <f>E123+J123</f>
        <v>49361079.32</v>
      </c>
      <c r="Q123" s="311" t="b">
        <f>P123=P125+P127+P128+P129+P131+P132+P134+P136+P137+P141+P142+P144+P145+P146+P138</f>
        <v>1</v>
      </c>
      <c r="R123" s="325" t="b">
        <f>O123='dod5'!J89</f>
        <v>1</v>
      </c>
    </row>
    <row r="124" spans="1:18" ht="137.25" x14ac:dyDescent="0.2">
      <c r="A124" s="387" t="s">
        <v>349</v>
      </c>
      <c r="B124" s="387" t="s">
        <v>350</v>
      </c>
      <c r="C124" s="387"/>
      <c r="D124" s="387" t="s">
        <v>106</v>
      </c>
      <c r="E124" s="248">
        <f t="shared" ref="E124:E129" si="87">F124</f>
        <v>2670218</v>
      </c>
      <c r="F124" s="390">
        <f>F125</f>
        <v>2670218</v>
      </c>
      <c r="G124" s="239">
        <f>G125</f>
        <v>2040830</v>
      </c>
      <c r="H124" s="239">
        <f>H125</f>
        <v>69750</v>
      </c>
      <c r="I124" s="390">
        <f>I125</f>
        <v>0</v>
      </c>
      <c r="J124" s="248">
        <f t="shared" ref="J124:J137" si="88">K124+N124</f>
        <v>153092</v>
      </c>
      <c r="K124" s="390">
        <f>K125</f>
        <v>0</v>
      </c>
      <c r="L124" s="239">
        <f>L125</f>
        <v>0</v>
      </c>
      <c r="M124" s="239">
        <f>M125</f>
        <v>0</v>
      </c>
      <c r="N124" s="268">
        <f>O124</f>
        <v>153092</v>
      </c>
      <c r="O124" s="239">
        <f>O125</f>
        <v>153092</v>
      </c>
      <c r="P124" s="388">
        <f>+J124+E124</f>
        <v>2823310</v>
      </c>
    </row>
    <row r="125" spans="1:18" ht="183" x14ac:dyDescent="0.2">
      <c r="A125" s="389" t="s">
        <v>351</v>
      </c>
      <c r="B125" s="389" t="s">
        <v>352</v>
      </c>
      <c r="C125" s="389" t="s">
        <v>353</v>
      </c>
      <c r="D125" s="389" t="s">
        <v>354</v>
      </c>
      <c r="E125" s="47">
        <f t="shared" si="87"/>
        <v>2670218</v>
      </c>
      <c r="F125" s="47">
        <f>(2411785)+258433</f>
        <v>2670218</v>
      </c>
      <c r="G125" s="47">
        <f>(1829000)+211830</f>
        <v>2040830</v>
      </c>
      <c r="H125" s="47">
        <v>69750</v>
      </c>
      <c r="I125" s="47"/>
      <c r="J125" s="47">
        <f t="shared" si="88"/>
        <v>153092</v>
      </c>
      <c r="K125" s="268"/>
      <c r="L125" s="268"/>
      <c r="M125" s="268"/>
      <c r="N125" s="268">
        <f>O125</f>
        <v>153092</v>
      </c>
      <c r="O125" s="324">
        <f>(0)+153092</f>
        <v>153092</v>
      </c>
      <c r="P125" s="390">
        <f>+J125+E125</f>
        <v>2823310</v>
      </c>
    </row>
    <row r="126" spans="1:18" ht="91.5" x14ac:dyDescent="0.2">
      <c r="A126" s="387" t="s">
        <v>105</v>
      </c>
      <c r="B126" s="387" t="s">
        <v>328</v>
      </c>
      <c r="C126" s="387"/>
      <c r="D126" s="387" t="s">
        <v>76</v>
      </c>
      <c r="E126" s="248">
        <f t="shared" si="87"/>
        <v>5514522</v>
      </c>
      <c r="F126" s="47">
        <f>F127+F128+F129</f>
        <v>5514522</v>
      </c>
      <c r="G126" s="47">
        <f>G127+G128</f>
        <v>1397600</v>
      </c>
      <c r="H126" s="179">
        <f>H127+H128</f>
        <v>497977</v>
      </c>
      <c r="I126" s="47">
        <f>I127+I128</f>
        <v>0</v>
      </c>
      <c r="J126" s="248">
        <f t="shared" si="88"/>
        <v>1356872</v>
      </c>
      <c r="K126" s="47">
        <f>K127+K128+K129</f>
        <v>320000</v>
      </c>
      <c r="L126" s="179">
        <f>L127+L128</f>
        <v>148900</v>
      </c>
      <c r="M126" s="179">
        <f>M127+M128</f>
        <v>95400</v>
      </c>
      <c r="N126" s="268">
        <f t="shared" ref="N126:N137" si="89">O126</f>
        <v>1036872</v>
      </c>
      <c r="O126" s="179">
        <f>O127+O128+O129</f>
        <v>1036872</v>
      </c>
      <c r="P126" s="388">
        <f>+J126+E126</f>
        <v>6871394</v>
      </c>
    </row>
    <row r="127" spans="1:18" ht="228.75" x14ac:dyDescent="0.2">
      <c r="A127" s="389" t="s">
        <v>104</v>
      </c>
      <c r="B127" s="389" t="s">
        <v>329</v>
      </c>
      <c r="C127" s="389" t="s">
        <v>353</v>
      </c>
      <c r="D127" s="389" t="s">
        <v>33</v>
      </c>
      <c r="E127" s="47">
        <f t="shared" si="87"/>
        <v>789000</v>
      </c>
      <c r="F127" s="47">
        <f>(769000)+20000</f>
        <v>789000</v>
      </c>
      <c r="G127" s="47"/>
      <c r="H127" s="47"/>
      <c r="I127" s="47"/>
      <c r="J127" s="47">
        <f t="shared" si="88"/>
        <v>0</v>
      </c>
      <c r="K127" s="268"/>
      <c r="L127" s="268"/>
      <c r="M127" s="268"/>
      <c r="N127" s="268">
        <f t="shared" si="89"/>
        <v>0</v>
      </c>
      <c r="O127" s="268"/>
      <c r="P127" s="390">
        <f>+J127+E127</f>
        <v>789000</v>
      </c>
    </row>
    <row r="128" spans="1:18" ht="137.25" x14ac:dyDescent="0.2">
      <c r="A128" s="389" t="s">
        <v>360</v>
      </c>
      <c r="B128" s="389" t="s">
        <v>361</v>
      </c>
      <c r="C128" s="389" t="s">
        <v>353</v>
      </c>
      <c r="D128" s="389" t="s">
        <v>34</v>
      </c>
      <c r="E128" s="47">
        <f t="shared" si="87"/>
        <v>3061125</v>
      </c>
      <c r="F128" s="47">
        <f>((2617077)+233020)+135028+76000</f>
        <v>3061125</v>
      </c>
      <c r="G128" s="47">
        <v>1397600</v>
      </c>
      <c r="H128" s="47">
        <v>497977</v>
      </c>
      <c r="I128" s="47"/>
      <c r="J128" s="47">
        <f t="shared" si="88"/>
        <v>956872</v>
      </c>
      <c r="K128" s="268">
        <v>320000</v>
      </c>
      <c r="L128" s="268">
        <v>148900</v>
      </c>
      <c r="M128" s="268">
        <v>95400</v>
      </c>
      <c r="N128" s="268">
        <f t="shared" si="89"/>
        <v>636872</v>
      </c>
      <c r="O128" s="268">
        <f>((0)+636872)</f>
        <v>636872</v>
      </c>
      <c r="P128" s="390">
        <f t="shared" ref="P128:P145" si="90">E128+J128</f>
        <v>4017997</v>
      </c>
    </row>
    <row r="129" spans="1:16" ht="91.5" x14ac:dyDescent="0.2">
      <c r="A129" s="389" t="s">
        <v>761</v>
      </c>
      <c r="B129" s="389" t="s">
        <v>762</v>
      </c>
      <c r="C129" s="389" t="s">
        <v>353</v>
      </c>
      <c r="D129" s="389" t="s">
        <v>763</v>
      </c>
      <c r="E129" s="47">
        <f t="shared" si="87"/>
        <v>1664397</v>
      </c>
      <c r="F129" s="47">
        <f>(761000)+153000+70000+58350+450270+171777</f>
        <v>1664397</v>
      </c>
      <c r="G129" s="47">
        <f>(0)+47800</f>
        <v>47800</v>
      </c>
      <c r="H129" s="47">
        <f>(0)+70000</f>
        <v>70000</v>
      </c>
      <c r="I129" s="47"/>
      <c r="J129" s="47">
        <f t="shared" si="88"/>
        <v>400000</v>
      </c>
      <c r="K129" s="268"/>
      <c r="L129" s="268"/>
      <c r="M129" s="268"/>
      <c r="N129" s="268">
        <f t="shared" si="89"/>
        <v>400000</v>
      </c>
      <c r="O129" s="268">
        <v>400000</v>
      </c>
      <c r="P129" s="390">
        <f t="shared" si="90"/>
        <v>2064397</v>
      </c>
    </row>
    <row r="130" spans="1:16" ht="91.5" x14ac:dyDescent="0.2">
      <c r="A130" s="387" t="s">
        <v>107</v>
      </c>
      <c r="B130" s="387" t="s">
        <v>355</v>
      </c>
      <c r="C130" s="387"/>
      <c r="D130" s="387" t="s">
        <v>108</v>
      </c>
      <c r="E130" s="248">
        <f t="shared" ref="E130:E141" si="91">F130</f>
        <v>10797100</v>
      </c>
      <c r="F130" s="47">
        <f>F131+F132</f>
        <v>10797100</v>
      </c>
      <c r="G130" s="47">
        <f>G131+G132</f>
        <v>0</v>
      </c>
      <c r="H130" s="47">
        <f>H131+H132</f>
        <v>0</v>
      </c>
      <c r="I130" s="328"/>
      <c r="J130" s="248">
        <f t="shared" si="88"/>
        <v>0</v>
      </c>
      <c r="K130" s="47">
        <f>K131+K132</f>
        <v>0</v>
      </c>
      <c r="L130" s="269"/>
      <c r="M130" s="269"/>
      <c r="N130" s="268">
        <f t="shared" si="89"/>
        <v>0</v>
      </c>
      <c r="O130" s="179">
        <f>O131+O132</f>
        <v>0</v>
      </c>
      <c r="P130" s="388">
        <f t="shared" si="90"/>
        <v>10797100</v>
      </c>
    </row>
    <row r="131" spans="1:16" ht="137.25" x14ac:dyDescent="0.2">
      <c r="A131" s="389" t="s">
        <v>109</v>
      </c>
      <c r="B131" s="389" t="s">
        <v>356</v>
      </c>
      <c r="C131" s="389" t="s">
        <v>370</v>
      </c>
      <c r="D131" s="389" t="s">
        <v>110</v>
      </c>
      <c r="E131" s="47">
        <f t="shared" si="91"/>
        <v>9084900</v>
      </c>
      <c r="F131" s="47">
        <f>((7229900)+30000+500000)+1300000+25000</f>
        <v>9084900</v>
      </c>
      <c r="G131" s="390"/>
      <c r="H131" s="390"/>
      <c r="I131" s="390"/>
      <c r="J131" s="390">
        <f t="shared" si="88"/>
        <v>0</v>
      </c>
      <c r="K131" s="390"/>
      <c r="L131" s="390"/>
      <c r="M131" s="390"/>
      <c r="N131" s="268">
        <f t="shared" si="89"/>
        <v>0</v>
      </c>
      <c r="O131" s="239"/>
      <c r="P131" s="390">
        <f t="shared" si="90"/>
        <v>9084900</v>
      </c>
    </row>
    <row r="132" spans="1:16" ht="137.25" x14ac:dyDescent="0.2">
      <c r="A132" s="389" t="s">
        <v>111</v>
      </c>
      <c r="B132" s="389" t="s">
        <v>357</v>
      </c>
      <c r="C132" s="389" t="s">
        <v>370</v>
      </c>
      <c r="D132" s="389" t="s">
        <v>11</v>
      </c>
      <c r="E132" s="47">
        <f t="shared" si="91"/>
        <v>1712200</v>
      </c>
      <c r="F132" s="47">
        <f>((1472200)+565000-500000)+175000</f>
        <v>1712200</v>
      </c>
      <c r="G132" s="390"/>
      <c r="H132" s="390"/>
      <c r="I132" s="390"/>
      <c r="J132" s="390">
        <f t="shared" si="88"/>
        <v>0</v>
      </c>
      <c r="K132" s="390"/>
      <c r="L132" s="390"/>
      <c r="M132" s="390"/>
      <c r="N132" s="268">
        <f t="shared" si="89"/>
        <v>0</v>
      </c>
      <c r="O132" s="239"/>
      <c r="P132" s="390">
        <f t="shared" si="90"/>
        <v>1712200</v>
      </c>
    </row>
    <row r="133" spans="1:16" ht="183" x14ac:dyDescent="0.2">
      <c r="A133" s="387" t="s">
        <v>112</v>
      </c>
      <c r="B133" s="387" t="s">
        <v>358</v>
      </c>
      <c r="C133" s="387"/>
      <c r="D133" s="387" t="s">
        <v>753</v>
      </c>
      <c r="E133" s="248">
        <f t="shared" si="91"/>
        <v>11500</v>
      </c>
      <c r="F133" s="47">
        <f>F134</f>
        <v>11500</v>
      </c>
      <c r="G133" s="179">
        <f>G134</f>
        <v>0</v>
      </c>
      <c r="H133" s="179">
        <f>H134</f>
        <v>0</v>
      </c>
      <c r="I133" s="390"/>
      <c r="J133" s="388">
        <f t="shared" si="88"/>
        <v>0</v>
      </c>
      <c r="K133" s="47">
        <f>K134</f>
        <v>0</v>
      </c>
      <c r="L133" s="179">
        <f>L134</f>
        <v>0</v>
      </c>
      <c r="M133" s="179">
        <f>M134</f>
        <v>0</v>
      </c>
      <c r="N133" s="268">
        <f>N134</f>
        <v>0</v>
      </c>
      <c r="O133" s="179">
        <f>O134</f>
        <v>0</v>
      </c>
      <c r="P133" s="388">
        <f t="shared" si="90"/>
        <v>11500</v>
      </c>
    </row>
    <row r="134" spans="1:16" ht="183" x14ac:dyDescent="0.2">
      <c r="A134" s="389" t="s">
        <v>113</v>
      </c>
      <c r="B134" s="389" t="s">
        <v>359</v>
      </c>
      <c r="C134" s="389" t="s">
        <v>370</v>
      </c>
      <c r="D134" s="389" t="s">
        <v>754</v>
      </c>
      <c r="E134" s="47">
        <f>F134</f>
        <v>11500</v>
      </c>
      <c r="F134" s="47">
        <v>11500</v>
      </c>
      <c r="G134" s="47"/>
      <c r="H134" s="47"/>
      <c r="I134" s="390"/>
      <c r="J134" s="390">
        <f t="shared" si="88"/>
        <v>0</v>
      </c>
      <c r="K134" s="47"/>
      <c r="L134" s="47"/>
      <c r="M134" s="47"/>
      <c r="N134" s="268">
        <f>O134</f>
        <v>0</v>
      </c>
      <c r="O134" s="47"/>
      <c r="P134" s="390">
        <f t="shared" si="90"/>
        <v>11500</v>
      </c>
    </row>
    <row r="135" spans="1:16" ht="91.5" x14ac:dyDescent="0.2">
      <c r="A135" s="387" t="s">
        <v>78</v>
      </c>
      <c r="B135" s="387" t="s">
        <v>365</v>
      </c>
      <c r="C135" s="387"/>
      <c r="D135" s="387" t="s">
        <v>79</v>
      </c>
      <c r="E135" s="248">
        <f t="shared" si="91"/>
        <v>20317598</v>
      </c>
      <c r="F135" s="47">
        <f>F136+F137</f>
        <v>20317598</v>
      </c>
      <c r="G135" s="179">
        <f>G136+G137</f>
        <v>10749300</v>
      </c>
      <c r="H135" s="179">
        <f>H136+H137</f>
        <v>1068730</v>
      </c>
      <c r="I135" s="47">
        <f>I136+I137</f>
        <v>0</v>
      </c>
      <c r="J135" s="388">
        <f t="shared" si="88"/>
        <v>4287229.32</v>
      </c>
      <c r="K135" s="47">
        <f>K136+K137</f>
        <v>1547800</v>
      </c>
      <c r="L135" s="179">
        <f>L136+L137</f>
        <v>720900</v>
      </c>
      <c r="M135" s="179">
        <f>M136+M137</f>
        <v>194300</v>
      </c>
      <c r="N135" s="268">
        <f>N136+N137</f>
        <v>2739429.3200000003</v>
      </c>
      <c r="O135" s="47">
        <f>O136+O137</f>
        <v>2693929.3200000003</v>
      </c>
      <c r="P135" s="388">
        <f t="shared" si="90"/>
        <v>24604827.32</v>
      </c>
    </row>
    <row r="136" spans="1:16" ht="183" x14ac:dyDescent="0.2">
      <c r="A136" s="389" t="s">
        <v>77</v>
      </c>
      <c r="B136" s="389" t="s">
        <v>366</v>
      </c>
      <c r="C136" s="389" t="s">
        <v>370</v>
      </c>
      <c r="D136" s="389" t="s">
        <v>114</v>
      </c>
      <c r="E136" s="47">
        <f t="shared" si="91"/>
        <v>16494908</v>
      </c>
      <c r="F136" s="47">
        <f>(((15491860)+526918)+446130)+30000</f>
        <v>16494908</v>
      </c>
      <c r="G136" s="47">
        <f>(10666900)+82400</f>
        <v>10749300</v>
      </c>
      <c r="H136" s="47">
        <f>(1023730)+45000</f>
        <v>1068730</v>
      </c>
      <c r="I136" s="47"/>
      <c r="J136" s="47">
        <f t="shared" si="88"/>
        <v>4287229.32</v>
      </c>
      <c r="K136" s="47">
        <v>1547800</v>
      </c>
      <c r="L136" s="47">
        <v>720900</v>
      </c>
      <c r="M136" s="47">
        <f>222700-(28400)</f>
        <v>194300</v>
      </c>
      <c r="N136" s="268">
        <f>O136+45500</f>
        <v>2739429.3200000003</v>
      </c>
      <c r="O136" s="179">
        <f>((1436800)+1120764.32+135500)+865</f>
        <v>2693929.3200000003</v>
      </c>
      <c r="P136" s="390">
        <f t="shared" si="90"/>
        <v>20782137.32</v>
      </c>
    </row>
    <row r="137" spans="1:16" ht="183" x14ac:dyDescent="0.2">
      <c r="A137" s="389" t="s">
        <v>80</v>
      </c>
      <c r="B137" s="389" t="s">
        <v>367</v>
      </c>
      <c r="C137" s="389" t="s">
        <v>370</v>
      </c>
      <c r="D137" s="389" t="s">
        <v>115</v>
      </c>
      <c r="E137" s="47">
        <f t="shared" si="91"/>
        <v>3822690</v>
      </c>
      <c r="F137" s="47">
        <f>((3262600)+459986)+100104</f>
        <v>3822690</v>
      </c>
      <c r="G137" s="47"/>
      <c r="H137" s="47"/>
      <c r="I137" s="47"/>
      <c r="J137" s="47">
        <f t="shared" si="88"/>
        <v>0</v>
      </c>
      <c r="K137" s="47"/>
      <c r="L137" s="47"/>
      <c r="M137" s="47"/>
      <c r="N137" s="268">
        <f t="shared" si="89"/>
        <v>0</v>
      </c>
      <c r="O137" s="179"/>
      <c r="P137" s="390">
        <f t="shared" si="90"/>
        <v>3822690</v>
      </c>
    </row>
    <row r="138" spans="1:16" ht="91.5" x14ac:dyDescent="0.2">
      <c r="A138" s="539" t="s">
        <v>1008</v>
      </c>
      <c r="B138" s="539" t="s">
        <v>1009</v>
      </c>
      <c r="C138" s="539"/>
      <c r="D138" s="539" t="s">
        <v>1007</v>
      </c>
      <c r="E138" s="248">
        <f t="shared" ref="E138" si="92">F138</f>
        <v>25000</v>
      </c>
      <c r="F138" s="47">
        <f>F139</f>
        <v>25000</v>
      </c>
      <c r="G138" s="179">
        <f>G139</f>
        <v>0</v>
      </c>
      <c r="H138" s="179">
        <f>H139</f>
        <v>0</v>
      </c>
      <c r="I138" s="537"/>
      <c r="J138" s="540">
        <f t="shared" ref="J138:J139" si="93">K138+N138</f>
        <v>0</v>
      </c>
      <c r="K138" s="47">
        <f>K139</f>
        <v>0</v>
      </c>
      <c r="L138" s="179">
        <f>L139</f>
        <v>0</v>
      </c>
      <c r="M138" s="179">
        <f>M139</f>
        <v>0</v>
      </c>
      <c r="N138" s="268">
        <f>N139</f>
        <v>0</v>
      </c>
      <c r="O138" s="179">
        <f>O139</f>
        <v>0</v>
      </c>
      <c r="P138" s="540">
        <f t="shared" si="90"/>
        <v>25000</v>
      </c>
    </row>
    <row r="139" spans="1:16" ht="320.25" x14ac:dyDescent="0.2">
      <c r="A139" s="538" t="s">
        <v>1011</v>
      </c>
      <c r="B139" s="538" t="s">
        <v>1012</v>
      </c>
      <c r="C139" s="538" t="s">
        <v>370</v>
      </c>
      <c r="D139" s="538" t="s">
        <v>1010</v>
      </c>
      <c r="E139" s="47">
        <f>F139</f>
        <v>25000</v>
      </c>
      <c r="F139" s="47">
        <v>25000</v>
      </c>
      <c r="G139" s="47"/>
      <c r="H139" s="47"/>
      <c r="I139" s="537"/>
      <c r="J139" s="537">
        <f t="shared" si="93"/>
        <v>0</v>
      </c>
      <c r="K139" s="47"/>
      <c r="L139" s="47"/>
      <c r="M139" s="47"/>
      <c r="N139" s="268">
        <f>O139</f>
        <v>0</v>
      </c>
      <c r="O139" s="47">
        <v>0</v>
      </c>
      <c r="P139" s="537">
        <f t="shared" si="90"/>
        <v>25000</v>
      </c>
    </row>
    <row r="140" spans="1:16" ht="91.5" x14ac:dyDescent="0.2">
      <c r="A140" s="387" t="s">
        <v>116</v>
      </c>
      <c r="B140" s="387" t="s">
        <v>368</v>
      </c>
      <c r="C140" s="387"/>
      <c r="D140" s="387" t="s">
        <v>81</v>
      </c>
      <c r="E140" s="248">
        <f t="shared" si="91"/>
        <v>1722328</v>
      </c>
      <c r="F140" s="47">
        <f>F141+F142</f>
        <v>1722328</v>
      </c>
      <c r="G140" s="179">
        <f>G141+G142</f>
        <v>655447</v>
      </c>
      <c r="H140" s="179">
        <f>H141+H142</f>
        <v>0</v>
      </c>
      <c r="I140" s="47">
        <f>I141+I142</f>
        <v>0</v>
      </c>
      <c r="J140" s="388">
        <f t="shared" ref="J140:J145" si="94">K140+N140</f>
        <v>89400</v>
      </c>
      <c r="K140" s="47">
        <f>K141+K142</f>
        <v>25000</v>
      </c>
      <c r="L140" s="179">
        <f>L141+L142</f>
        <v>0</v>
      </c>
      <c r="M140" s="179">
        <f>M141+M142</f>
        <v>0</v>
      </c>
      <c r="N140" s="268">
        <f>N141+N142</f>
        <v>64400</v>
      </c>
      <c r="O140" s="239">
        <f>O141+O142</f>
        <v>64400</v>
      </c>
      <c r="P140" s="388">
        <f t="shared" si="90"/>
        <v>1811728</v>
      </c>
    </row>
    <row r="141" spans="1:16" ht="274.5" x14ac:dyDescent="0.2">
      <c r="A141" s="329" t="s">
        <v>82</v>
      </c>
      <c r="B141" s="329" t="s">
        <v>369</v>
      </c>
      <c r="C141" s="329" t="s">
        <v>370</v>
      </c>
      <c r="D141" s="389" t="s">
        <v>83</v>
      </c>
      <c r="E141" s="47">
        <f t="shared" si="91"/>
        <v>722400</v>
      </c>
      <c r="F141" s="47">
        <f>(557400)+60000+105000</f>
        <v>722400</v>
      </c>
      <c r="G141" s="390"/>
      <c r="H141" s="390"/>
      <c r="I141" s="390"/>
      <c r="J141" s="390">
        <f>K141+N141</f>
        <v>0</v>
      </c>
      <c r="K141" s="390"/>
      <c r="L141" s="390"/>
      <c r="M141" s="390"/>
      <c r="N141" s="268">
        <f t="shared" ref="N141:N146" si="95">O141</f>
        <v>0</v>
      </c>
      <c r="O141" s="390"/>
      <c r="P141" s="390">
        <f t="shared" si="90"/>
        <v>722400</v>
      </c>
    </row>
    <row r="142" spans="1:16" ht="91.5" x14ac:dyDescent="0.2">
      <c r="A142" s="329" t="s">
        <v>84</v>
      </c>
      <c r="B142" s="329" t="s">
        <v>371</v>
      </c>
      <c r="C142" s="329" t="s">
        <v>370</v>
      </c>
      <c r="D142" s="389" t="s">
        <v>85</v>
      </c>
      <c r="E142" s="47">
        <f>F142</f>
        <v>999928</v>
      </c>
      <c r="F142" s="47">
        <f>(914158)+155770-70000</f>
        <v>999928</v>
      </c>
      <c r="G142" s="390">
        <f>(590447)+65000</f>
        <v>655447</v>
      </c>
      <c r="H142" s="390"/>
      <c r="I142" s="390"/>
      <c r="J142" s="390">
        <f t="shared" si="94"/>
        <v>89400</v>
      </c>
      <c r="K142" s="390">
        <f>20900+4100</f>
        <v>25000</v>
      </c>
      <c r="L142" s="390"/>
      <c r="M142" s="390"/>
      <c r="N142" s="268">
        <f t="shared" si="95"/>
        <v>64400</v>
      </c>
      <c r="O142" s="390">
        <f>(32400+45000)+387000-400000</f>
        <v>64400</v>
      </c>
      <c r="P142" s="390">
        <f t="shared" si="90"/>
        <v>1089328</v>
      </c>
    </row>
    <row r="143" spans="1:16" ht="91.5" x14ac:dyDescent="0.2">
      <c r="A143" s="272" t="s">
        <v>704</v>
      </c>
      <c r="B143" s="272" t="s">
        <v>706</v>
      </c>
      <c r="C143" s="272"/>
      <c r="D143" s="387" t="s">
        <v>705</v>
      </c>
      <c r="E143" s="248">
        <f>F143</f>
        <v>10920</v>
      </c>
      <c r="F143" s="47">
        <f>F144</f>
        <v>10920</v>
      </c>
      <c r="G143" s="179"/>
      <c r="H143" s="179"/>
      <c r="I143" s="47"/>
      <c r="J143" s="388">
        <f t="shared" ref="J143:J144" si="96">K143+N143</f>
        <v>0</v>
      </c>
      <c r="K143" s="47"/>
      <c r="L143" s="179"/>
      <c r="M143" s="179"/>
      <c r="N143" s="268">
        <f t="shared" si="95"/>
        <v>0</v>
      </c>
      <c r="O143" s="239"/>
      <c r="P143" s="388">
        <f t="shared" ref="P143:P144" si="97">E143+J143</f>
        <v>10920</v>
      </c>
    </row>
    <row r="144" spans="1:16" ht="320.25" x14ac:dyDescent="0.2">
      <c r="A144" s="329" t="s">
        <v>710</v>
      </c>
      <c r="B144" s="329" t="s">
        <v>709</v>
      </c>
      <c r="C144" s="329" t="s">
        <v>708</v>
      </c>
      <c r="D144" s="389" t="s">
        <v>707</v>
      </c>
      <c r="E144" s="47">
        <f>F144</f>
        <v>10920</v>
      </c>
      <c r="F144" s="47">
        <v>10920</v>
      </c>
      <c r="G144" s="390"/>
      <c r="H144" s="390"/>
      <c r="I144" s="390"/>
      <c r="J144" s="390">
        <f t="shared" si="96"/>
        <v>0</v>
      </c>
      <c r="K144" s="390"/>
      <c r="L144" s="390"/>
      <c r="M144" s="390"/>
      <c r="N144" s="268">
        <f t="shared" si="95"/>
        <v>0</v>
      </c>
      <c r="O144" s="390"/>
      <c r="P144" s="390">
        <f t="shared" si="97"/>
        <v>10920</v>
      </c>
    </row>
    <row r="145" spans="1:18" ht="91.5" x14ac:dyDescent="0.2">
      <c r="A145" s="272" t="s">
        <v>372</v>
      </c>
      <c r="B145" s="272" t="s">
        <v>373</v>
      </c>
      <c r="C145" s="272" t="s">
        <v>324</v>
      </c>
      <c r="D145" s="387" t="s">
        <v>89</v>
      </c>
      <c r="E145" s="248">
        <f>F145</f>
        <v>0</v>
      </c>
      <c r="F145" s="47"/>
      <c r="G145" s="179"/>
      <c r="H145" s="179"/>
      <c r="I145" s="47"/>
      <c r="J145" s="388">
        <f t="shared" si="94"/>
        <v>2405300</v>
      </c>
      <c r="K145" s="47"/>
      <c r="L145" s="179"/>
      <c r="M145" s="179"/>
      <c r="N145" s="268">
        <f t="shared" si="95"/>
        <v>2405300</v>
      </c>
      <c r="O145" s="239">
        <f>(2500000)-123000+509606-499606+18300</f>
        <v>2405300</v>
      </c>
      <c r="P145" s="388">
        <f t="shared" si="90"/>
        <v>2405300</v>
      </c>
    </row>
    <row r="146" spans="1:18" ht="91.5" hidden="1" x14ac:dyDescent="0.2">
      <c r="A146" s="387" t="s">
        <v>968</v>
      </c>
      <c r="B146" s="386" t="s">
        <v>800</v>
      </c>
      <c r="C146" s="386" t="s">
        <v>103</v>
      </c>
      <c r="D146" s="386" t="s">
        <v>801</v>
      </c>
      <c r="E146" s="248">
        <f>F146</f>
        <v>0</v>
      </c>
      <c r="F146" s="47">
        <f>30000-30000</f>
        <v>0</v>
      </c>
      <c r="G146" s="179"/>
      <c r="H146" s="179"/>
      <c r="I146" s="47"/>
      <c r="J146" s="388">
        <f t="shared" ref="J146" si="98">K146+N146</f>
        <v>0</v>
      </c>
      <c r="K146" s="47"/>
      <c r="L146" s="179"/>
      <c r="M146" s="179"/>
      <c r="N146" s="268">
        <f t="shared" si="95"/>
        <v>0</v>
      </c>
      <c r="O146" s="239"/>
      <c r="P146" s="388">
        <f t="shared" ref="P146" si="99">E146+J146</f>
        <v>0</v>
      </c>
    </row>
    <row r="147" spans="1:18" ht="180" x14ac:dyDescent="0.2">
      <c r="A147" s="277" t="s">
        <v>312</v>
      </c>
      <c r="B147" s="277"/>
      <c r="C147" s="277"/>
      <c r="D147" s="277" t="s">
        <v>67</v>
      </c>
      <c r="E147" s="243">
        <f>E148</f>
        <v>196989384.26999998</v>
      </c>
      <c r="F147" s="243">
        <f t="shared" ref="F147:P147" si="100">F148</f>
        <v>196989384.26999998</v>
      </c>
      <c r="G147" s="243">
        <f t="shared" si="100"/>
        <v>843750</v>
      </c>
      <c r="H147" s="243">
        <f t="shared" si="100"/>
        <v>11500</v>
      </c>
      <c r="I147" s="243">
        <f t="shared" si="100"/>
        <v>0</v>
      </c>
      <c r="J147" s="243">
        <f t="shared" si="100"/>
        <v>219539402.97</v>
      </c>
      <c r="K147" s="243">
        <f t="shared" si="100"/>
        <v>7400</v>
      </c>
      <c r="L147" s="243">
        <f t="shared" si="100"/>
        <v>0</v>
      </c>
      <c r="M147" s="243">
        <f t="shared" si="100"/>
        <v>0</v>
      </c>
      <c r="N147" s="243">
        <f t="shared" si="100"/>
        <v>219532002.97</v>
      </c>
      <c r="O147" s="244">
        <f t="shared" si="100"/>
        <v>219017779.88</v>
      </c>
      <c r="P147" s="243">
        <f t="shared" si="100"/>
        <v>416528787.24000001</v>
      </c>
    </row>
    <row r="148" spans="1:18" ht="180" x14ac:dyDescent="0.2">
      <c r="A148" s="280" t="s">
        <v>313</v>
      </c>
      <c r="B148" s="280"/>
      <c r="C148" s="280"/>
      <c r="D148" s="280" t="s">
        <v>95</v>
      </c>
      <c r="E148" s="244">
        <f>E149+E155+E156+E157+E161+E163+E165+E166+E167+E168+E159</f>
        <v>196989384.26999998</v>
      </c>
      <c r="F148" s="243">
        <f>F149+F155+F156+F157+F161+F163+F165+F166+F167+F168+F159</f>
        <v>196989384.26999998</v>
      </c>
      <c r="G148" s="244">
        <f>G149+G155+G156+G157+G161+G163+G165+G166+G167+G168</f>
        <v>843750</v>
      </c>
      <c r="H148" s="244">
        <f>H149+H155+H156+H157+H161+H163+H165+H166+H167+H168</f>
        <v>11500</v>
      </c>
      <c r="I148" s="243">
        <f>I149+I155+I156+I157+I161+I163+I165+I166+I167+I168</f>
        <v>0</v>
      </c>
      <c r="J148" s="244">
        <f t="shared" ref="J148" si="101">K148+N148</f>
        <v>219539402.97</v>
      </c>
      <c r="K148" s="243">
        <f>K149+K155+K156+K157+K161+K163+K165+K166+K167+K168+K159</f>
        <v>7400</v>
      </c>
      <c r="L148" s="244">
        <f>L149+L155+L156+L157+L161+L163+L165+L166+L167+L168</f>
        <v>0</v>
      </c>
      <c r="M148" s="244">
        <f>M149+M155+M156+M157+M161+M163+M165+M166+M167+M168</f>
        <v>0</v>
      </c>
      <c r="N148" s="243">
        <f>N149+N155+N156+N157+N158+N161+N163+N165+N166+N167+N168+N159</f>
        <v>219532002.97</v>
      </c>
      <c r="O148" s="244">
        <f>O149+O155+O156+O157+O158+O161+O163+O165+O166+O167+O168+O159</f>
        <v>219017779.88</v>
      </c>
      <c r="P148" s="244">
        <f>E148+J148</f>
        <v>416528787.24000001</v>
      </c>
      <c r="Q148" s="311" t="b">
        <f>P148=P150+P152+P153+P154+P155+P156+P157+P158+P162+P164+P165+P166+P167+P168+P151+P159</f>
        <v>1</v>
      </c>
      <c r="R148" s="325" t="b">
        <f>O148='dod5'!J107</f>
        <v>1</v>
      </c>
    </row>
    <row r="149" spans="1:18" ht="137.25" x14ac:dyDescent="0.2">
      <c r="A149" s="508" t="s">
        <v>527</v>
      </c>
      <c r="B149" s="508" t="s">
        <v>528</v>
      </c>
      <c r="C149" s="508"/>
      <c r="D149" s="508" t="s">
        <v>531</v>
      </c>
      <c r="E149" s="509">
        <f t="shared" ref="E149:E168" si="102">F149</f>
        <v>19309669</v>
      </c>
      <c r="F149" s="511">
        <f>SUM(F150:F154)</f>
        <v>19309669</v>
      </c>
      <c r="G149" s="179"/>
      <c r="H149" s="516"/>
      <c r="I149" s="511"/>
      <c r="J149" s="509">
        <f t="shared" ref="J149:J150" si="103">K149+N149</f>
        <v>41471500</v>
      </c>
      <c r="K149" s="511">
        <f>SUM(K150:K154)</f>
        <v>0</v>
      </c>
      <c r="L149" s="516"/>
      <c r="M149" s="516"/>
      <c r="N149" s="511">
        <f t="shared" ref="N149:N150" si="104">O149</f>
        <v>41471500</v>
      </c>
      <c r="O149" s="511">
        <f>SUM(O150:O154)</f>
        <v>41471500</v>
      </c>
      <c r="P149" s="509">
        <f t="shared" ref="P149" si="105">E149+J149</f>
        <v>60781169</v>
      </c>
      <c r="R149" s="325">
        <f>O148-'dod5'!J107</f>
        <v>0</v>
      </c>
    </row>
    <row r="150" spans="1:18" ht="137.25" x14ac:dyDescent="0.2">
      <c r="A150" s="510" t="s">
        <v>529</v>
      </c>
      <c r="B150" s="510" t="s">
        <v>530</v>
      </c>
      <c r="C150" s="510" t="s">
        <v>533</v>
      </c>
      <c r="D150" s="510" t="s">
        <v>532</v>
      </c>
      <c r="E150" s="47">
        <f t="shared" si="102"/>
        <v>3264869</v>
      </c>
      <c r="F150" s="47">
        <f>((3189750)+748000)-672881</f>
        <v>3264869</v>
      </c>
      <c r="G150" s="47"/>
      <c r="H150" s="47"/>
      <c r="I150" s="47"/>
      <c r="J150" s="47">
        <f t="shared" si="103"/>
        <v>5071500</v>
      </c>
      <c r="K150" s="268"/>
      <c r="L150" s="268"/>
      <c r="M150" s="268"/>
      <c r="N150" s="268">
        <f t="shared" si="104"/>
        <v>5071500</v>
      </c>
      <c r="O150" s="268">
        <f>((1400000)+2866500)+805000</f>
        <v>5071500</v>
      </c>
      <c r="P150" s="511">
        <f>+J150+E150</f>
        <v>8336369</v>
      </c>
    </row>
    <row r="151" spans="1:18" ht="183" x14ac:dyDescent="0.2">
      <c r="A151" s="510" t="s">
        <v>975</v>
      </c>
      <c r="B151" s="510" t="s">
        <v>976</v>
      </c>
      <c r="C151" s="510" t="s">
        <v>533</v>
      </c>
      <c r="D151" s="510" t="s">
        <v>977</v>
      </c>
      <c r="E151" s="47">
        <f t="shared" ref="E151" si="106">F151</f>
        <v>13000000</v>
      </c>
      <c r="F151" s="47">
        <v>13000000</v>
      </c>
      <c r="G151" s="47"/>
      <c r="H151" s="47"/>
      <c r="I151" s="47"/>
      <c r="J151" s="47">
        <f t="shared" ref="J151" si="107">K151+N151</f>
        <v>0</v>
      </c>
      <c r="K151" s="268"/>
      <c r="L151" s="268"/>
      <c r="M151" s="268"/>
      <c r="N151" s="268">
        <f t="shared" ref="N151" si="108">O151</f>
        <v>0</v>
      </c>
      <c r="O151" s="268"/>
      <c r="P151" s="511">
        <f>+J151+E151</f>
        <v>13000000</v>
      </c>
    </row>
    <row r="152" spans="1:18" ht="137.25" x14ac:dyDescent="0.2">
      <c r="A152" s="510" t="s">
        <v>537</v>
      </c>
      <c r="B152" s="510" t="s">
        <v>538</v>
      </c>
      <c r="C152" s="510" t="s">
        <v>533</v>
      </c>
      <c r="D152" s="510" t="s">
        <v>539</v>
      </c>
      <c r="E152" s="47">
        <f t="shared" si="102"/>
        <v>2984800</v>
      </c>
      <c r="F152" s="47">
        <f>(484800)+2500000</f>
        <v>2984800</v>
      </c>
      <c r="G152" s="47"/>
      <c r="H152" s="47"/>
      <c r="I152" s="47"/>
      <c r="J152" s="47">
        <f t="shared" ref="J152" si="109">K152+N152</f>
        <v>0</v>
      </c>
      <c r="K152" s="268"/>
      <c r="L152" s="268"/>
      <c r="M152" s="268"/>
      <c r="N152" s="268">
        <f t="shared" ref="N152" si="110">O152</f>
        <v>0</v>
      </c>
      <c r="O152" s="268"/>
      <c r="P152" s="511">
        <f>+J152+E152</f>
        <v>2984800</v>
      </c>
    </row>
    <row r="153" spans="1:18" ht="137.25" x14ac:dyDescent="0.2">
      <c r="A153" s="510" t="s">
        <v>567</v>
      </c>
      <c r="B153" s="510" t="s">
        <v>568</v>
      </c>
      <c r="C153" s="510" t="s">
        <v>533</v>
      </c>
      <c r="D153" s="510" t="s">
        <v>569</v>
      </c>
      <c r="E153" s="47">
        <f t="shared" si="102"/>
        <v>0</v>
      </c>
      <c r="F153" s="47"/>
      <c r="G153" s="47"/>
      <c r="H153" s="47"/>
      <c r="I153" s="47"/>
      <c r="J153" s="47">
        <f t="shared" ref="J153" si="111">K153+N153</f>
        <v>5600000</v>
      </c>
      <c r="K153" s="268"/>
      <c r="L153" s="268"/>
      <c r="M153" s="268"/>
      <c r="N153" s="268">
        <f t="shared" ref="N153" si="112">O153</f>
        <v>5600000</v>
      </c>
      <c r="O153" s="268">
        <f>(5000000)+600000</f>
        <v>5600000</v>
      </c>
      <c r="P153" s="511">
        <f>+J153+E153</f>
        <v>5600000</v>
      </c>
    </row>
    <row r="154" spans="1:18" ht="183" x14ac:dyDescent="0.2">
      <c r="A154" s="510" t="s">
        <v>534</v>
      </c>
      <c r="B154" s="510" t="s">
        <v>535</v>
      </c>
      <c r="C154" s="510" t="s">
        <v>533</v>
      </c>
      <c r="D154" s="510" t="s">
        <v>536</v>
      </c>
      <c r="E154" s="47">
        <f t="shared" si="102"/>
        <v>60000</v>
      </c>
      <c r="F154" s="47">
        <v>60000</v>
      </c>
      <c r="G154" s="47"/>
      <c r="H154" s="47"/>
      <c r="I154" s="47"/>
      <c r="J154" s="47">
        <f t="shared" ref="J154:J162" si="113">K154+N154</f>
        <v>30800000</v>
      </c>
      <c r="K154" s="268"/>
      <c r="L154" s="268"/>
      <c r="M154" s="268"/>
      <c r="N154" s="268">
        <f t="shared" ref="N154" si="114">O154</f>
        <v>30800000</v>
      </c>
      <c r="O154" s="268">
        <f>((34000000)+2000000)-2188000-3012000</f>
        <v>30800000</v>
      </c>
      <c r="P154" s="511">
        <f>+J154+E154</f>
        <v>30860000</v>
      </c>
    </row>
    <row r="155" spans="1:18" ht="228.75" x14ac:dyDescent="0.2">
      <c r="A155" s="508" t="s">
        <v>561</v>
      </c>
      <c r="B155" s="508" t="s">
        <v>562</v>
      </c>
      <c r="C155" s="508" t="s">
        <v>533</v>
      </c>
      <c r="D155" s="508" t="s">
        <v>563</v>
      </c>
      <c r="E155" s="248">
        <f t="shared" si="102"/>
        <v>11156382</v>
      </c>
      <c r="F155" s="47">
        <f>((138000+1109401)+81800+6500000-550000)+865181+2500000+512000</f>
        <v>11156382</v>
      </c>
      <c r="G155" s="179"/>
      <c r="H155" s="179"/>
      <c r="I155" s="47"/>
      <c r="J155" s="509">
        <f t="shared" ref="J155" si="115">K155+N155</f>
        <v>0</v>
      </c>
      <c r="K155" s="47"/>
      <c r="L155" s="179"/>
      <c r="M155" s="179"/>
      <c r="N155" s="268">
        <f>O155</f>
        <v>0</v>
      </c>
      <c r="O155" s="516"/>
      <c r="P155" s="509">
        <f t="shared" ref="P155" si="116">E155+J155</f>
        <v>11156382</v>
      </c>
    </row>
    <row r="156" spans="1:18" ht="91.5" x14ac:dyDescent="0.2">
      <c r="A156" s="508" t="s">
        <v>540</v>
      </c>
      <c r="B156" s="508" t="s">
        <v>541</v>
      </c>
      <c r="C156" s="508" t="s">
        <v>533</v>
      </c>
      <c r="D156" s="508" t="s">
        <v>542</v>
      </c>
      <c r="E156" s="248">
        <f t="shared" si="102"/>
        <v>100002658.27</v>
      </c>
      <c r="F156" s="47">
        <f>((88681880)+3989126)+7719149.27-200000+454100-150000+66378-107705-450270</f>
        <v>100002658.27</v>
      </c>
      <c r="G156" s="179"/>
      <c r="H156" s="179"/>
      <c r="I156" s="47"/>
      <c r="J156" s="509">
        <f t="shared" si="113"/>
        <v>19615442</v>
      </c>
      <c r="K156" s="47"/>
      <c r="L156" s="179"/>
      <c r="M156" s="179"/>
      <c r="N156" s="268">
        <f>O156</f>
        <v>19615442</v>
      </c>
      <c r="O156" s="516">
        <f>((10282110)+8145732+450000)+737600</f>
        <v>19615442</v>
      </c>
      <c r="P156" s="509">
        <f t="shared" ref="P156:P161" si="117">E156+J156</f>
        <v>119618100.27</v>
      </c>
    </row>
    <row r="157" spans="1:18" ht="92.25" x14ac:dyDescent="0.2">
      <c r="A157" s="508" t="s">
        <v>571</v>
      </c>
      <c r="B157" s="508" t="s">
        <v>572</v>
      </c>
      <c r="C157" s="508" t="s">
        <v>570</v>
      </c>
      <c r="D157" s="508" t="s">
        <v>573</v>
      </c>
      <c r="E157" s="248">
        <f t="shared" si="102"/>
        <v>0</v>
      </c>
      <c r="F157" s="47"/>
      <c r="G157" s="179"/>
      <c r="H157" s="179"/>
      <c r="I157" s="47"/>
      <c r="J157" s="509">
        <f t="shared" ref="J157:J160" si="118">K157+N157</f>
        <v>13738415.880000001</v>
      </c>
      <c r="K157" s="47"/>
      <c r="L157" s="179"/>
      <c r="M157" s="179"/>
      <c r="N157" s="268">
        <f>O157</f>
        <v>13738415.880000001</v>
      </c>
      <c r="O157" s="516">
        <f>((20000000)+5000000)-11261584.12</f>
        <v>13738415.880000001</v>
      </c>
      <c r="P157" s="509">
        <f t="shared" ref="P157:P159" si="119">E157+J157</f>
        <v>13738415.880000001</v>
      </c>
    </row>
    <row r="158" spans="1:18" ht="183" x14ac:dyDescent="0.2">
      <c r="A158" s="508" t="s">
        <v>722</v>
      </c>
      <c r="B158" s="508" t="s">
        <v>609</v>
      </c>
      <c r="C158" s="508" t="s">
        <v>570</v>
      </c>
      <c r="D158" s="508" t="s">
        <v>607</v>
      </c>
      <c r="E158" s="248">
        <v>0</v>
      </c>
      <c r="F158" s="47"/>
      <c r="G158" s="179"/>
      <c r="H158" s="179"/>
      <c r="I158" s="47"/>
      <c r="J158" s="509">
        <f t="shared" si="118"/>
        <v>700000</v>
      </c>
      <c r="K158" s="47"/>
      <c r="L158" s="179"/>
      <c r="M158" s="179"/>
      <c r="N158" s="268">
        <f>O158</f>
        <v>700000</v>
      </c>
      <c r="O158" s="516">
        <v>700000</v>
      </c>
      <c r="P158" s="509">
        <f t="shared" si="119"/>
        <v>700000</v>
      </c>
    </row>
    <row r="159" spans="1:18" ht="91.5" hidden="1" x14ac:dyDescent="0.2">
      <c r="A159" s="508" t="s">
        <v>979</v>
      </c>
      <c r="B159" s="508" t="s">
        <v>980</v>
      </c>
      <c r="C159" s="508"/>
      <c r="D159" s="508" t="s">
        <v>978</v>
      </c>
      <c r="E159" s="509">
        <f t="shared" ref="E159:E160" si="120">F159</f>
        <v>0</v>
      </c>
      <c r="F159" s="511">
        <f>SUM(F160)</f>
        <v>0</v>
      </c>
      <c r="G159" s="179"/>
      <c r="H159" s="516"/>
      <c r="I159" s="511"/>
      <c r="J159" s="509">
        <f t="shared" si="118"/>
        <v>0</v>
      </c>
      <c r="K159" s="511">
        <f>SUM(K160)</f>
        <v>0</v>
      </c>
      <c r="L159" s="516"/>
      <c r="M159" s="516"/>
      <c r="N159" s="511">
        <f t="shared" ref="N159:N160" si="121">O159</f>
        <v>0</v>
      </c>
      <c r="O159" s="511">
        <f>SUM(O160)</f>
        <v>0</v>
      </c>
      <c r="P159" s="509">
        <f t="shared" si="119"/>
        <v>0</v>
      </c>
    </row>
    <row r="160" spans="1:18" ht="228.75" hidden="1" x14ac:dyDescent="0.2">
      <c r="A160" s="508" t="s">
        <v>981</v>
      </c>
      <c r="B160" s="508" t="s">
        <v>983</v>
      </c>
      <c r="C160" s="508" t="s">
        <v>324</v>
      </c>
      <c r="D160" s="508" t="s">
        <v>982</v>
      </c>
      <c r="E160" s="47">
        <f t="shared" si="120"/>
        <v>0</v>
      </c>
      <c r="F160" s="47"/>
      <c r="G160" s="47"/>
      <c r="H160" s="47"/>
      <c r="I160" s="47"/>
      <c r="J160" s="47">
        <f t="shared" si="118"/>
        <v>0</v>
      </c>
      <c r="K160" s="268"/>
      <c r="L160" s="268"/>
      <c r="M160" s="268"/>
      <c r="N160" s="268">
        <f t="shared" si="121"/>
        <v>0</v>
      </c>
      <c r="O160" s="268">
        <f>942931.88-942931.88</f>
        <v>0</v>
      </c>
      <c r="P160" s="511">
        <f>+J160+E160</f>
        <v>0</v>
      </c>
    </row>
    <row r="161" spans="1:18" ht="137.25" x14ac:dyDescent="0.2">
      <c r="A161" s="508" t="s">
        <v>544</v>
      </c>
      <c r="B161" s="508" t="s">
        <v>545</v>
      </c>
      <c r="C161" s="508"/>
      <c r="D161" s="508" t="s">
        <v>547</v>
      </c>
      <c r="E161" s="509">
        <f t="shared" si="102"/>
        <v>15350597</v>
      </c>
      <c r="F161" s="511">
        <f>SUM(F162)</f>
        <v>15350597</v>
      </c>
      <c r="G161" s="179"/>
      <c r="H161" s="516"/>
      <c r="I161" s="511"/>
      <c r="J161" s="509">
        <f t="shared" si="113"/>
        <v>0</v>
      </c>
      <c r="K161" s="511">
        <f>SUM(K162)</f>
        <v>0</v>
      </c>
      <c r="L161" s="516"/>
      <c r="M161" s="516"/>
      <c r="N161" s="511">
        <f t="shared" ref="N161:N162" si="122">O161</f>
        <v>0</v>
      </c>
      <c r="O161" s="511">
        <f>SUM(O162)</f>
        <v>0</v>
      </c>
      <c r="P161" s="509">
        <f t="shared" si="117"/>
        <v>15350597</v>
      </c>
    </row>
    <row r="162" spans="1:18" ht="91.5" x14ac:dyDescent="0.2">
      <c r="A162" s="510" t="s">
        <v>543</v>
      </c>
      <c r="B162" s="510" t="s">
        <v>546</v>
      </c>
      <c r="C162" s="510" t="s">
        <v>549</v>
      </c>
      <c r="D162" s="510" t="s">
        <v>548</v>
      </c>
      <c r="E162" s="47">
        <f t="shared" si="102"/>
        <v>15350597</v>
      </c>
      <c r="F162" s="47">
        <f>(15000000)+107705+242892</f>
        <v>15350597</v>
      </c>
      <c r="G162" s="47"/>
      <c r="H162" s="47"/>
      <c r="I162" s="47"/>
      <c r="J162" s="47">
        <f t="shared" si="113"/>
        <v>0</v>
      </c>
      <c r="K162" s="268"/>
      <c r="L162" s="268"/>
      <c r="M162" s="268"/>
      <c r="N162" s="268">
        <f t="shared" si="122"/>
        <v>0</v>
      </c>
      <c r="O162" s="268"/>
      <c r="P162" s="511">
        <f>+J162+E162</f>
        <v>15350597</v>
      </c>
    </row>
    <row r="163" spans="1:18" ht="137.25" x14ac:dyDescent="0.2">
      <c r="A163" s="508" t="s">
        <v>550</v>
      </c>
      <c r="B163" s="508" t="s">
        <v>551</v>
      </c>
      <c r="C163" s="508"/>
      <c r="D163" s="508" t="s">
        <v>552</v>
      </c>
      <c r="E163" s="509">
        <f t="shared" si="102"/>
        <v>48578600</v>
      </c>
      <c r="F163" s="511">
        <f>SUM(F164)</f>
        <v>48578600</v>
      </c>
      <c r="G163" s="179"/>
      <c r="H163" s="516"/>
      <c r="I163" s="511"/>
      <c r="J163" s="509">
        <f t="shared" ref="J163:J165" si="123">K163+N163</f>
        <v>85911083.090000004</v>
      </c>
      <c r="K163" s="511">
        <f>SUM(K164)</f>
        <v>0</v>
      </c>
      <c r="L163" s="516"/>
      <c r="M163" s="516"/>
      <c r="N163" s="511">
        <f>N164</f>
        <v>85911083.090000004</v>
      </c>
      <c r="O163" s="511">
        <f>SUM(O164)</f>
        <v>85396860</v>
      </c>
      <c r="P163" s="509">
        <f t="shared" ref="P163" si="124">E163+J163</f>
        <v>134489683.09</v>
      </c>
    </row>
    <row r="164" spans="1:18" ht="228.75" x14ac:dyDescent="0.2">
      <c r="A164" s="510" t="s">
        <v>553</v>
      </c>
      <c r="B164" s="510" t="s">
        <v>554</v>
      </c>
      <c r="C164" s="510" t="s">
        <v>556</v>
      </c>
      <c r="D164" s="510" t="s">
        <v>555</v>
      </c>
      <c r="E164" s="47">
        <f t="shared" si="102"/>
        <v>48578600</v>
      </c>
      <c r="F164" s="47">
        <f>(30000000)+18578600</f>
        <v>48578600</v>
      </c>
      <c r="G164" s="47"/>
      <c r="H164" s="47"/>
      <c r="I164" s="47"/>
      <c r="J164" s="47">
        <f t="shared" si="123"/>
        <v>85911083.090000004</v>
      </c>
      <c r="K164" s="268"/>
      <c r="L164" s="268"/>
      <c r="M164" s="268"/>
      <c r="N164" s="268">
        <f>O164+514223.09</f>
        <v>85911083.090000004</v>
      </c>
      <c r="O164" s="268">
        <f>((58865000)+25301210-1200000)+2430650</f>
        <v>85396860</v>
      </c>
      <c r="P164" s="511">
        <f>+J164+E164</f>
        <v>134489683.09</v>
      </c>
    </row>
    <row r="165" spans="1:18" ht="46.5" x14ac:dyDescent="0.2">
      <c r="A165" s="508" t="s">
        <v>557</v>
      </c>
      <c r="B165" s="508" t="s">
        <v>403</v>
      </c>
      <c r="C165" s="508" t="s">
        <v>404</v>
      </c>
      <c r="D165" s="508" t="s">
        <v>99</v>
      </c>
      <c r="E165" s="248">
        <f t="shared" si="102"/>
        <v>1173300</v>
      </c>
      <c r="F165" s="47">
        <f>((1018300)+100000)+55000</f>
        <v>1173300</v>
      </c>
      <c r="G165" s="179"/>
      <c r="H165" s="179"/>
      <c r="I165" s="47"/>
      <c r="J165" s="509">
        <f t="shared" si="123"/>
        <v>1800000</v>
      </c>
      <c r="K165" s="47"/>
      <c r="L165" s="179"/>
      <c r="M165" s="179"/>
      <c r="N165" s="268">
        <f>O165</f>
        <v>1800000</v>
      </c>
      <c r="O165" s="516">
        <f>((2000000)+1500000)-1700000</f>
        <v>1800000</v>
      </c>
      <c r="P165" s="509">
        <f t="shared" ref="P165" si="125">E165+J165</f>
        <v>2973300</v>
      </c>
    </row>
    <row r="166" spans="1:18" ht="91.5" x14ac:dyDescent="0.65">
      <c r="A166" s="508" t="s">
        <v>575</v>
      </c>
      <c r="B166" s="508" t="s">
        <v>373</v>
      </c>
      <c r="C166" s="508" t="s">
        <v>324</v>
      </c>
      <c r="D166" s="508" t="s">
        <v>89</v>
      </c>
      <c r="E166" s="248">
        <f t="shared" si="102"/>
        <v>0</v>
      </c>
      <c r="F166" s="47"/>
      <c r="G166" s="179"/>
      <c r="H166" s="179"/>
      <c r="I166" s="47"/>
      <c r="J166" s="509">
        <f t="shared" ref="J166" si="126">K166+N166</f>
        <v>56295562</v>
      </c>
      <c r="K166" s="47"/>
      <c r="L166" s="179"/>
      <c r="M166" s="179"/>
      <c r="N166" s="268">
        <f>O166</f>
        <v>56295562</v>
      </c>
      <c r="O166" s="535">
        <f>((7653700)+47016269-450000-2800000+(1750000))+2991971+200000-66378</f>
        <v>56295562</v>
      </c>
      <c r="P166" s="534">
        <f t="shared" ref="P166" si="127">E166+J166</f>
        <v>56295562</v>
      </c>
      <c r="Q166" s="536"/>
    </row>
    <row r="167" spans="1:18" ht="183" x14ac:dyDescent="0.2">
      <c r="A167" s="508" t="s">
        <v>558</v>
      </c>
      <c r="B167" s="508" t="s">
        <v>559</v>
      </c>
      <c r="C167" s="508" t="s">
        <v>490</v>
      </c>
      <c r="D167" s="508" t="s">
        <v>703</v>
      </c>
      <c r="E167" s="248">
        <f t="shared" si="102"/>
        <v>252990</v>
      </c>
      <c r="F167" s="47">
        <v>252990</v>
      </c>
      <c r="G167" s="179"/>
      <c r="H167" s="179"/>
      <c r="I167" s="47"/>
      <c r="J167" s="509">
        <f t="shared" ref="J167" si="128">K167+N167</f>
        <v>0</v>
      </c>
      <c r="K167" s="47"/>
      <c r="L167" s="179"/>
      <c r="M167" s="179"/>
      <c r="N167" s="268">
        <f>O167</f>
        <v>0</v>
      </c>
      <c r="O167" s="516"/>
      <c r="P167" s="509">
        <f t="shared" ref="P167" si="129">E167+J167</f>
        <v>252990</v>
      </c>
    </row>
    <row r="168" spans="1:18" ht="91.5" x14ac:dyDescent="0.2">
      <c r="A168" s="508" t="s">
        <v>488</v>
      </c>
      <c r="B168" s="508" t="s">
        <v>489</v>
      </c>
      <c r="C168" s="508" t="s">
        <v>490</v>
      </c>
      <c r="D168" s="508" t="s">
        <v>487</v>
      </c>
      <c r="E168" s="248">
        <f t="shared" si="102"/>
        <v>1165188</v>
      </c>
      <c r="F168" s="47">
        <f>1050500+95000+19688</f>
        <v>1165188</v>
      </c>
      <c r="G168" s="179">
        <f>(839900)+3850</f>
        <v>843750</v>
      </c>
      <c r="H168" s="179">
        <v>11500</v>
      </c>
      <c r="I168" s="47"/>
      <c r="J168" s="509">
        <f t="shared" ref="J168" si="130">K168+N168</f>
        <v>7400</v>
      </c>
      <c r="K168" s="47">
        <v>7400</v>
      </c>
      <c r="L168" s="179"/>
      <c r="M168" s="179"/>
      <c r="N168" s="268">
        <f>O168</f>
        <v>0</v>
      </c>
      <c r="O168" s="516"/>
      <c r="P168" s="509">
        <f t="shared" ref="P168" si="131">E168+J168</f>
        <v>1172588</v>
      </c>
    </row>
    <row r="169" spans="1:18" ht="315" x14ac:dyDescent="0.2">
      <c r="A169" s="277" t="s">
        <v>69</v>
      </c>
      <c r="B169" s="277"/>
      <c r="C169" s="277"/>
      <c r="D169" s="277" t="s">
        <v>933</v>
      </c>
      <c r="E169" s="243">
        <f>E170</f>
        <v>0</v>
      </c>
      <c r="F169" s="243">
        <f t="shared" ref="F169:P169" si="132">F170</f>
        <v>0</v>
      </c>
      <c r="G169" s="243">
        <f t="shared" si="132"/>
        <v>0</v>
      </c>
      <c r="H169" s="243">
        <f t="shared" si="132"/>
        <v>0</v>
      </c>
      <c r="I169" s="243">
        <f t="shared" si="132"/>
        <v>0</v>
      </c>
      <c r="J169" s="243">
        <f t="shared" si="132"/>
        <v>134630394</v>
      </c>
      <c r="K169" s="243">
        <f t="shared" si="132"/>
        <v>0</v>
      </c>
      <c r="L169" s="243">
        <f t="shared" si="132"/>
        <v>0</v>
      </c>
      <c r="M169" s="243">
        <f t="shared" si="132"/>
        <v>0</v>
      </c>
      <c r="N169" s="243">
        <f t="shared" si="132"/>
        <v>134630394</v>
      </c>
      <c r="O169" s="244">
        <f>O170</f>
        <v>134630394</v>
      </c>
      <c r="P169" s="243">
        <f t="shared" si="132"/>
        <v>134630394</v>
      </c>
    </row>
    <row r="170" spans="1:18" ht="270" x14ac:dyDescent="0.2">
      <c r="A170" s="280" t="s">
        <v>70</v>
      </c>
      <c r="B170" s="280"/>
      <c r="C170" s="280"/>
      <c r="D170" s="280" t="s">
        <v>932</v>
      </c>
      <c r="E170" s="244">
        <f>E171+E174+E175</f>
        <v>0</v>
      </c>
      <c r="F170" s="243">
        <f t="shared" ref="F170:I170" si="133">F171+F174+F175</f>
        <v>0</v>
      </c>
      <c r="G170" s="244">
        <f t="shared" si="133"/>
        <v>0</v>
      </c>
      <c r="H170" s="244">
        <f t="shared" si="133"/>
        <v>0</v>
      </c>
      <c r="I170" s="243">
        <f t="shared" si="133"/>
        <v>0</v>
      </c>
      <c r="J170" s="244">
        <f t="shared" ref="J170" si="134">K170+N170</f>
        <v>134630394</v>
      </c>
      <c r="K170" s="243">
        <f t="shared" ref="K170:O170" si="135">K171+K174+K175</f>
        <v>0</v>
      </c>
      <c r="L170" s="244">
        <f t="shared" si="135"/>
        <v>0</v>
      </c>
      <c r="M170" s="244">
        <f t="shared" si="135"/>
        <v>0</v>
      </c>
      <c r="N170" s="243">
        <f t="shared" si="135"/>
        <v>134630394</v>
      </c>
      <c r="O170" s="244">
        <f t="shared" si="135"/>
        <v>134630394</v>
      </c>
      <c r="P170" s="244">
        <f t="shared" ref="P170" si="136">+J170+E170</f>
        <v>134630394</v>
      </c>
      <c r="Q170" s="311" t="b">
        <f>P170=P172+P173+P174+P175</f>
        <v>1</v>
      </c>
      <c r="R170" s="325" t="b">
        <f>O170='dod5'!J206</f>
        <v>1</v>
      </c>
    </row>
    <row r="171" spans="1:18" ht="137.25" x14ac:dyDescent="0.2">
      <c r="A171" s="508" t="s">
        <v>599</v>
      </c>
      <c r="B171" s="508" t="s">
        <v>600</v>
      </c>
      <c r="C171" s="508"/>
      <c r="D171" s="508" t="s">
        <v>598</v>
      </c>
      <c r="E171" s="248">
        <f t="shared" ref="E171:E173" si="137">F171</f>
        <v>0</v>
      </c>
      <c r="F171" s="47">
        <f>F172+F173</f>
        <v>0</v>
      </c>
      <c r="G171" s="179">
        <f>G172+G173</f>
        <v>0</v>
      </c>
      <c r="H171" s="179">
        <f>H172+H173</f>
        <v>0</v>
      </c>
      <c r="I171" s="47">
        <f>I172+I173</f>
        <v>0</v>
      </c>
      <c r="J171" s="509">
        <f t="shared" ref="J171:J175" si="138">K171+N171</f>
        <v>98225000</v>
      </c>
      <c r="K171" s="47">
        <f>K172+K173</f>
        <v>0</v>
      </c>
      <c r="L171" s="179">
        <f>L172+L173</f>
        <v>0</v>
      </c>
      <c r="M171" s="179">
        <f>M172+M173</f>
        <v>0</v>
      </c>
      <c r="N171" s="268">
        <f>N172+N173</f>
        <v>98225000</v>
      </c>
      <c r="O171" s="47">
        <f>O172+O173</f>
        <v>98225000</v>
      </c>
      <c r="P171" s="509">
        <f t="shared" ref="P171:P173" si="139">E171+J171</f>
        <v>98225000</v>
      </c>
    </row>
    <row r="172" spans="1:18" ht="91.5" x14ac:dyDescent="0.2">
      <c r="A172" s="510" t="s">
        <v>602</v>
      </c>
      <c r="B172" s="510" t="s">
        <v>603</v>
      </c>
      <c r="C172" s="510" t="s">
        <v>570</v>
      </c>
      <c r="D172" s="510" t="s">
        <v>601</v>
      </c>
      <c r="E172" s="511">
        <f t="shared" si="137"/>
        <v>0</v>
      </c>
      <c r="F172" s="511"/>
      <c r="G172" s="511"/>
      <c r="H172" s="511"/>
      <c r="I172" s="511"/>
      <c r="J172" s="511">
        <f t="shared" si="138"/>
        <v>65200000</v>
      </c>
      <c r="K172" s="511"/>
      <c r="L172" s="511"/>
      <c r="M172" s="511"/>
      <c r="N172" s="511">
        <f>O172</f>
        <v>65200000</v>
      </c>
      <c r="O172" s="516">
        <f>((35888000)+18550000+(5000000))+5762000</f>
        <v>65200000</v>
      </c>
      <c r="P172" s="511">
        <f t="shared" si="139"/>
        <v>65200000</v>
      </c>
    </row>
    <row r="173" spans="1:18" ht="137.25" x14ac:dyDescent="0.2">
      <c r="A173" s="510" t="s">
        <v>604</v>
      </c>
      <c r="B173" s="510" t="s">
        <v>605</v>
      </c>
      <c r="C173" s="510" t="s">
        <v>570</v>
      </c>
      <c r="D173" s="510" t="s">
        <v>606</v>
      </c>
      <c r="E173" s="511">
        <f t="shared" si="137"/>
        <v>0</v>
      </c>
      <c r="F173" s="511"/>
      <c r="G173" s="511"/>
      <c r="H173" s="511"/>
      <c r="I173" s="511"/>
      <c r="J173" s="511">
        <f t="shared" si="138"/>
        <v>33025000</v>
      </c>
      <c r="K173" s="511"/>
      <c r="L173" s="511"/>
      <c r="M173" s="511"/>
      <c r="N173" s="511">
        <f>O173</f>
        <v>33025000</v>
      </c>
      <c r="O173" s="511">
        <f>((5000000+510000)+480000-1000000+250000+5000000-2200000+(27000000))-2015000</f>
        <v>33025000</v>
      </c>
      <c r="P173" s="511">
        <f t="shared" si="139"/>
        <v>33025000</v>
      </c>
    </row>
    <row r="174" spans="1:18" ht="183" x14ac:dyDescent="0.2">
      <c r="A174" s="508" t="s">
        <v>608</v>
      </c>
      <c r="B174" s="508" t="s">
        <v>609</v>
      </c>
      <c r="C174" s="508" t="s">
        <v>570</v>
      </c>
      <c r="D174" s="508" t="s">
        <v>607</v>
      </c>
      <c r="E174" s="509">
        <f>F174</f>
        <v>0</v>
      </c>
      <c r="F174" s="511"/>
      <c r="G174" s="516"/>
      <c r="H174" s="516"/>
      <c r="I174" s="511"/>
      <c r="J174" s="509">
        <f t="shared" si="138"/>
        <v>36405394</v>
      </c>
      <c r="K174" s="511"/>
      <c r="L174" s="516"/>
      <c r="M174" s="516"/>
      <c r="N174" s="511">
        <f t="shared" ref="N174" si="140">O174</f>
        <v>36405394</v>
      </c>
      <c r="O174" s="333">
        <f>((14952000+360000)+15280000+1000000-250000)+5573000-509606</f>
        <v>36405394</v>
      </c>
      <c r="P174" s="509">
        <f>E174+J174</f>
        <v>36405394</v>
      </c>
    </row>
    <row r="175" spans="1:18" ht="91.5" x14ac:dyDescent="0.2">
      <c r="A175" s="508" t="s">
        <v>610</v>
      </c>
      <c r="B175" s="508" t="s">
        <v>373</v>
      </c>
      <c r="C175" s="508" t="s">
        <v>324</v>
      </c>
      <c r="D175" s="508" t="s">
        <v>89</v>
      </c>
      <c r="E175" s="248">
        <f t="shared" ref="E175" si="141">F175</f>
        <v>0</v>
      </c>
      <c r="F175" s="47"/>
      <c r="G175" s="179"/>
      <c r="H175" s="179"/>
      <c r="I175" s="47"/>
      <c r="J175" s="509">
        <f t="shared" si="138"/>
        <v>0</v>
      </c>
      <c r="K175" s="47"/>
      <c r="L175" s="179"/>
      <c r="M175" s="179"/>
      <c r="N175" s="268">
        <f>O175</f>
        <v>0</v>
      </c>
      <c r="O175" s="516">
        <f>(180000)-180000</f>
        <v>0</v>
      </c>
      <c r="P175" s="509">
        <f t="shared" ref="P175" si="142">E175+J175</f>
        <v>0</v>
      </c>
    </row>
    <row r="176" spans="1:18" ht="270" x14ac:dyDescent="0.2">
      <c r="A176" s="277" t="s">
        <v>314</v>
      </c>
      <c r="B176" s="277"/>
      <c r="C176" s="277"/>
      <c r="D176" s="277" t="s">
        <v>71</v>
      </c>
      <c r="E176" s="243">
        <f>E177</f>
        <v>0</v>
      </c>
      <c r="F176" s="243">
        <f t="shared" ref="F176:P177" si="143">F177</f>
        <v>0</v>
      </c>
      <c r="G176" s="243">
        <f t="shared" si="143"/>
        <v>0</v>
      </c>
      <c r="H176" s="243">
        <f t="shared" si="143"/>
        <v>0</v>
      </c>
      <c r="I176" s="243">
        <f t="shared" si="143"/>
        <v>0</v>
      </c>
      <c r="J176" s="243">
        <f t="shared" si="143"/>
        <v>182900</v>
      </c>
      <c r="K176" s="243">
        <f t="shared" si="143"/>
        <v>0</v>
      </c>
      <c r="L176" s="243">
        <f t="shared" si="143"/>
        <v>0</v>
      </c>
      <c r="M176" s="243">
        <f t="shared" si="143"/>
        <v>0</v>
      </c>
      <c r="N176" s="243">
        <f t="shared" si="143"/>
        <v>182900</v>
      </c>
      <c r="O176" s="244">
        <f t="shared" si="143"/>
        <v>182900</v>
      </c>
      <c r="P176" s="243">
        <f t="shared" si="143"/>
        <v>182900</v>
      </c>
    </row>
    <row r="177" spans="1:18" ht="270" x14ac:dyDescent="0.2">
      <c r="A177" s="280" t="s">
        <v>315</v>
      </c>
      <c r="B177" s="280"/>
      <c r="C177" s="280"/>
      <c r="D177" s="280" t="s">
        <v>96</v>
      </c>
      <c r="E177" s="244">
        <f>E178</f>
        <v>0</v>
      </c>
      <c r="F177" s="243">
        <f>E177</f>
        <v>0</v>
      </c>
      <c r="G177" s="244">
        <f t="shared" si="143"/>
        <v>0</v>
      </c>
      <c r="H177" s="244">
        <f t="shared" si="143"/>
        <v>0</v>
      </c>
      <c r="I177" s="243">
        <f t="shared" si="143"/>
        <v>0</v>
      </c>
      <c r="J177" s="244">
        <f>K177+N177</f>
        <v>182900</v>
      </c>
      <c r="K177" s="243">
        <f t="shared" si="143"/>
        <v>0</v>
      </c>
      <c r="L177" s="244">
        <f t="shared" si="143"/>
        <v>0</v>
      </c>
      <c r="M177" s="244">
        <f>M178</f>
        <v>0</v>
      </c>
      <c r="N177" s="243">
        <f>N178</f>
        <v>182900</v>
      </c>
      <c r="O177" s="244">
        <f>O178</f>
        <v>182900</v>
      </c>
      <c r="P177" s="244">
        <f>+J177+E177</f>
        <v>182900</v>
      </c>
      <c r="Q177" s="311" t="b">
        <f>P177=P178</f>
        <v>1</v>
      </c>
      <c r="R177" s="325" t="b">
        <f>P177='dod5'!J240</f>
        <v>1</v>
      </c>
    </row>
    <row r="178" spans="1:18" ht="137.25" x14ac:dyDescent="0.2">
      <c r="A178" s="411" t="s">
        <v>580</v>
      </c>
      <c r="B178" s="411" t="s">
        <v>581</v>
      </c>
      <c r="C178" s="411" t="s">
        <v>570</v>
      </c>
      <c r="D178" s="411" t="s">
        <v>582</v>
      </c>
      <c r="E178" s="412">
        <f>F178</f>
        <v>0</v>
      </c>
      <c r="F178" s="414">
        <v>0</v>
      </c>
      <c r="G178" s="239"/>
      <c r="H178" s="239"/>
      <c r="I178" s="414"/>
      <c r="J178" s="412">
        <f>K178+N178</f>
        <v>182900</v>
      </c>
      <c r="K178" s="414"/>
      <c r="L178" s="239"/>
      <c r="M178" s="239"/>
      <c r="N178" s="414">
        <f>O178</f>
        <v>182900</v>
      </c>
      <c r="O178" s="239">
        <f>((780000)+2376000+150300)-2376000-780000+16300+16300</f>
        <v>182900</v>
      </c>
      <c r="P178" s="412">
        <f>E178+J178</f>
        <v>182900</v>
      </c>
    </row>
    <row r="179" spans="1:18" ht="135" x14ac:dyDescent="0.2">
      <c r="A179" s="277" t="s">
        <v>320</v>
      </c>
      <c r="B179" s="277"/>
      <c r="C179" s="277"/>
      <c r="D179" s="277" t="s">
        <v>764</v>
      </c>
      <c r="E179" s="243">
        <f>E180</f>
        <v>4838801.5999999996</v>
      </c>
      <c r="F179" s="243">
        <f t="shared" ref="F179:P179" si="144">F180</f>
        <v>4838801.5999999996</v>
      </c>
      <c r="G179" s="243">
        <f t="shared" si="144"/>
        <v>0</v>
      </c>
      <c r="H179" s="243">
        <f t="shared" si="144"/>
        <v>0</v>
      </c>
      <c r="I179" s="243">
        <f t="shared" si="144"/>
        <v>0</v>
      </c>
      <c r="J179" s="243">
        <f t="shared" si="144"/>
        <v>909350</v>
      </c>
      <c r="K179" s="243">
        <f t="shared" si="144"/>
        <v>0</v>
      </c>
      <c r="L179" s="243">
        <f t="shared" si="144"/>
        <v>0</v>
      </c>
      <c r="M179" s="243">
        <f t="shared" si="144"/>
        <v>0</v>
      </c>
      <c r="N179" s="243">
        <f t="shared" si="144"/>
        <v>909350</v>
      </c>
      <c r="O179" s="244">
        <f t="shared" si="144"/>
        <v>909350</v>
      </c>
      <c r="P179" s="243">
        <f t="shared" si="144"/>
        <v>5748151.5999999996</v>
      </c>
    </row>
    <row r="180" spans="1:18" ht="135" x14ac:dyDescent="0.2">
      <c r="A180" s="280" t="s">
        <v>321</v>
      </c>
      <c r="B180" s="280"/>
      <c r="C180" s="280"/>
      <c r="D180" s="280" t="s">
        <v>765</v>
      </c>
      <c r="E180" s="244">
        <f>SUM(E181:E184)</f>
        <v>4838801.5999999996</v>
      </c>
      <c r="F180" s="243">
        <f t="shared" ref="F180:I180" si="145">SUM(F181:F184)</f>
        <v>4838801.5999999996</v>
      </c>
      <c r="G180" s="243">
        <f t="shared" si="145"/>
        <v>0</v>
      </c>
      <c r="H180" s="243">
        <f t="shared" si="145"/>
        <v>0</v>
      </c>
      <c r="I180" s="243">
        <f t="shared" si="145"/>
        <v>0</v>
      </c>
      <c r="J180" s="244">
        <f>K180+N180</f>
        <v>909350</v>
      </c>
      <c r="K180" s="243">
        <f>SUM(K181:K184)</f>
        <v>0</v>
      </c>
      <c r="L180" s="244">
        <f t="shared" ref="L180:M180" si="146">SUM(L181:L184)</f>
        <v>0</v>
      </c>
      <c r="M180" s="244">
        <f t="shared" si="146"/>
        <v>0</v>
      </c>
      <c r="N180" s="243">
        <f>SUM(N181:N184)</f>
        <v>909350</v>
      </c>
      <c r="O180" s="244">
        <f>SUM(O181:O184)</f>
        <v>909350</v>
      </c>
      <c r="P180" s="244">
        <f>E180+J180</f>
        <v>5748151.5999999996</v>
      </c>
      <c r="Q180" s="311" t="b">
        <f>P180=P181+P182+P183+P185</f>
        <v>1</v>
      </c>
      <c r="R180" s="325" t="b">
        <f>O180='dod5'!J247</f>
        <v>1</v>
      </c>
    </row>
    <row r="181" spans="1:18" ht="137.25" x14ac:dyDescent="0.2">
      <c r="A181" s="411" t="s">
        <v>755</v>
      </c>
      <c r="B181" s="411" t="s">
        <v>756</v>
      </c>
      <c r="C181" s="411" t="s">
        <v>324</v>
      </c>
      <c r="D181" s="411" t="s">
        <v>502</v>
      </c>
      <c r="E181" s="412">
        <f>F181</f>
        <v>0</v>
      </c>
      <c r="F181" s="414"/>
      <c r="G181" s="239"/>
      <c r="H181" s="239"/>
      <c r="I181" s="414"/>
      <c r="J181" s="412">
        <f>K181+N181</f>
        <v>294000</v>
      </c>
      <c r="K181" s="414"/>
      <c r="L181" s="239"/>
      <c r="M181" s="239"/>
      <c r="N181" s="414">
        <f>O181</f>
        <v>294000</v>
      </c>
      <c r="O181" s="239">
        <f>((1000000+200000)-700000)-206000</f>
        <v>294000</v>
      </c>
      <c r="P181" s="412">
        <f>E181+J181</f>
        <v>294000</v>
      </c>
    </row>
    <row r="182" spans="1:18" ht="91.5" x14ac:dyDescent="0.2">
      <c r="A182" s="411" t="s">
        <v>500</v>
      </c>
      <c r="B182" s="411" t="s">
        <v>501</v>
      </c>
      <c r="C182" s="411" t="s">
        <v>499</v>
      </c>
      <c r="D182" s="411" t="s">
        <v>498</v>
      </c>
      <c r="E182" s="412">
        <f t="shared" ref="E182:E185" si="147">F182</f>
        <v>2200000</v>
      </c>
      <c r="F182" s="414">
        <f>(1500000)+700000</f>
        <v>2200000</v>
      </c>
      <c r="G182" s="239"/>
      <c r="H182" s="239"/>
      <c r="I182" s="414"/>
      <c r="J182" s="412">
        <f t="shared" ref="J182:J185" si="148">K182+N182</f>
        <v>0</v>
      </c>
      <c r="K182" s="414"/>
      <c r="L182" s="239"/>
      <c r="M182" s="239"/>
      <c r="N182" s="414">
        <f t="shared" ref="N182:N185" si="149">O182</f>
        <v>0</v>
      </c>
      <c r="O182" s="239"/>
      <c r="P182" s="412">
        <f t="shared" ref="P182:P185" si="150">E182+J182</f>
        <v>2200000</v>
      </c>
    </row>
    <row r="183" spans="1:18" ht="137.25" x14ac:dyDescent="0.2">
      <c r="A183" s="411" t="s">
        <v>491</v>
      </c>
      <c r="B183" s="411" t="s">
        <v>493</v>
      </c>
      <c r="C183" s="411" t="s">
        <v>404</v>
      </c>
      <c r="D183" s="411" t="s">
        <v>492</v>
      </c>
      <c r="E183" s="412">
        <f t="shared" si="147"/>
        <v>455000</v>
      </c>
      <c r="F183" s="414">
        <f>(475000)-20000</f>
        <v>455000</v>
      </c>
      <c r="G183" s="239"/>
      <c r="H183" s="239"/>
      <c r="I183" s="414"/>
      <c r="J183" s="412">
        <f t="shared" si="148"/>
        <v>20000</v>
      </c>
      <c r="K183" s="414"/>
      <c r="L183" s="239"/>
      <c r="M183" s="239"/>
      <c r="N183" s="414">
        <f t="shared" si="149"/>
        <v>20000</v>
      </c>
      <c r="O183" s="239">
        <v>20000</v>
      </c>
      <c r="P183" s="412">
        <f t="shared" si="150"/>
        <v>475000</v>
      </c>
    </row>
    <row r="184" spans="1:18" ht="46.5" x14ac:dyDescent="0.2">
      <c r="A184" s="411" t="s">
        <v>495</v>
      </c>
      <c r="B184" s="411" t="s">
        <v>449</v>
      </c>
      <c r="C184" s="411" t="s">
        <v>324</v>
      </c>
      <c r="D184" s="411" t="s">
        <v>447</v>
      </c>
      <c r="E184" s="412">
        <f t="shared" si="147"/>
        <v>2183801.6</v>
      </c>
      <c r="F184" s="414">
        <f>SUM(F185:F185)</f>
        <v>2183801.6</v>
      </c>
      <c r="G184" s="239"/>
      <c r="H184" s="239"/>
      <c r="I184" s="414"/>
      <c r="J184" s="412">
        <f t="shared" si="148"/>
        <v>595350</v>
      </c>
      <c r="K184" s="414">
        <f>SUM(K185:K185)</f>
        <v>0</v>
      </c>
      <c r="L184" s="239"/>
      <c r="M184" s="239"/>
      <c r="N184" s="414">
        <f t="shared" si="149"/>
        <v>595350</v>
      </c>
      <c r="O184" s="239">
        <f>SUM(O185:O185)</f>
        <v>595350</v>
      </c>
      <c r="P184" s="412">
        <f t="shared" si="150"/>
        <v>2779151.6</v>
      </c>
    </row>
    <row r="185" spans="1:18" ht="91.5" x14ac:dyDescent="0.2">
      <c r="A185" s="413" t="s">
        <v>496</v>
      </c>
      <c r="B185" s="413" t="s">
        <v>497</v>
      </c>
      <c r="C185" s="413" t="s">
        <v>324</v>
      </c>
      <c r="D185" s="413" t="s">
        <v>494</v>
      </c>
      <c r="E185" s="414">
        <f t="shared" si="147"/>
        <v>2183801.6</v>
      </c>
      <c r="F185" s="414">
        <f>((4195800-1965302-34698)+100000)-111998.4</f>
        <v>2183801.6</v>
      </c>
      <c r="G185" s="414"/>
      <c r="H185" s="414"/>
      <c r="I185" s="414"/>
      <c r="J185" s="414">
        <f t="shared" si="148"/>
        <v>595350</v>
      </c>
      <c r="K185" s="414"/>
      <c r="L185" s="414"/>
      <c r="M185" s="414"/>
      <c r="N185" s="414">
        <f t="shared" si="149"/>
        <v>595350</v>
      </c>
      <c r="O185" s="414">
        <f>((0)+400000)+195350</f>
        <v>595350</v>
      </c>
      <c r="P185" s="414">
        <f t="shared" si="150"/>
        <v>2779151.6</v>
      </c>
    </row>
    <row r="186" spans="1:18" ht="180" x14ac:dyDescent="0.2">
      <c r="A186" s="277" t="s">
        <v>318</v>
      </c>
      <c r="B186" s="277"/>
      <c r="C186" s="277"/>
      <c r="D186" s="277" t="s">
        <v>72</v>
      </c>
      <c r="E186" s="243">
        <f>E187</f>
        <v>0</v>
      </c>
      <c r="F186" s="243">
        <f t="shared" ref="F186:P186" si="151">F187</f>
        <v>0</v>
      </c>
      <c r="G186" s="243">
        <f t="shared" si="151"/>
        <v>0</v>
      </c>
      <c r="H186" s="243">
        <f t="shared" si="151"/>
        <v>0</v>
      </c>
      <c r="I186" s="243">
        <f t="shared" si="151"/>
        <v>0</v>
      </c>
      <c r="J186" s="243">
        <f t="shared" si="151"/>
        <v>1271148.6600000001</v>
      </c>
      <c r="K186" s="243">
        <f t="shared" si="151"/>
        <v>0</v>
      </c>
      <c r="L186" s="243">
        <f t="shared" si="151"/>
        <v>0</v>
      </c>
      <c r="M186" s="243">
        <f t="shared" si="151"/>
        <v>0</v>
      </c>
      <c r="N186" s="243">
        <f t="shared" si="151"/>
        <v>1271148.6600000001</v>
      </c>
      <c r="O186" s="244">
        <f t="shared" si="151"/>
        <v>0</v>
      </c>
      <c r="P186" s="243">
        <f t="shared" si="151"/>
        <v>1271148.6600000001</v>
      </c>
    </row>
    <row r="187" spans="1:18" ht="180" x14ac:dyDescent="0.2">
      <c r="A187" s="280" t="s">
        <v>319</v>
      </c>
      <c r="B187" s="280"/>
      <c r="C187" s="280"/>
      <c r="D187" s="280" t="s">
        <v>97</v>
      </c>
      <c r="E187" s="244">
        <v>0</v>
      </c>
      <c r="F187" s="243">
        <f>F191+F192+F188</f>
        <v>0</v>
      </c>
      <c r="G187" s="244">
        <f>G191+G192+G188</f>
        <v>0</v>
      </c>
      <c r="H187" s="244">
        <f>H191+H192+H188</f>
        <v>0</v>
      </c>
      <c r="I187" s="243">
        <f>I191+I192+I188</f>
        <v>0</v>
      </c>
      <c r="J187" s="244">
        <f>K187+N187</f>
        <v>1271148.6600000001</v>
      </c>
      <c r="K187" s="243">
        <f>K191+K192+K188</f>
        <v>0</v>
      </c>
      <c r="L187" s="244">
        <f>L191+L192+L188</f>
        <v>0</v>
      </c>
      <c r="M187" s="244">
        <f>M191+M192+M188</f>
        <v>0</v>
      </c>
      <c r="N187" s="243">
        <f>N191+N192+N188</f>
        <v>1271148.6600000001</v>
      </c>
      <c r="O187" s="244">
        <f>O191+O192+O188</f>
        <v>0</v>
      </c>
      <c r="P187" s="244">
        <f>E187+J187</f>
        <v>1271148.6600000001</v>
      </c>
      <c r="Q187" s="311" t="b">
        <f>P187=P189+P190+P191+P192</f>
        <v>1</v>
      </c>
      <c r="R187" s="325" t="b">
        <f>P187='dod7'!F18</f>
        <v>1</v>
      </c>
    </row>
    <row r="188" spans="1:18" ht="137.25" x14ac:dyDescent="0.2">
      <c r="A188" s="411" t="s">
        <v>583</v>
      </c>
      <c r="B188" s="411" t="s">
        <v>584</v>
      </c>
      <c r="C188" s="411"/>
      <c r="D188" s="411" t="s">
        <v>585</v>
      </c>
      <c r="E188" s="248">
        <f t="shared" ref="E188:E189" si="152">F188</f>
        <v>0</v>
      </c>
      <c r="F188" s="47">
        <f>F189+F190</f>
        <v>0</v>
      </c>
      <c r="G188" s="179">
        <f>G189+G190</f>
        <v>0</v>
      </c>
      <c r="H188" s="179">
        <f>H189+H190</f>
        <v>0</v>
      </c>
      <c r="I188" s="47">
        <f>I189+I190</f>
        <v>0</v>
      </c>
      <c r="J188" s="412">
        <f t="shared" ref="J188:J189" si="153">K188+N188</f>
        <v>937148.66</v>
      </c>
      <c r="K188" s="47">
        <f>K189+K190</f>
        <v>0</v>
      </c>
      <c r="L188" s="179">
        <f>L189+L190</f>
        <v>0</v>
      </c>
      <c r="M188" s="179">
        <f>M189+M190</f>
        <v>0</v>
      </c>
      <c r="N188" s="268">
        <f>N189+N190</f>
        <v>937148.66</v>
      </c>
      <c r="O188" s="47">
        <f>O189+O190</f>
        <v>0</v>
      </c>
      <c r="P188" s="412">
        <f t="shared" ref="P188" si="154">E188+J188</f>
        <v>937148.66</v>
      </c>
    </row>
    <row r="189" spans="1:18" ht="137.25" x14ac:dyDescent="0.2">
      <c r="A189" s="413" t="s">
        <v>586</v>
      </c>
      <c r="B189" s="413" t="s">
        <v>587</v>
      </c>
      <c r="C189" s="413" t="s">
        <v>119</v>
      </c>
      <c r="D189" s="413" t="s">
        <v>120</v>
      </c>
      <c r="E189" s="414">
        <f t="shared" si="152"/>
        <v>0</v>
      </c>
      <c r="F189" s="414"/>
      <c r="G189" s="414"/>
      <c r="H189" s="414"/>
      <c r="I189" s="414"/>
      <c r="J189" s="414">
        <f t="shared" si="153"/>
        <v>629148.66</v>
      </c>
      <c r="K189" s="414"/>
      <c r="L189" s="414"/>
      <c r="M189" s="414"/>
      <c r="N189" s="414">
        <f>(O189+276000)+68148.66+285000</f>
        <v>629148.66</v>
      </c>
      <c r="O189" s="239"/>
      <c r="P189" s="414">
        <f t="shared" ref="P189:P190" si="155">E189+J189</f>
        <v>629148.66</v>
      </c>
    </row>
    <row r="190" spans="1:18" ht="46.5" x14ac:dyDescent="0.2">
      <c r="A190" s="413" t="s">
        <v>588</v>
      </c>
      <c r="B190" s="413" t="s">
        <v>589</v>
      </c>
      <c r="C190" s="413" t="s">
        <v>121</v>
      </c>
      <c r="D190" s="413" t="s">
        <v>590</v>
      </c>
      <c r="E190" s="414">
        <f t="shared" ref="E190" si="156">F190</f>
        <v>0</v>
      </c>
      <c r="F190" s="414"/>
      <c r="G190" s="414"/>
      <c r="H190" s="414"/>
      <c r="I190" s="414"/>
      <c r="J190" s="414">
        <f t="shared" ref="J190" si="157">K190+N190</f>
        <v>308000</v>
      </c>
      <c r="K190" s="414"/>
      <c r="L190" s="414"/>
      <c r="M190" s="414"/>
      <c r="N190" s="414">
        <f>(O190+70000)+238000</f>
        <v>308000</v>
      </c>
      <c r="O190" s="414"/>
      <c r="P190" s="414">
        <f t="shared" si="155"/>
        <v>308000</v>
      </c>
    </row>
    <row r="191" spans="1:18" ht="91.5" x14ac:dyDescent="0.2">
      <c r="A191" s="411" t="s">
        <v>591</v>
      </c>
      <c r="B191" s="411" t="s">
        <v>592</v>
      </c>
      <c r="C191" s="411" t="s">
        <v>123</v>
      </c>
      <c r="D191" s="411" t="s">
        <v>130</v>
      </c>
      <c r="E191" s="412">
        <v>0</v>
      </c>
      <c r="F191" s="414"/>
      <c r="G191" s="239"/>
      <c r="H191" s="239"/>
      <c r="I191" s="414"/>
      <c r="J191" s="412">
        <f>K191+N191</f>
        <v>125000</v>
      </c>
      <c r="K191" s="414"/>
      <c r="L191" s="239"/>
      <c r="M191" s="239"/>
      <c r="N191" s="268">
        <f>(O191+40000)+85000</f>
        <v>125000</v>
      </c>
      <c r="O191" s="239"/>
      <c r="P191" s="412">
        <f>E191+J191</f>
        <v>125000</v>
      </c>
    </row>
    <row r="192" spans="1:18" ht="137.25" x14ac:dyDescent="0.2">
      <c r="A192" s="411" t="s">
        <v>593</v>
      </c>
      <c r="B192" s="411" t="s">
        <v>594</v>
      </c>
      <c r="C192" s="411" t="s">
        <v>122</v>
      </c>
      <c r="D192" s="411" t="s">
        <v>595</v>
      </c>
      <c r="E192" s="412">
        <v>0</v>
      </c>
      <c r="F192" s="414"/>
      <c r="G192" s="239"/>
      <c r="H192" s="239"/>
      <c r="I192" s="414"/>
      <c r="J192" s="412">
        <f>K192+N192</f>
        <v>209000</v>
      </c>
      <c r="K192" s="414"/>
      <c r="L192" s="239"/>
      <c r="M192" s="239"/>
      <c r="N192" s="268">
        <f>(O192+179000)+30000</f>
        <v>209000</v>
      </c>
      <c r="O192" s="239"/>
      <c r="P192" s="412">
        <f>E192+J192</f>
        <v>209000</v>
      </c>
    </row>
    <row r="193" spans="1:20" ht="315" x14ac:dyDescent="0.2">
      <c r="A193" s="277" t="s">
        <v>316</v>
      </c>
      <c r="B193" s="277"/>
      <c r="C193" s="277"/>
      <c r="D193" s="277" t="s">
        <v>766</v>
      </c>
      <c r="E193" s="243">
        <f>E194</f>
        <v>0</v>
      </c>
      <c r="F193" s="243">
        <f t="shared" ref="F193:P193" si="158">F194</f>
        <v>0</v>
      </c>
      <c r="G193" s="243">
        <f t="shared" si="158"/>
        <v>0</v>
      </c>
      <c r="H193" s="243">
        <f t="shared" si="158"/>
        <v>0</v>
      </c>
      <c r="I193" s="243">
        <f t="shared" si="158"/>
        <v>0</v>
      </c>
      <c r="J193" s="243">
        <f t="shared" si="158"/>
        <v>300000</v>
      </c>
      <c r="K193" s="243">
        <f t="shared" si="158"/>
        <v>0</v>
      </c>
      <c r="L193" s="243">
        <f t="shared" si="158"/>
        <v>0</v>
      </c>
      <c r="M193" s="243">
        <f t="shared" si="158"/>
        <v>0</v>
      </c>
      <c r="N193" s="243">
        <f t="shared" si="158"/>
        <v>300000</v>
      </c>
      <c r="O193" s="244">
        <f t="shared" si="158"/>
        <v>300000</v>
      </c>
      <c r="P193" s="243">
        <f t="shared" si="158"/>
        <v>300000</v>
      </c>
    </row>
    <row r="194" spans="1:20" ht="315" x14ac:dyDescent="0.2">
      <c r="A194" s="280" t="s">
        <v>317</v>
      </c>
      <c r="B194" s="280"/>
      <c r="C194" s="280"/>
      <c r="D194" s="280" t="s">
        <v>767</v>
      </c>
      <c r="E194" s="244">
        <f>E195+E196</f>
        <v>0</v>
      </c>
      <c r="F194" s="243">
        <f>F195+F196</f>
        <v>0</v>
      </c>
      <c r="G194" s="244">
        <f>G195+G196</f>
        <v>0</v>
      </c>
      <c r="H194" s="244">
        <f>H195+H196</f>
        <v>0</v>
      </c>
      <c r="I194" s="243">
        <f>I195+I196</f>
        <v>0</v>
      </c>
      <c r="J194" s="244">
        <f>K194+N194</f>
        <v>300000</v>
      </c>
      <c r="K194" s="243">
        <f>K195+K196</f>
        <v>0</v>
      </c>
      <c r="L194" s="244">
        <f>L195+L196</f>
        <v>0</v>
      </c>
      <c r="M194" s="244">
        <f>M195+M196</f>
        <v>0</v>
      </c>
      <c r="N194" s="243">
        <f>O194</f>
        <v>300000</v>
      </c>
      <c r="O194" s="244">
        <f>O195+O196</f>
        <v>300000</v>
      </c>
      <c r="P194" s="244">
        <f>+J194+E194</f>
        <v>300000</v>
      </c>
      <c r="Q194" s="311" t="b">
        <f>P194=P195+P196</f>
        <v>1</v>
      </c>
      <c r="R194" s="325" t="b">
        <f>P194='dod5'!J253</f>
        <v>1</v>
      </c>
    </row>
    <row r="195" spans="1:20" ht="91.5" x14ac:dyDescent="0.2">
      <c r="A195" s="411" t="s">
        <v>577</v>
      </c>
      <c r="B195" s="411" t="s">
        <v>578</v>
      </c>
      <c r="C195" s="411" t="s">
        <v>579</v>
      </c>
      <c r="D195" s="411" t="s">
        <v>576</v>
      </c>
      <c r="E195" s="412">
        <f>F195</f>
        <v>0</v>
      </c>
      <c r="F195" s="414">
        <v>0</v>
      </c>
      <c r="G195" s="239"/>
      <c r="H195" s="239"/>
      <c r="I195" s="414"/>
      <c r="J195" s="412">
        <f>K195+N195</f>
        <v>248000</v>
      </c>
      <c r="K195" s="414"/>
      <c r="L195" s="239"/>
      <c r="M195" s="239"/>
      <c r="N195" s="414">
        <f>O195</f>
        <v>248000</v>
      </c>
      <c r="O195" s="239">
        <f>((300000)-52000+1405000)-1405000</f>
        <v>248000</v>
      </c>
      <c r="P195" s="412">
        <f>E195+J195</f>
        <v>248000</v>
      </c>
    </row>
    <row r="196" spans="1:20" ht="137.25" x14ac:dyDescent="0.2">
      <c r="A196" s="411" t="s">
        <v>839</v>
      </c>
      <c r="B196" s="411" t="s">
        <v>840</v>
      </c>
      <c r="C196" s="411" t="s">
        <v>324</v>
      </c>
      <c r="D196" s="411" t="s">
        <v>841</v>
      </c>
      <c r="E196" s="412">
        <f>F196</f>
        <v>0</v>
      </c>
      <c r="F196" s="414">
        <v>0</v>
      </c>
      <c r="G196" s="239"/>
      <c r="H196" s="239"/>
      <c r="I196" s="414"/>
      <c r="J196" s="412">
        <f>K196+N196</f>
        <v>52000</v>
      </c>
      <c r="K196" s="414"/>
      <c r="L196" s="239"/>
      <c r="M196" s="239"/>
      <c r="N196" s="414">
        <f>O196</f>
        <v>52000</v>
      </c>
      <c r="O196" s="239">
        <v>52000</v>
      </c>
      <c r="P196" s="412">
        <f>E196+J196</f>
        <v>52000</v>
      </c>
    </row>
    <row r="197" spans="1:20" ht="135" x14ac:dyDescent="0.2">
      <c r="A197" s="277" t="s">
        <v>322</v>
      </c>
      <c r="B197" s="277"/>
      <c r="C197" s="277"/>
      <c r="D197" s="277" t="s">
        <v>74</v>
      </c>
      <c r="E197" s="243">
        <f>E198</f>
        <v>30139414.260000002</v>
      </c>
      <c r="F197" s="243">
        <f t="shared" ref="F197:P197" si="159">F198</f>
        <v>30139414.260000002</v>
      </c>
      <c r="G197" s="243">
        <f t="shared" si="159"/>
        <v>0</v>
      </c>
      <c r="H197" s="243">
        <f t="shared" si="159"/>
        <v>0</v>
      </c>
      <c r="I197" s="243">
        <f t="shared" si="159"/>
        <v>0</v>
      </c>
      <c r="J197" s="243">
        <f t="shared" si="159"/>
        <v>0</v>
      </c>
      <c r="K197" s="243">
        <f t="shared" si="159"/>
        <v>0</v>
      </c>
      <c r="L197" s="243">
        <f t="shared" si="159"/>
        <v>0</v>
      </c>
      <c r="M197" s="243">
        <f t="shared" si="159"/>
        <v>0</v>
      </c>
      <c r="N197" s="243">
        <f t="shared" si="159"/>
        <v>0</v>
      </c>
      <c r="O197" s="244">
        <f t="shared" si="159"/>
        <v>0</v>
      </c>
      <c r="P197" s="243">
        <f t="shared" si="159"/>
        <v>30139414.260000002</v>
      </c>
    </row>
    <row r="198" spans="1:20" ht="135" x14ac:dyDescent="0.2">
      <c r="A198" s="280" t="s">
        <v>323</v>
      </c>
      <c r="B198" s="280"/>
      <c r="C198" s="280"/>
      <c r="D198" s="280" t="s">
        <v>98</v>
      </c>
      <c r="E198" s="244">
        <f>E200+E199+E201</f>
        <v>30139414.260000002</v>
      </c>
      <c r="F198" s="243">
        <f>F200+F199+F201</f>
        <v>30139414.260000002</v>
      </c>
      <c r="G198" s="244">
        <f>SUM(G199:G201)</f>
        <v>0</v>
      </c>
      <c r="H198" s="244">
        <f>SUM(H199:H201)</f>
        <v>0</v>
      </c>
      <c r="I198" s="243">
        <v>0</v>
      </c>
      <c r="J198" s="244">
        <f>K198+N198</f>
        <v>0</v>
      </c>
      <c r="K198" s="243">
        <f>SUM(K199:K199)</f>
        <v>0</v>
      </c>
      <c r="L198" s="244">
        <f>SUM(L199:L201)</f>
        <v>0</v>
      </c>
      <c r="M198" s="244">
        <f>SUM(M199:M201)</f>
        <v>0</v>
      </c>
      <c r="N198" s="243">
        <f>SUM(N199:N199)</f>
        <v>0</v>
      </c>
      <c r="O198" s="244">
        <f>SUM(O199:O199)</f>
        <v>0</v>
      </c>
      <c r="P198" s="244">
        <f>E198+J198</f>
        <v>30139414.260000002</v>
      </c>
      <c r="Q198" s="311" t="b">
        <f>P198=P199+P200+P201</f>
        <v>1</v>
      </c>
      <c r="R198" s="325"/>
    </row>
    <row r="199" spans="1:20" ht="91.5" x14ac:dyDescent="0.2">
      <c r="A199" s="335">
        <v>3718600</v>
      </c>
      <c r="B199" s="335">
        <v>8600</v>
      </c>
      <c r="C199" s="411" t="s">
        <v>781</v>
      </c>
      <c r="D199" s="335" t="s">
        <v>782</v>
      </c>
      <c r="E199" s="412">
        <f>F199</f>
        <v>281515.26</v>
      </c>
      <c r="F199" s="414">
        <v>281515.26</v>
      </c>
      <c r="G199" s="239"/>
      <c r="H199" s="239"/>
      <c r="I199" s="414"/>
      <c r="J199" s="412">
        <f t="shared" ref="J199" si="160">K199+N199</f>
        <v>0</v>
      </c>
      <c r="K199" s="414"/>
      <c r="L199" s="239"/>
      <c r="M199" s="239"/>
      <c r="N199" s="414"/>
      <c r="O199" s="239"/>
      <c r="P199" s="412">
        <f>E199+J199</f>
        <v>281515.26</v>
      </c>
    </row>
    <row r="200" spans="1:20" ht="69" customHeight="1" x14ac:dyDescent="0.2">
      <c r="A200" s="335">
        <v>3718700</v>
      </c>
      <c r="B200" s="335">
        <v>8700</v>
      </c>
      <c r="C200" s="411" t="s">
        <v>102</v>
      </c>
      <c r="D200" s="309" t="s">
        <v>100</v>
      </c>
      <c r="E200" s="412">
        <f>F200</f>
        <v>1750999</v>
      </c>
      <c r="F200" s="414">
        <f>(3000000+1200000+1500000-700000-1969600-1109401)-50000-120000</f>
        <v>1750999</v>
      </c>
      <c r="G200" s="239"/>
      <c r="H200" s="239"/>
      <c r="I200" s="414"/>
      <c r="J200" s="412">
        <f>K200+N200</f>
        <v>0</v>
      </c>
      <c r="K200" s="414"/>
      <c r="L200" s="239"/>
      <c r="M200" s="239"/>
      <c r="N200" s="414"/>
      <c r="O200" s="239"/>
      <c r="P200" s="412">
        <f>E200+J200</f>
        <v>1750999</v>
      </c>
    </row>
    <row r="201" spans="1:20" ht="65.25" customHeight="1" x14ac:dyDescent="0.2">
      <c r="A201" s="335">
        <v>3719110</v>
      </c>
      <c r="B201" s="335">
        <v>9110</v>
      </c>
      <c r="C201" s="411" t="s">
        <v>103</v>
      </c>
      <c r="D201" s="309" t="s">
        <v>101</v>
      </c>
      <c r="E201" s="412">
        <f>F201</f>
        <v>28106900</v>
      </c>
      <c r="F201" s="414">
        <v>28106900</v>
      </c>
      <c r="G201" s="239"/>
      <c r="H201" s="239"/>
      <c r="I201" s="414"/>
      <c r="J201" s="412">
        <f>K201+N201</f>
        <v>0</v>
      </c>
      <c r="K201" s="414"/>
      <c r="L201" s="239"/>
      <c r="M201" s="239"/>
      <c r="N201" s="414"/>
      <c r="O201" s="239"/>
      <c r="P201" s="412">
        <f>E201+J201</f>
        <v>28106900</v>
      </c>
    </row>
    <row r="202" spans="1:20" s="5" customFormat="1" ht="81.75" customHeight="1" x14ac:dyDescent="0.75">
      <c r="A202" s="731" t="s">
        <v>8</v>
      </c>
      <c r="B202" s="731"/>
      <c r="C202" s="731"/>
      <c r="D202" s="731"/>
      <c r="E202" s="249">
        <f>E13+E31+E123+E44+E59+E111+E148+E170+E177+E198+E180+E187+E194</f>
        <v>2720911456.1300001</v>
      </c>
      <c r="F202" s="250">
        <f>F13+F31+F123+F44+F58+F111+F148+F170+F177+F198+F180+F187+F194</f>
        <v>2720911456.1300001</v>
      </c>
      <c r="G202" s="249">
        <f t="shared" ref="G202:O202" si="161">G13+G31+G123+G44+G59+G111+G148+G170+G177+G198+G180+G187+G194</f>
        <v>749295648</v>
      </c>
      <c r="H202" s="249">
        <f t="shared" si="161"/>
        <v>98035865</v>
      </c>
      <c r="I202" s="250">
        <f t="shared" si="161"/>
        <v>0</v>
      </c>
      <c r="J202" s="249">
        <f t="shared" si="161"/>
        <v>589658280.44999993</v>
      </c>
      <c r="K202" s="250">
        <f t="shared" si="161"/>
        <v>116467038.62</v>
      </c>
      <c r="L202" s="249">
        <f t="shared" si="161"/>
        <v>27971604</v>
      </c>
      <c r="M202" s="249">
        <f t="shared" si="161"/>
        <v>8018934</v>
      </c>
      <c r="N202" s="250">
        <f t="shared" si="161"/>
        <v>473191241.82999998</v>
      </c>
      <c r="O202" s="249">
        <f t="shared" si="161"/>
        <v>469043921.07999998</v>
      </c>
      <c r="P202" s="249">
        <f>P13+P31+P123+P44+P58+P111+P148+P170+P177+P198+P180+P187+P194</f>
        <v>3310569736.5799994</v>
      </c>
      <c r="Q202" s="182" t="b">
        <f>O202='dod5'!J260</f>
        <v>1</v>
      </c>
      <c r="R202" s="617">
        <v>3310569736.5799999</v>
      </c>
      <c r="T202" s="616" t="b">
        <f>R202=P202</f>
        <v>1</v>
      </c>
    </row>
    <row r="203" spans="1:20" ht="31.5" customHeight="1" x14ac:dyDescent="0.2">
      <c r="A203" s="732" t="s">
        <v>574</v>
      </c>
      <c r="B203" s="733"/>
      <c r="C203" s="733"/>
      <c r="D203" s="733"/>
      <c r="E203" s="733"/>
      <c r="F203" s="733"/>
      <c r="G203" s="733"/>
      <c r="H203" s="733"/>
      <c r="I203" s="733"/>
      <c r="J203" s="733"/>
      <c r="K203" s="733"/>
      <c r="L203" s="733"/>
      <c r="M203" s="733"/>
      <c r="N203" s="733"/>
      <c r="O203" s="733"/>
      <c r="P203" s="733"/>
      <c r="Q203" s="24"/>
    </row>
    <row r="204" spans="1:20" ht="31.5" customHeight="1" x14ac:dyDescent="0.2">
      <c r="A204" s="198"/>
      <c r="B204" s="199"/>
      <c r="C204" s="199"/>
      <c r="D204" s="199"/>
      <c r="E204" s="199"/>
      <c r="F204" s="200"/>
      <c r="G204" s="199"/>
      <c r="H204" s="199"/>
      <c r="I204" s="200"/>
      <c r="J204" s="199"/>
      <c r="K204" s="200"/>
      <c r="L204" s="199"/>
      <c r="M204" s="199"/>
      <c r="N204" s="200"/>
      <c r="O204" s="199"/>
      <c r="P204" s="199"/>
      <c r="Q204" s="24"/>
    </row>
    <row r="205" spans="1:20" ht="61.5" customHeight="1" x14ac:dyDescent="0.65">
      <c r="A205" s="15"/>
      <c r="B205" s="15"/>
      <c r="C205" s="15"/>
      <c r="D205" s="734" t="s">
        <v>1035</v>
      </c>
      <c r="E205" s="734"/>
      <c r="F205" s="734"/>
      <c r="G205" s="734"/>
      <c r="H205" s="734"/>
      <c r="I205" s="734"/>
      <c r="J205" s="734"/>
      <c r="K205" s="734"/>
      <c r="L205" s="734"/>
      <c r="M205" s="734"/>
      <c r="N205" s="734"/>
      <c r="O205" s="734"/>
      <c r="P205" s="734"/>
      <c r="Q205" s="25"/>
    </row>
    <row r="206" spans="1:20" ht="45.75" x14ac:dyDescent="0.2">
      <c r="E206" s="57"/>
      <c r="F206" s="12"/>
      <c r="J206" s="10"/>
      <c r="N206" s="52"/>
      <c r="O206" s="56"/>
      <c r="P206" s="48"/>
    </row>
    <row r="207" spans="1:20" ht="45.75" x14ac:dyDescent="0.65">
      <c r="D207" s="734" t="s">
        <v>290</v>
      </c>
      <c r="E207" s="734"/>
      <c r="F207" s="734"/>
      <c r="G207" s="734"/>
      <c r="H207" s="734"/>
      <c r="I207" s="734"/>
      <c r="J207" s="734"/>
      <c r="K207" s="734"/>
      <c r="L207" s="734"/>
      <c r="M207" s="734"/>
      <c r="N207" s="734"/>
      <c r="O207" s="734"/>
      <c r="P207" s="734"/>
      <c r="Q207" s="26"/>
    </row>
    <row r="208" spans="1:20" x14ac:dyDescent="0.2">
      <c r="E208" s="8"/>
      <c r="F208" s="12"/>
      <c r="J208" s="8"/>
      <c r="O208" s="6"/>
    </row>
    <row r="209" spans="1:18" x14ac:dyDescent="0.2">
      <c r="E209" s="8"/>
      <c r="F209" s="12"/>
      <c r="J209" s="8"/>
    </row>
    <row r="210" spans="1:18" ht="45.75" x14ac:dyDescent="0.55000000000000004">
      <c r="E210" s="48"/>
      <c r="F210" s="50"/>
      <c r="G210" s="6"/>
      <c r="I210" s="202"/>
      <c r="J210" s="187"/>
      <c r="K210" s="202"/>
      <c r="L210" s="186"/>
      <c r="M210" s="186"/>
      <c r="N210" s="206"/>
      <c r="O210" s="188"/>
      <c r="P210" s="182" t="b">
        <f>E202+J202=P202</f>
        <v>1</v>
      </c>
    </row>
    <row r="211" spans="1:18" ht="13.5" x14ac:dyDescent="0.2">
      <c r="E211" s="11"/>
      <c r="F211" s="14"/>
      <c r="G211" s="4"/>
      <c r="H211" s="4"/>
      <c r="I211" s="4"/>
      <c r="J211" s="8"/>
    </row>
    <row r="212" spans="1:18" ht="45.75" x14ac:dyDescent="0.2">
      <c r="A212"/>
      <c r="B212"/>
      <c r="C212"/>
      <c r="D212" s="266" t="s">
        <v>943</v>
      </c>
      <c r="E212" s="267" t="b">
        <f>E202=F202</f>
        <v>1</v>
      </c>
      <c r="F212" s="52">
        <f>F200/P202*100</f>
        <v>5.2891167965815999E-2</v>
      </c>
      <c r="G212" s="218" t="s">
        <v>650</v>
      </c>
      <c r="I212" s="266"/>
      <c r="J212" s="267"/>
      <c r="K212" s="203"/>
      <c r="L212"/>
      <c r="M212"/>
      <c r="N212" s="203"/>
      <c r="O212"/>
      <c r="P212"/>
    </row>
    <row r="213" spans="1:18" ht="60.75" x14ac:dyDescent="0.2">
      <c r="D213" s="266" t="s">
        <v>944</v>
      </c>
      <c r="E213" s="267" t="b">
        <f>G202=839900+735946698</f>
        <v>0</v>
      </c>
      <c r="G213" s="55"/>
      <c r="I213" s="266" t="s">
        <v>944</v>
      </c>
      <c r="J213" s="267" t="b">
        <f>L202=0+27261672</f>
        <v>0</v>
      </c>
      <c r="O213" s="218"/>
      <c r="P213" s="196">
        <v>61777260</v>
      </c>
      <c r="Q213" s="197"/>
      <c r="R213" s="196">
        <v>103276575.63</v>
      </c>
    </row>
    <row r="214" spans="1:18" ht="60.75" x14ac:dyDescent="0.2">
      <c r="A214"/>
      <c r="B214"/>
      <c r="C214"/>
      <c r="D214" s="266" t="s">
        <v>945</v>
      </c>
      <c r="E214" s="267" t="b">
        <f>H202=97533765+11500</f>
        <v>0</v>
      </c>
      <c r="F214" s="52"/>
      <c r="G214" s="6"/>
      <c r="I214" s="266" t="s">
        <v>945</v>
      </c>
      <c r="J214" s="267" t="b">
        <f>M202=0+7617512</f>
        <v>0</v>
      </c>
      <c r="K214" s="203"/>
      <c r="L214"/>
      <c r="M214"/>
      <c r="N214" s="203"/>
      <c r="O214" s="196"/>
      <c r="P214" s="196">
        <f>P202-'dod3 Квітень+Комісії+Сесія'!P195</f>
        <v>61777259.999999523</v>
      </c>
      <c r="Q214" s="197"/>
      <c r="R214" s="196" t="s">
        <v>963</v>
      </c>
    </row>
    <row r="215" spans="1:18" ht="60.75" x14ac:dyDescent="0.2">
      <c r="D215" s="266"/>
      <c r="E215" s="267"/>
      <c r="F215" s="54"/>
      <c r="O215" s="218"/>
      <c r="P215" s="196" t="b">
        <f>P213=P214</f>
        <v>0</v>
      </c>
    </row>
    <row r="216" spans="1:18" ht="60.75" x14ac:dyDescent="0.75">
      <c r="A216"/>
      <c r="B216"/>
      <c r="C216"/>
      <c r="D216" s="266"/>
      <c r="E216" s="267"/>
      <c r="F216" s="52"/>
      <c r="G216" s="6"/>
      <c r="J216" s="8"/>
      <c r="K216" s="203"/>
      <c r="L216"/>
      <c r="M216"/>
      <c r="N216" s="203"/>
      <c r="O216" s="361"/>
      <c r="P216" s="196" t="b">
        <f>IF(P213=P214,TRUE,FALSE)</f>
        <v>0</v>
      </c>
    </row>
    <row r="217" spans="1:18" ht="62.25" x14ac:dyDescent="0.8">
      <c r="A217"/>
      <c r="B217"/>
      <c r="C217"/>
      <c r="D217"/>
      <c r="E217" s="51"/>
      <c r="F217" s="52"/>
      <c r="J217" s="8"/>
      <c r="K217" s="203"/>
      <c r="L217"/>
      <c r="M217"/>
      <c r="N217" s="203"/>
      <c r="O217"/>
      <c r="P217" s="360"/>
    </row>
    <row r="218" spans="1:18" ht="45.75" x14ac:dyDescent="0.2">
      <c r="E218" s="53"/>
      <c r="F218" s="54"/>
    </row>
    <row r="219" spans="1:18" ht="45.75" x14ac:dyDescent="0.2">
      <c r="A219"/>
      <c r="B219"/>
      <c r="C219"/>
      <c r="D219"/>
      <c r="E219" s="51"/>
      <c r="F219" s="52"/>
      <c r="K219" s="203"/>
      <c r="L219"/>
      <c r="M219"/>
      <c r="N219" s="203"/>
      <c r="O219"/>
      <c r="P219"/>
    </row>
    <row r="220" spans="1:18" ht="45.75" x14ac:dyDescent="0.2">
      <c r="E220" s="53"/>
      <c r="F220" s="54"/>
    </row>
    <row r="221" spans="1:18" ht="45.75" x14ac:dyDescent="0.2">
      <c r="E221" s="53"/>
      <c r="F221" s="54"/>
    </row>
    <row r="222" spans="1:18" ht="45.75" x14ac:dyDescent="0.2">
      <c r="E222" s="53"/>
      <c r="F222" s="54"/>
    </row>
    <row r="223" spans="1:18" ht="45.75" x14ac:dyDescent="0.2">
      <c r="A223"/>
      <c r="B223"/>
      <c r="C223"/>
      <c r="D223"/>
      <c r="E223" s="53"/>
      <c r="F223" s="54"/>
      <c r="G223"/>
      <c r="H223"/>
      <c r="I223" s="203"/>
      <c r="J223"/>
      <c r="K223" s="203"/>
      <c r="L223"/>
      <c r="M223"/>
      <c r="N223" s="203"/>
      <c r="O223"/>
      <c r="P223"/>
    </row>
    <row r="224" spans="1:18" ht="45.75" x14ac:dyDescent="0.2">
      <c r="A224"/>
      <c r="B224"/>
      <c r="C224"/>
      <c r="D224"/>
      <c r="E224" s="53"/>
      <c r="F224" s="54"/>
      <c r="G224"/>
      <c r="H224"/>
      <c r="I224" s="203"/>
      <c r="J224"/>
      <c r="K224" s="203"/>
      <c r="L224"/>
      <c r="M224"/>
      <c r="N224" s="203"/>
      <c r="O224"/>
      <c r="P224"/>
    </row>
    <row r="225" spans="1:16" ht="45.75" x14ac:dyDescent="0.2">
      <c r="A225"/>
      <c r="B225"/>
      <c r="C225"/>
      <c r="D225"/>
      <c r="E225" s="53"/>
      <c r="F225" s="54"/>
      <c r="G225"/>
      <c r="H225"/>
      <c r="I225" s="203"/>
      <c r="J225"/>
      <c r="K225" s="203"/>
      <c r="L225"/>
      <c r="M225"/>
      <c r="N225" s="203"/>
      <c r="O225"/>
      <c r="P225"/>
    </row>
    <row r="226" spans="1:16" ht="45.75" x14ac:dyDescent="0.2">
      <c r="A226"/>
      <c r="B226"/>
      <c r="C226"/>
      <c r="D226"/>
      <c r="E226" s="53"/>
      <c r="F226" s="54"/>
      <c r="G226"/>
      <c r="H226"/>
      <c r="I226" s="203"/>
      <c r="J226"/>
      <c r="K226" s="203"/>
      <c r="L226"/>
      <c r="M226"/>
      <c r="N226" s="203"/>
      <c r="O226"/>
      <c r="P226"/>
    </row>
  </sheetData>
  <mergeCells count="84">
    <mergeCell ref="P100:P102"/>
    <mergeCell ref="G100:G102"/>
    <mergeCell ref="H100:H102"/>
    <mergeCell ref="I100:I102"/>
    <mergeCell ref="J100:J102"/>
    <mergeCell ref="K100:K102"/>
    <mergeCell ref="K103:K104"/>
    <mergeCell ref="L103:L104"/>
    <mergeCell ref="J103:J104"/>
    <mergeCell ref="A100:A102"/>
    <mergeCell ref="B100:B102"/>
    <mergeCell ref="C100:C102"/>
    <mergeCell ref="E100:E102"/>
    <mergeCell ref="F100:F102"/>
    <mergeCell ref="E103:E104"/>
    <mergeCell ref="F103:F104"/>
    <mergeCell ref="G103:G104"/>
    <mergeCell ref="H103:H104"/>
    <mergeCell ref="I103:I104"/>
    <mergeCell ref="K9:K10"/>
    <mergeCell ref="N24:N25"/>
    <mergeCell ref="N81:N82"/>
    <mergeCell ref="L100:L102"/>
    <mergeCell ref="M100:M102"/>
    <mergeCell ref="N100:N102"/>
    <mergeCell ref="E8:I8"/>
    <mergeCell ref="G9:H9"/>
    <mergeCell ref="A203:P203"/>
    <mergeCell ref="O24:O25"/>
    <mergeCell ref="P24:P25"/>
    <mergeCell ref="A24:A25"/>
    <mergeCell ref="B24:B25"/>
    <mergeCell ref="C24:C25"/>
    <mergeCell ref="E24:E25"/>
    <mergeCell ref="F24:F25"/>
    <mergeCell ref="G24:G25"/>
    <mergeCell ref="P103:P104"/>
    <mergeCell ref="M103:M104"/>
    <mergeCell ref="O103:O104"/>
    <mergeCell ref="N103:N104"/>
    <mergeCell ref="J9:J10"/>
    <mergeCell ref="N1:P1"/>
    <mergeCell ref="N2:P2"/>
    <mergeCell ref="N3:P3"/>
    <mergeCell ref="P8:P10"/>
    <mergeCell ref="A5:P5"/>
    <mergeCell ref="E9:E10"/>
    <mergeCell ref="I9:I10"/>
    <mergeCell ref="A8:A10"/>
    <mergeCell ref="J8:N8"/>
    <mergeCell ref="A6:P6"/>
    <mergeCell ref="N9:N10"/>
    <mergeCell ref="L9:M9"/>
    <mergeCell ref="B8:B10"/>
    <mergeCell ref="C8:C10"/>
    <mergeCell ref="F9:F10"/>
    <mergeCell ref="D8:D10"/>
    <mergeCell ref="H24:H25"/>
    <mergeCell ref="I24:I25"/>
    <mergeCell ref="K24:K25"/>
    <mergeCell ref="L24:L25"/>
    <mergeCell ref="M24:M25"/>
    <mergeCell ref="J24:J25"/>
    <mergeCell ref="A81:A82"/>
    <mergeCell ref="B81:B82"/>
    <mergeCell ref="C81:C82"/>
    <mergeCell ref="E81:E82"/>
    <mergeCell ref="J81:J82"/>
    <mergeCell ref="D207:P207"/>
    <mergeCell ref="P81:P82"/>
    <mergeCell ref="F81:F82"/>
    <mergeCell ref="G81:G82"/>
    <mergeCell ref="H81:H82"/>
    <mergeCell ref="I81:I82"/>
    <mergeCell ref="K81:K82"/>
    <mergeCell ref="L81:L82"/>
    <mergeCell ref="M81:M82"/>
    <mergeCell ref="O81:O82"/>
    <mergeCell ref="D205:P205"/>
    <mergeCell ref="A202:D202"/>
    <mergeCell ref="O100:O102"/>
    <mergeCell ref="A103:A104"/>
    <mergeCell ref="B103:B104"/>
    <mergeCell ref="C103:C104"/>
  </mergeCells>
  <phoneticPr fontId="0" type="noConversion"/>
  <conditionalFormatting sqref="Q177:R177">
    <cfRule type="iconSet" priority="6">
      <iconSet iconSet="3Arrows">
        <cfvo type="percent" val="0"/>
        <cfvo type="percent" val="33"/>
        <cfvo type="percent" val="67"/>
      </iconSet>
    </cfRule>
  </conditionalFormatting>
  <conditionalFormatting sqref="Q180:R180">
    <cfRule type="iconSet" priority="5">
      <iconSet iconSet="3Arrows">
        <cfvo type="percent" val="0"/>
        <cfvo type="percent" val="33"/>
        <cfvo type="percent" val="67"/>
      </iconSet>
    </cfRule>
  </conditionalFormatting>
  <conditionalFormatting sqref="Q187:R187">
    <cfRule type="iconSet" priority="4">
      <iconSet iconSet="3Arrows">
        <cfvo type="percent" val="0"/>
        <cfvo type="percent" val="33"/>
        <cfvo type="percent" val="67"/>
      </iconSet>
    </cfRule>
  </conditionalFormatting>
  <conditionalFormatting sqref="Q198:R198">
    <cfRule type="iconSet" priority="2">
      <iconSet iconSet="3Arrows">
        <cfvo type="percent" val="0"/>
        <cfvo type="percent" val="33"/>
        <cfvo type="percent" val="67"/>
      </iconSet>
    </cfRule>
  </conditionalFormatting>
  <conditionalFormatting sqref="Q194:R19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7" manualBreakCount="7">
    <brk id="28" max="15" man="1"/>
    <brk id="50" max="15" man="1"/>
    <brk id="68" max="15" man="1"/>
    <brk id="87" max="15" man="1"/>
    <brk id="101" max="15" man="1"/>
    <brk id="125" max="15" man="1"/>
    <brk id="148"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D695-4AAF-42F1-A2F1-3060136D6BB9}">
  <dimension ref="A1:V226"/>
  <sheetViews>
    <sheetView view="pageBreakPreview" zoomScale="25" zoomScaleNormal="25" zoomScaleSheetLayoutView="25" zoomScalePageLayoutView="10" workbookViewId="0">
      <pane ySplit="11" topLeftCell="A102" activePane="bottomLeft" state="frozen"/>
      <selection pane="bottomLeft" activeCell="E225" sqref="E225"/>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86.28515625" style="9" customWidth="1"/>
    <col min="17" max="17" width="31" customWidth="1"/>
    <col min="18" max="18" width="66.42578125" bestFit="1" customWidth="1"/>
    <col min="20" max="20" width="24.7109375" bestFit="1" customWidth="1"/>
  </cols>
  <sheetData>
    <row r="1" spans="1:18" ht="45.75" x14ac:dyDescent="0.2">
      <c r="D1" s="624"/>
      <c r="E1" s="625"/>
      <c r="F1" s="17"/>
      <c r="G1" s="18"/>
      <c r="H1" s="18"/>
      <c r="I1" s="18"/>
      <c r="J1" s="625"/>
      <c r="K1" s="18"/>
      <c r="L1" s="18"/>
      <c r="M1" s="18"/>
      <c r="N1" s="711" t="s">
        <v>129</v>
      </c>
      <c r="O1" s="711"/>
      <c r="P1" s="711"/>
    </row>
    <row r="2" spans="1:18" ht="45.75" x14ac:dyDescent="0.2">
      <c r="A2" s="624"/>
      <c r="B2" s="624"/>
      <c r="C2" s="624"/>
      <c r="D2" s="624"/>
      <c r="E2" s="625"/>
      <c r="F2" s="17"/>
      <c r="G2" s="18"/>
      <c r="H2" s="18"/>
      <c r="I2" s="18"/>
      <c r="J2" s="625"/>
      <c r="K2" s="18"/>
      <c r="L2" s="18"/>
      <c r="M2" s="18"/>
      <c r="N2" s="711" t="s">
        <v>895</v>
      </c>
      <c r="O2" s="712"/>
      <c r="P2" s="712"/>
    </row>
    <row r="3" spans="1:18" ht="40.5" customHeight="1" x14ac:dyDescent="0.2">
      <c r="A3" s="624"/>
      <c r="B3" s="624"/>
      <c r="C3" s="624"/>
      <c r="D3" s="624"/>
      <c r="E3" s="625"/>
      <c r="F3" s="17"/>
      <c r="G3" s="18"/>
      <c r="H3" s="18"/>
      <c r="I3" s="18"/>
      <c r="J3" s="625"/>
      <c r="K3" s="18"/>
      <c r="L3" s="18"/>
      <c r="M3" s="18"/>
      <c r="N3" s="711"/>
      <c r="O3" s="712"/>
      <c r="P3" s="712"/>
    </row>
    <row r="4" spans="1:18" ht="45.75" hidden="1" x14ac:dyDescent="0.2">
      <c r="A4" s="624"/>
      <c r="B4" s="624"/>
      <c r="C4" s="624"/>
      <c r="D4" s="624"/>
      <c r="E4" s="625"/>
      <c r="F4" s="17"/>
      <c r="G4" s="18"/>
      <c r="H4" s="18"/>
      <c r="I4" s="18"/>
      <c r="J4" s="625"/>
      <c r="K4" s="18"/>
      <c r="L4" s="18"/>
      <c r="M4" s="18"/>
      <c r="N4" s="204"/>
      <c r="O4" s="624"/>
      <c r="P4" s="623"/>
    </row>
    <row r="5" spans="1:18" ht="45" x14ac:dyDescent="0.2">
      <c r="A5" s="713" t="s">
        <v>128</v>
      </c>
      <c r="B5" s="713"/>
      <c r="C5" s="713"/>
      <c r="D5" s="713"/>
      <c r="E5" s="713"/>
      <c r="F5" s="713"/>
      <c r="G5" s="713"/>
      <c r="H5" s="713"/>
      <c r="I5" s="713"/>
      <c r="J5" s="713"/>
      <c r="K5" s="713"/>
      <c r="L5" s="713"/>
      <c r="M5" s="713"/>
      <c r="N5" s="713"/>
      <c r="O5" s="713"/>
      <c r="P5" s="713"/>
    </row>
    <row r="6" spans="1:18" ht="45" x14ac:dyDescent="0.2">
      <c r="A6" s="713" t="s">
        <v>641</v>
      </c>
      <c r="B6" s="713"/>
      <c r="C6" s="713"/>
      <c r="D6" s="713"/>
      <c r="E6" s="713"/>
      <c r="F6" s="713"/>
      <c r="G6" s="713"/>
      <c r="H6" s="713"/>
      <c r="I6" s="713"/>
      <c r="J6" s="713"/>
      <c r="K6" s="713"/>
      <c r="L6" s="713"/>
      <c r="M6" s="713"/>
      <c r="N6" s="713"/>
      <c r="O6" s="713"/>
      <c r="P6" s="713"/>
    </row>
    <row r="7" spans="1:18" ht="53.25" customHeight="1" x14ac:dyDescent="0.2">
      <c r="A7" s="625"/>
      <c r="B7" s="625"/>
      <c r="C7" s="625"/>
      <c r="D7" s="625"/>
      <c r="E7" s="625"/>
      <c r="F7" s="17"/>
      <c r="G7" s="625"/>
      <c r="H7" s="625"/>
      <c r="I7" s="18"/>
      <c r="J7" s="625"/>
      <c r="K7" s="18"/>
      <c r="L7" s="625"/>
      <c r="M7" s="625"/>
      <c r="N7" s="18"/>
      <c r="O7" s="625"/>
      <c r="P7" s="20" t="s">
        <v>134</v>
      </c>
    </row>
    <row r="8" spans="1:18" ht="62.25" customHeight="1" x14ac:dyDescent="0.2">
      <c r="A8" s="705" t="s">
        <v>41</v>
      </c>
      <c r="B8" s="705" t="s">
        <v>42</v>
      </c>
      <c r="C8" s="709" t="s">
        <v>43</v>
      </c>
      <c r="D8" s="705" t="s">
        <v>45</v>
      </c>
      <c r="E8" s="710" t="s">
        <v>36</v>
      </c>
      <c r="F8" s="710"/>
      <c r="G8" s="710"/>
      <c r="H8" s="710"/>
      <c r="I8" s="710"/>
      <c r="J8" s="710" t="s">
        <v>124</v>
      </c>
      <c r="K8" s="710"/>
      <c r="L8" s="710"/>
      <c r="M8" s="710"/>
      <c r="N8" s="710"/>
      <c r="O8" s="21"/>
      <c r="P8" s="710" t="s">
        <v>35</v>
      </c>
    </row>
    <row r="9" spans="1:18" ht="255" customHeight="1" x14ac:dyDescent="0.2">
      <c r="A9" s="706"/>
      <c r="B9" s="708"/>
      <c r="C9" s="708"/>
      <c r="D9" s="706"/>
      <c r="E9" s="716" t="s">
        <v>7</v>
      </c>
      <c r="F9" s="717" t="s">
        <v>125</v>
      </c>
      <c r="G9" s="716" t="s">
        <v>37</v>
      </c>
      <c r="H9" s="716"/>
      <c r="I9" s="717" t="s">
        <v>127</v>
      </c>
      <c r="J9" s="716" t="s">
        <v>7</v>
      </c>
      <c r="K9" s="717" t="s">
        <v>125</v>
      </c>
      <c r="L9" s="716" t="s">
        <v>37</v>
      </c>
      <c r="M9" s="716"/>
      <c r="N9" s="717" t="s">
        <v>127</v>
      </c>
      <c r="O9" s="626" t="s">
        <v>37</v>
      </c>
      <c r="P9" s="710"/>
    </row>
    <row r="10" spans="1:18" ht="137.25" x14ac:dyDescent="0.2">
      <c r="A10" s="707"/>
      <c r="B10" s="707"/>
      <c r="C10" s="707"/>
      <c r="D10" s="707"/>
      <c r="E10" s="716"/>
      <c r="F10" s="717"/>
      <c r="G10" s="626" t="s">
        <v>126</v>
      </c>
      <c r="H10" s="626" t="s">
        <v>40</v>
      </c>
      <c r="I10" s="717"/>
      <c r="J10" s="716"/>
      <c r="K10" s="717"/>
      <c r="L10" s="626" t="s">
        <v>126</v>
      </c>
      <c r="M10" s="626" t="s">
        <v>40</v>
      </c>
      <c r="N10" s="717"/>
      <c r="O10" s="626" t="s">
        <v>32</v>
      </c>
      <c r="P10" s="710"/>
    </row>
    <row r="11" spans="1:18" s="3" customFormat="1" ht="45.75" x14ac:dyDescent="0.2">
      <c r="A11" s="22" t="s">
        <v>9</v>
      </c>
      <c r="B11" s="22" t="s">
        <v>10</v>
      </c>
      <c r="C11" s="22" t="s">
        <v>39</v>
      </c>
      <c r="D11" s="22" t="s">
        <v>12</v>
      </c>
      <c r="E11" s="23">
        <v>5</v>
      </c>
      <c r="F11" s="627">
        <v>6</v>
      </c>
      <c r="G11" s="23">
        <v>7</v>
      </c>
      <c r="H11" s="23">
        <v>8</v>
      </c>
      <c r="I11" s="201">
        <v>9</v>
      </c>
      <c r="J11" s="23">
        <v>10</v>
      </c>
      <c r="K11" s="201">
        <v>11</v>
      </c>
      <c r="L11" s="23">
        <v>12</v>
      </c>
      <c r="M11" s="23">
        <v>13</v>
      </c>
      <c r="N11" s="201">
        <v>14</v>
      </c>
      <c r="O11" s="23">
        <v>15</v>
      </c>
      <c r="P11" s="23">
        <v>16</v>
      </c>
    </row>
    <row r="12" spans="1:18" s="3" customFormat="1" ht="135" x14ac:dyDescent="0.2">
      <c r="A12" s="277" t="s">
        <v>302</v>
      </c>
      <c r="B12" s="277"/>
      <c r="C12" s="277"/>
      <c r="D12" s="278" t="s">
        <v>304</v>
      </c>
      <c r="E12" s="245">
        <f>E13</f>
        <v>137562698</v>
      </c>
      <c r="F12" s="245">
        <f t="shared" ref="F12:P12" si="0">F13</f>
        <v>137562698</v>
      </c>
      <c r="G12" s="245">
        <f t="shared" si="0"/>
        <v>90413000</v>
      </c>
      <c r="H12" s="245">
        <f t="shared" si="0"/>
        <v>4208100</v>
      </c>
      <c r="I12" s="245">
        <f t="shared" si="0"/>
        <v>0</v>
      </c>
      <c r="J12" s="245">
        <f t="shared" si="0"/>
        <v>17251157.870000001</v>
      </c>
      <c r="K12" s="245">
        <f t="shared" si="0"/>
        <v>3775620.62</v>
      </c>
      <c r="L12" s="245">
        <f t="shared" si="0"/>
        <v>0</v>
      </c>
      <c r="M12" s="245">
        <f t="shared" si="0"/>
        <v>0</v>
      </c>
      <c r="N12" s="245">
        <f t="shared" si="0"/>
        <v>13475537.25</v>
      </c>
      <c r="O12" s="279">
        <f t="shared" si="0"/>
        <v>13135537.25</v>
      </c>
      <c r="P12" s="245">
        <f t="shared" si="0"/>
        <v>154813855.87</v>
      </c>
    </row>
    <row r="13" spans="1:18" s="3" customFormat="1" ht="135" x14ac:dyDescent="0.2">
      <c r="A13" s="280" t="s">
        <v>303</v>
      </c>
      <c r="B13" s="280"/>
      <c r="C13" s="280"/>
      <c r="D13" s="281" t="s">
        <v>305</v>
      </c>
      <c r="E13" s="244">
        <f>F13</f>
        <v>137562698</v>
      </c>
      <c r="F13" s="243">
        <f>F14+F15+F26+F20+F27+F16+F22+F21+F29+F17+F28</f>
        <v>137562698</v>
      </c>
      <c r="G13" s="243">
        <f t="shared" ref="G13:H13" si="1">G14+G15+G26+G20+G27+G16+G22+G21+G29+G17</f>
        <v>90413000</v>
      </c>
      <c r="H13" s="243">
        <f t="shared" si="1"/>
        <v>4208100</v>
      </c>
      <c r="I13" s="243">
        <v>0</v>
      </c>
      <c r="J13" s="246">
        <f t="shared" ref="J13:J29" si="2">K13+N13</f>
        <v>17251157.870000001</v>
      </c>
      <c r="K13" s="243">
        <f>K14+K15+K26+K20+K27+K16+K23+K21+K29+K17+K18+K28</f>
        <v>3775620.62</v>
      </c>
      <c r="L13" s="243">
        <f>L14+L15+L26+L20+L27+L16</f>
        <v>0</v>
      </c>
      <c r="M13" s="243">
        <f>M14+M15+M26+M20+M27+M16</f>
        <v>0</v>
      </c>
      <c r="N13" s="243">
        <f>N14+N15+N26+N20+N27+N16+N23+N21+N29+N18+N28</f>
        <v>13475537.25</v>
      </c>
      <c r="O13" s="243">
        <f>O14+O15+O26+O20+O27+O16+O23+O21+O29+O18+O28</f>
        <v>13135537.25</v>
      </c>
      <c r="P13" s="244">
        <f>J13+E13</f>
        <v>154813855.87</v>
      </c>
      <c r="Q13" s="240" t="b">
        <f>P14+P15+P16+P17+P18+P20+P21+P22+P23+P26+P27+P29+P28=P13</f>
        <v>1</v>
      </c>
      <c r="R13" s="240" t="b">
        <f>O13=[2]dod5!J7</f>
        <v>1</v>
      </c>
    </row>
    <row r="14" spans="1:18" ht="320.25" x14ac:dyDescent="0.2">
      <c r="A14" s="621" t="s">
        <v>428</v>
      </c>
      <c r="B14" s="621" t="s">
        <v>429</v>
      </c>
      <c r="C14" s="621" t="s">
        <v>430</v>
      </c>
      <c r="D14" s="621" t="s">
        <v>427</v>
      </c>
      <c r="E14" s="622">
        <f t="shared" ref="E14:E27" si="3">F14</f>
        <v>67399730</v>
      </c>
      <c r="F14" s="47">
        <f>((61847000)+227100+86000)+5239630</f>
        <v>67399730</v>
      </c>
      <c r="G14" s="179">
        <f>(42799000)+4210430</f>
        <v>47009430</v>
      </c>
      <c r="H14" s="179">
        <f>(2438200)+12500</f>
        <v>2450700</v>
      </c>
      <c r="I14" s="47"/>
      <c r="J14" s="248">
        <f t="shared" si="2"/>
        <v>1745600</v>
      </c>
      <c r="K14" s="268"/>
      <c r="L14" s="269"/>
      <c r="M14" s="269"/>
      <c r="N14" s="630">
        <f t="shared" ref="N14:N29" si="4">O14</f>
        <v>1745600</v>
      </c>
      <c r="O14" s="631">
        <f>((525200)+1807600-86000)-501200</f>
        <v>1745600</v>
      </c>
      <c r="P14" s="622">
        <f>+J14+E14</f>
        <v>69145330</v>
      </c>
    </row>
    <row r="15" spans="1:18" ht="228.75" x14ac:dyDescent="0.2">
      <c r="A15" s="621" t="s">
        <v>432</v>
      </c>
      <c r="B15" s="621" t="s">
        <v>433</v>
      </c>
      <c r="C15" s="621" t="s">
        <v>430</v>
      </c>
      <c r="D15" s="621" t="s">
        <v>431</v>
      </c>
      <c r="E15" s="622">
        <f t="shared" si="3"/>
        <v>59153754</v>
      </c>
      <c r="F15" s="630">
        <f>((49657100+750000+50000)+235184+40000+8000)+8413470</f>
        <v>59153754</v>
      </c>
      <c r="G15" s="631">
        <f>(37157000)+6055570</f>
        <v>43212570</v>
      </c>
      <c r="H15" s="631">
        <f>(1543500)+213900</f>
        <v>1757400</v>
      </c>
      <c r="I15" s="630"/>
      <c r="J15" s="622">
        <f t="shared" si="2"/>
        <v>450000</v>
      </c>
      <c r="K15" s="630"/>
      <c r="L15" s="631"/>
      <c r="M15" s="631"/>
      <c r="N15" s="630">
        <f t="shared" si="4"/>
        <v>450000</v>
      </c>
      <c r="O15" s="631">
        <f>((826000-750000+50000)+318000)+6000</f>
        <v>450000</v>
      </c>
      <c r="P15" s="622">
        <f>E15+J15</f>
        <v>59603754</v>
      </c>
    </row>
    <row r="16" spans="1:18" ht="91.5" x14ac:dyDescent="0.2">
      <c r="A16" s="621" t="s">
        <v>445</v>
      </c>
      <c r="B16" s="621" t="s">
        <v>103</v>
      </c>
      <c r="C16" s="621" t="s">
        <v>102</v>
      </c>
      <c r="D16" s="621" t="s">
        <v>446</v>
      </c>
      <c r="E16" s="622">
        <f t="shared" si="3"/>
        <v>934250</v>
      </c>
      <c r="F16" s="630">
        <f>((1188000-165000)-183000)+94250</f>
        <v>934250</v>
      </c>
      <c r="G16" s="631">
        <f>(150000)-150000</f>
        <v>0</v>
      </c>
      <c r="H16" s="631"/>
      <c r="I16" s="630"/>
      <c r="J16" s="622">
        <f t="shared" si="2"/>
        <v>0</v>
      </c>
      <c r="K16" s="630"/>
      <c r="L16" s="631"/>
      <c r="M16" s="631"/>
      <c r="N16" s="630">
        <f t="shared" si="4"/>
        <v>0</v>
      </c>
      <c r="O16" s="631"/>
      <c r="P16" s="622">
        <f>E16+J16</f>
        <v>934250</v>
      </c>
    </row>
    <row r="17" spans="1:18" ht="91.5" x14ac:dyDescent="0.2">
      <c r="A17" s="621" t="s">
        <v>929</v>
      </c>
      <c r="B17" s="621" t="s">
        <v>930</v>
      </c>
      <c r="C17" s="621" t="s">
        <v>931</v>
      </c>
      <c r="D17" s="621" t="s">
        <v>928</v>
      </c>
      <c r="E17" s="622">
        <f t="shared" si="3"/>
        <v>233000</v>
      </c>
      <c r="F17" s="630">
        <v>233000</v>
      </c>
      <c r="G17" s="631">
        <f>191000</f>
        <v>191000</v>
      </c>
      <c r="H17" s="631"/>
      <c r="I17" s="630"/>
      <c r="J17" s="622">
        <f t="shared" si="2"/>
        <v>0</v>
      </c>
      <c r="K17" s="630"/>
      <c r="L17" s="631"/>
      <c r="M17" s="631"/>
      <c r="N17" s="630">
        <f t="shared" si="4"/>
        <v>0</v>
      </c>
      <c r="O17" s="631"/>
      <c r="P17" s="622">
        <f>E17+J17</f>
        <v>233000</v>
      </c>
    </row>
    <row r="18" spans="1:18" ht="91.5" x14ac:dyDescent="0.2">
      <c r="A18" s="621" t="s">
        <v>942</v>
      </c>
      <c r="B18" s="621" t="s">
        <v>706</v>
      </c>
      <c r="C18" s="621"/>
      <c r="D18" s="621" t="s">
        <v>833</v>
      </c>
      <c r="E18" s="622">
        <f>E19</f>
        <v>0</v>
      </c>
      <c r="F18" s="622">
        <f t="shared" ref="F18:I18" si="5">F19</f>
        <v>0</v>
      </c>
      <c r="G18" s="622">
        <f t="shared" si="5"/>
        <v>0</v>
      </c>
      <c r="H18" s="622">
        <f t="shared" si="5"/>
        <v>0</v>
      </c>
      <c r="I18" s="622">
        <f t="shared" si="5"/>
        <v>0</v>
      </c>
      <c r="J18" s="622">
        <f t="shared" si="2"/>
        <v>660842</v>
      </c>
      <c r="K18" s="630">
        <f>K19</f>
        <v>0</v>
      </c>
      <c r="L18" s="631"/>
      <c r="M18" s="631"/>
      <c r="N18" s="630">
        <f t="shared" si="4"/>
        <v>660842</v>
      </c>
      <c r="O18" s="631">
        <f>O19</f>
        <v>660842</v>
      </c>
      <c r="P18" s="622">
        <f>E18+J18</f>
        <v>660842</v>
      </c>
    </row>
    <row r="19" spans="1:18" ht="366" x14ac:dyDescent="0.2">
      <c r="A19" s="629" t="s">
        <v>939</v>
      </c>
      <c r="B19" s="629" t="s">
        <v>940</v>
      </c>
      <c r="C19" s="629" t="s">
        <v>708</v>
      </c>
      <c r="D19" s="629" t="s">
        <v>941</v>
      </c>
      <c r="E19" s="630"/>
      <c r="F19" s="630"/>
      <c r="G19" s="630"/>
      <c r="H19" s="630"/>
      <c r="I19" s="630"/>
      <c r="J19" s="630">
        <f t="shared" si="2"/>
        <v>660842</v>
      </c>
      <c r="K19" s="630"/>
      <c r="L19" s="630"/>
      <c r="M19" s="630"/>
      <c r="N19" s="630">
        <f t="shared" si="4"/>
        <v>660842</v>
      </c>
      <c r="O19" s="630">
        <v>660842</v>
      </c>
      <c r="P19" s="630">
        <f>E19+J19</f>
        <v>660842</v>
      </c>
    </row>
    <row r="20" spans="1:18" ht="91.5" x14ac:dyDescent="0.2">
      <c r="A20" s="621" t="s">
        <v>435</v>
      </c>
      <c r="B20" s="621" t="s">
        <v>436</v>
      </c>
      <c r="C20" s="621" t="s">
        <v>437</v>
      </c>
      <c r="D20" s="621" t="s">
        <v>434</v>
      </c>
      <c r="E20" s="622">
        <f t="shared" si="3"/>
        <v>4100700</v>
      </c>
      <c r="F20" s="630">
        <f>(1750700)+2350000</f>
        <v>4100700</v>
      </c>
      <c r="G20" s="631"/>
      <c r="H20" s="631"/>
      <c r="I20" s="630"/>
      <c r="J20" s="622">
        <f t="shared" si="2"/>
        <v>0</v>
      </c>
      <c r="K20" s="630"/>
      <c r="L20" s="631"/>
      <c r="M20" s="631"/>
      <c r="N20" s="630">
        <f t="shared" si="4"/>
        <v>0</v>
      </c>
      <c r="O20" s="631"/>
      <c r="P20" s="622">
        <f>+J20+E20</f>
        <v>4100700</v>
      </c>
    </row>
    <row r="21" spans="1:18" ht="91.5" hidden="1" x14ac:dyDescent="0.2">
      <c r="A21" s="336" t="s">
        <v>646</v>
      </c>
      <c r="B21" s="340" t="s">
        <v>373</v>
      </c>
      <c r="C21" s="340" t="s">
        <v>324</v>
      </c>
      <c r="D21" s="336" t="s">
        <v>89</v>
      </c>
      <c r="E21" s="337">
        <f t="shared" si="3"/>
        <v>0</v>
      </c>
      <c r="F21" s="338"/>
      <c r="G21" s="339"/>
      <c r="H21" s="339"/>
      <c r="I21" s="338"/>
      <c r="J21" s="337">
        <f t="shared" si="2"/>
        <v>0</v>
      </c>
      <c r="K21" s="338"/>
      <c r="L21" s="339"/>
      <c r="M21" s="339"/>
      <c r="N21" s="338">
        <f t="shared" si="4"/>
        <v>0</v>
      </c>
      <c r="O21" s="339">
        <f>(2500000)-2500000</f>
        <v>0</v>
      </c>
      <c r="P21" s="337">
        <f>+J21+E21</f>
        <v>0</v>
      </c>
    </row>
    <row r="22" spans="1:18" ht="137.25" x14ac:dyDescent="0.2">
      <c r="A22" s="621" t="s">
        <v>565</v>
      </c>
      <c r="B22" s="621" t="s">
        <v>566</v>
      </c>
      <c r="C22" s="621" t="s">
        <v>324</v>
      </c>
      <c r="D22" s="620" t="s">
        <v>564</v>
      </c>
      <c r="E22" s="622">
        <f t="shared" si="3"/>
        <v>165000</v>
      </c>
      <c r="F22" s="630">
        <v>165000</v>
      </c>
      <c r="G22" s="631"/>
      <c r="H22" s="631"/>
      <c r="I22" s="630"/>
      <c r="J22" s="622">
        <f t="shared" si="2"/>
        <v>0</v>
      </c>
      <c r="K22" s="630"/>
      <c r="L22" s="631"/>
      <c r="M22" s="631"/>
      <c r="N22" s="630">
        <f t="shared" si="4"/>
        <v>0</v>
      </c>
      <c r="O22" s="631"/>
      <c r="P22" s="622">
        <f>+J22+E22</f>
        <v>165000</v>
      </c>
    </row>
    <row r="23" spans="1:18" ht="46.5" x14ac:dyDescent="0.2">
      <c r="A23" s="621" t="s">
        <v>448</v>
      </c>
      <c r="B23" s="621" t="s">
        <v>449</v>
      </c>
      <c r="C23" s="621"/>
      <c r="D23" s="274" t="s">
        <v>447</v>
      </c>
      <c r="E23" s="622">
        <f t="shared" si="3"/>
        <v>0</v>
      </c>
      <c r="F23" s="630"/>
      <c r="G23" s="631"/>
      <c r="H23" s="631"/>
      <c r="I23" s="630"/>
      <c r="J23" s="622">
        <f t="shared" si="2"/>
        <v>4115620.62</v>
      </c>
      <c r="K23" s="630">
        <f>K24</f>
        <v>3775620.62</v>
      </c>
      <c r="L23" s="631"/>
      <c r="M23" s="631"/>
      <c r="N23" s="630">
        <f>N24</f>
        <v>340000</v>
      </c>
      <c r="O23" s="631">
        <f>O24</f>
        <v>0</v>
      </c>
      <c r="P23" s="622">
        <f>+J23+E23</f>
        <v>4115620.62</v>
      </c>
    </row>
    <row r="24" spans="1:18" s="203" customFormat="1" ht="409.5" x14ac:dyDescent="0.2">
      <c r="A24" s="718" t="s">
        <v>700</v>
      </c>
      <c r="B24" s="718" t="s">
        <v>699</v>
      </c>
      <c r="C24" s="718" t="s">
        <v>324</v>
      </c>
      <c r="D24" s="275" t="s">
        <v>728</v>
      </c>
      <c r="E24" s="714">
        <f t="shared" si="3"/>
        <v>0</v>
      </c>
      <c r="F24" s="714"/>
      <c r="G24" s="714"/>
      <c r="H24" s="714"/>
      <c r="I24" s="714"/>
      <c r="J24" s="714">
        <f t="shared" si="2"/>
        <v>4115620.62</v>
      </c>
      <c r="K24" s="714">
        <f>((2667000)+508620.62+(550000))+50000</f>
        <v>3775620.62</v>
      </c>
      <c r="L24" s="714"/>
      <c r="M24" s="714"/>
      <c r="N24" s="714">
        <f>((O24+740000)+200000-(550000))-50000</f>
        <v>340000</v>
      </c>
      <c r="O24" s="714"/>
      <c r="P24" s="714">
        <f>E24+J24</f>
        <v>4115620.62</v>
      </c>
    </row>
    <row r="25" spans="1:18" s="203" customFormat="1" ht="137.25" x14ac:dyDescent="0.2">
      <c r="A25" s="719"/>
      <c r="B25" s="719"/>
      <c r="C25" s="719"/>
      <c r="D25" s="276" t="s">
        <v>729</v>
      </c>
      <c r="E25" s="715"/>
      <c r="F25" s="715"/>
      <c r="G25" s="715"/>
      <c r="H25" s="715"/>
      <c r="I25" s="715"/>
      <c r="J25" s="715"/>
      <c r="K25" s="715"/>
      <c r="L25" s="715"/>
      <c r="M25" s="715"/>
      <c r="N25" s="715"/>
      <c r="O25" s="715"/>
      <c r="P25" s="715"/>
    </row>
    <row r="26" spans="1:18" ht="91.5" x14ac:dyDescent="0.2">
      <c r="A26" s="621" t="s">
        <v>438</v>
      </c>
      <c r="B26" s="621" t="s">
        <v>439</v>
      </c>
      <c r="C26" s="621" t="s">
        <v>440</v>
      </c>
      <c r="D26" s="620" t="s">
        <v>441</v>
      </c>
      <c r="E26" s="622">
        <f>F26</f>
        <v>3725800</v>
      </c>
      <c r="F26" s="630">
        <f>((2555000)+700800)+470000</f>
        <v>3725800</v>
      </c>
      <c r="G26" s="631"/>
      <c r="H26" s="631"/>
      <c r="I26" s="630"/>
      <c r="J26" s="622">
        <f t="shared" si="2"/>
        <v>4000000</v>
      </c>
      <c r="K26" s="630"/>
      <c r="L26" s="631"/>
      <c r="M26" s="631"/>
      <c r="N26" s="630">
        <f t="shared" si="4"/>
        <v>4000000</v>
      </c>
      <c r="O26" s="631">
        <f>(1200000)+2800000</f>
        <v>4000000</v>
      </c>
      <c r="P26" s="622">
        <f t="shared" ref="P26:P29" si="6">E26+J26</f>
        <v>7725800</v>
      </c>
    </row>
    <row r="27" spans="1:18" ht="274.5" x14ac:dyDescent="0.2">
      <c r="A27" s="621" t="s">
        <v>442</v>
      </c>
      <c r="B27" s="621" t="s">
        <v>443</v>
      </c>
      <c r="C27" s="621" t="s">
        <v>103</v>
      </c>
      <c r="D27" s="621" t="s">
        <v>444</v>
      </c>
      <c r="E27" s="622">
        <f t="shared" si="3"/>
        <v>160000</v>
      </c>
      <c r="F27" s="630">
        <v>160000</v>
      </c>
      <c r="G27" s="631"/>
      <c r="H27" s="631"/>
      <c r="I27" s="630"/>
      <c r="J27" s="622"/>
      <c r="K27" s="630"/>
      <c r="L27" s="631"/>
      <c r="M27" s="631"/>
      <c r="N27" s="630">
        <f t="shared" si="4"/>
        <v>0</v>
      </c>
      <c r="O27" s="631"/>
      <c r="P27" s="622">
        <f t="shared" si="6"/>
        <v>160000</v>
      </c>
    </row>
    <row r="28" spans="1:18" ht="91.5" x14ac:dyDescent="0.2">
      <c r="A28" s="621" t="s">
        <v>966</v>
      </c>
      <c r="B28" s="621" t="s">
        <v>800</v>
      </c>
      <c r="C28" s="621" t="s">
        <v>103</v>
      </c>
      <c r="D28" s="621" t="s">
        <v>801</v>
      </c>
      <c r="E28" s="622"/>
      <c r="F28" s="630"/>
      <c r="G28" s="631"/>
      <c r="H28" s="631"/>
      <c r="I28" s="630"/>
      <c r="J28" s="622">
        <f t="shared" si="2"/>
        <v>100000</v>
      </c>
      <c r="K28" s="630"/>
      <c r="L28" s="631"/>
      <c r="M28" s="631"/>
      <c r="N28" s="630">
        <f t="shared" si="4"/>
        <v>100000</v>
      </c>
      <c r="O28" s="631">
        <f>200000-200000+100000</f>
        <v>100000</v>
      </c>
      <c r="P28" s="622">
        <f t="shared" si="6"/>
        <v>100000</v>
      </c>
    </row>
    <row r="29" spans="1:18" ht="183" x14ac:dyDescent="0.2">
      <c r="A29" s="621" t="s">
        <v>822</v>
      </c>
      <c r="B29" s="621" t="s">
        <v>823</v>
      </c>
      <c r="C29" s="621" t="s">
        <v>103</v>
      </c>
      <c r="D29" s="621" t="s">
        <v>824</v>
      </c>
      <c r="E29" s="622">
        <f t="shared" ref="E29" si="7">F29</f>
        <v>1690464</v>
      </c>
      <c r="F29" s="630">
        <f>(1317664+100000+50000)+222800</f>
        <v>1690464</v>
      </c>
      <c r="G29" s="631"/>
      <c r="H29" s="631"/>
      <c r="I29" s="630"/>
      <c r="J29" s="622">
        <f t="shared" si="2"/>
        <v>6179095.25</v>
      </c>
      <c r="K29" s="630"/>
      <c r="L29" s="631"/>
      <c r="M29" s="631"/>
      <c r="N29" s="630">
        <f t="shared" si="4"/>
        <v>6179095.25</v>
      </c>
      <c r="O29" s="631">
        <f>(5497336-100000)+38000+743759.25</f>
        <v>6179095.25</v>
      </c>
      <c r="P29" s="622">
        <f t="shared" si="6"/>
        <v>7869559.25</v>
      </c>
    </row>
    <row r="30" spans="1:18" ht="135" x14ac:dyDescent="0.2">
      <c r="A30" s="277" t="s">
        <v>306</v>
      </c>
      <c r="B30" s="277"/>
      <c r="C30" s="277"/>
      <c r="D30" s="278" t="s">
        <v>1</v>
      </c>
      <c r="E30" s="243">
        <f>E31</f>
        <v>899821040</v>
      </c>
      <c r="F30" s="243">
        <f t="shared" ref="F30:P30" si="8">F31</f>
        <v>899821040</v>
      </c>
      <c r="G30" s="243">
        <f t="shared" si="8"/>
        <v>576717521</v>
      </c>
      <c r="H30" s="243">
        <f t="shared" si="8"/>
        <v>87878308</v>
      </c>
      <c r="I30" s="243">
        <f t="shared" si="8"/>
        <v>0</v>
      </c>
      <c r="J30" s="243">
        <f t="shared" si="8"/>
        <v>136989283</v>
      </c>
      <c r="K30" s="243">
        <f t="shared" si="8"/>
        <v>87412249</v>
      </c>
      <c r="L30" s="243">
        <f t="shared" si="8"/>
        <v>22250104</v>
      </c>
      <c r="M30" s="243">
        <f t="shared" si="8"/>
        <v>7540734</v>
      </c>
      <c r="N30" s="243">
        <f t="shared" si="8"/>
        <v>49577034</v>
      </c>
      <c r="O30" s="244">
        <f t="shared" si="8"/>
        <v>48055034</v>
      </c>
      <c r="P30" s="243">
        <f t="shared" si="8"/>
        <v>1036810323</v>
      </c>
    </row>
    <row r="31" spans="1:18" ht="135" x14ac:dyDescent="0.2">
      <c r="A31" s="280" t="s">
        <v>307</v>
      </c>
      <c r="B31" s="280"/>
      <c r="C31" s="280"/>
      <c r="D31" s="281" t="s">
        <v>2</v>
      </c>
      <c r="E31" s="244">
        <f>E32+E33+E34+E35+E36+E38+E39+E37+E42</f>
        <v>899821040</v>
      </c>
      <c r="F31" s="243">
        <f>F32+F33+F34+F35+F36+F38+F39+F37+F42+F400</f>
        <v>899821040</v>
      </c>
      <c r="G31" s="244">
        <f>G32+G33+G34+G35+G36+G38+G39+G37+G42</f>
        <v>576717521</v>
      </c>
      <c r="H31" s="244">
        <f>H32+H33+H34+H35+H36+H38+H39+H37+H42</f>
        <v>87878308</v>
      </c>
      <c r="I31" s="243">
        <f>I32+I33+I34+I35+I36+I38+I39+I37</f>
        <v>0</v>
      </c>
      <c r="J31" s="244">
        <f t="shared" ref="J31:O31" si="9">J32+J33+J34+J35+J36+J38+J39+J37+J42</f>
        <v>136989283</v>
      </c>
      <c r="K31" s="243">
        <f t="shared" si="9"/>
        <v>87412249</v>
      </c>
      <c r="L31" s="244">
        <f t="shared" si="9"/>
        <v>22250104</v>
      </c>
      <c r="M31" s="244">
        <f t="shared" si="9"/>
        <v>7540734</v>
      </c>
      <c r="N31" s="243">
        <f t="shared" si="9"/>
        <v>49577034</v>
      </c>
      <c r="O31" s="244">
        <f t="shared" si="9"/>
        <v>48055034</v>
      </c>
      <c r="P31" s="244">
        <f t="shared" ref="P31:P41" si="10">E31+J31</f>
        <v>1036810323</v>
      </c>
      <c r="Q31" s="240" t="b">
        <f>P31=P32+P33+P34+P35+P36+P37+P38+P39+P42</f>
        <v>1</v>
      </c>
      <c r="R31" s="240" t="b">
        <f>O31=[2]dod5!J21</f>
        <v>1</v>
      </c>
    </row>
    <row r="32" spans="1:18" ht="67.5" customHeight="1" x14ac:dyDescent="0.55000000000000004">
      <c r="A32" s="621" t="s">
        <v>376</v>
      </c>
      <c r="B32" s="621" t="s">
        <v>377</v>
      </c>
      <c r="C32" s="621" t="s">
        <v>379</v>
      </c>
      <c r="D32" s="621" t="s">
        <v>380</v>
      </c>
      <c r="E32" s="622">
        <f>F32</f>
        <v>237786061</v>
      </c>
      <c r="F32" s="630">
        <f>((241481300+165502+120830)+707200+3213800+389000+834500+41349+100000-100000)-9167420</f>
        <v>237786061</v>
      </c>
      <c r="G32" s="631">
        <f>((151576300)+3213800)-3687600</f>
        <v>151102500</v>
      </c>
      <c r="H32" s="631">
        <f>27650500-12000</f>
        <v>27638500</v>
      </c>
      <c r="I32" s="630"/>
      <c r="J32" s="622">
        <f t="shared" ref="J32:J41" si="11">K32+N32</f>
        <v>43062993</v>
      </c>
      <c r="K32" s="630">
        <v>34398400</v>
      </c>
      <c r="L32" s="631">
        <v>6344700</v>
      </c>
      <c r="M32" s="631">
        <v>677200</v>
      </c>
      <c r="N32" s="630">
        <f>O32+525900-(120000)</f>
        <v>8664593</v>
      </c>
      <c r="O32" s="631">
        <f>((2466200+2000000+60000+353242+55000+50000*2)+777000+1256600-41349+80000-100000+100000+(442000))+710000</f>
        <v>8258693</v>
      </c>
      <c r="P32" s="622">
        <f t="shared" si="10"/>
        <v>280849054</v>
      </c>
      <c r="Q32" s="26"/>
      <c r="R32" s="26"/>
    </row>
    <row r="33" spans="1:20" ht="389.25" customHeight="1" x14ac:dyDescent="0.55000000000000004">
      <c r="A33" s="621" t="s">
        <v>382</v>
      </c>
      <c r="B33" s="621" t="s">
        <v>378</v>
      </c>
      <c r="C33" s="621" t="s">
        <v>383</v>
      </c>
      <c r="D33" s="621" t="s">
        <v>914</v>
      </c>
      <c r="E33" s="622">
        <f t="shared" ref="E33:E41" si="12">F33</f>
        <v>503096772.06</v>
      </c>
      <c r="F33" s="630">
        <f>((448765400+1750000+318969+495888+5582500)+15670400+1239421+3447600+272674+4898800+375000+230505+2658152-25000+7000+86612-40000-8000+(5263782))+12707069.06-600000</f>
        <v>503096772.06</v>
      </c>
      <c r="G33" s="631">
        <f>((302091800)+15670400+1239421)+11034000</f>
        <v>330035621</v>
      </c>
      <c r="H33" s="631">
        <f>(36896200+5582500-(20000))+100721</f>
        <v>42559421</v>
      </c>
      <c r="I33" s="630"/>
      <c r="J33" s="622">
        <f t="shared" si="11"/>
        <v>50948484</v>
      </c>
      <c r="K33" s="630">
        <f>(36530400)-1380110</f>
        <v>35150290</v>
      </c>
      <c r="L33" s="631">
        <f>(12782600)-1131270</f>
        <v>11651330</v>
      </c>
      <c r="M33" s="631">
        <v>912900</v>
      </c>
      <c r="N33" s="630">
        <f>O33+802800-(180000)</f>
        <v>15798194</v>
      </c>
      <c r="O33" s="631">
        <f>((1348532+200000+500000+297437+100000+749800*2)+4419450+583700+666579+67900+2794000-86612+250000+(1281056))+653752+600000</f>
        <v>15175394</v>
      </c>
      <c r="P33" s="622">
        <f t="shared" si="10"/>
        <v>554045256.05999994</v>
      </c>
      <c r="Q33" s="26"/>
      <c r="R33" s="26"/>
      <c r="T33" s="181"/>
    </row>
    <row r="34" spans="1:20" ht="137.25" x14ac:dyDescent="0.2">
      <c r="A34" s="621" t="s">
        <v>384</v>
      </c>
      <c r="B34" s="621" t="s">
        <v>385</v>
      </c>
      <c r="C34" s="621" t="s">
        <v>383</v>
      </c>
      <c r="D34" s="621" t="s">
        <v>46</v>
      </c>
      <c r="E34" s="622">
        <f t="shared" si="12"/>
        <v>2009955.94</v>
      </c>
      <c r="F34" s="630">
        <f>((2337100+15700)+146500+32200)-521544.06</f>
        <v>2009955.94</v>
      </c>
      <c r="G34" s="631">
        <f>((1765400)+146500)-300000</f>
        <v>1611900</v>
      </c>
      <c r="H34" s="631">
        <f>(93700+15700)-100721</f>
        <v>8679</v>
      </c>
      <c r="I34" s="630"/>
      <c r="J34" s="622">
        <f t="shared" si="11"/>
        <v>0</v>
      </c>
      <c r="K34" s="630"/>
      <c r="L34" s="631"/>
      <c r="M34" s="631"/>
      <c r="N34" s="630">
        <f t="shared" ref="N34:N38" si="13">O34</f>
        <v>0</v>
      </c>
      <c r="O34" s="631"/>
      <c r="P34" s="622">
        <f t="shared" si="10"/>
        <v>2009955.94</v>
      </c>
    </row>
    <row r="35" spans="1:20" ht="409.6" customHeight="1" x14ac:dyDescent="0.2">
      <c r="A35" s="621" t="s">
        <v>387</v>
      </c>
      <c r="B35" s="621" t="s">
        <v>386</v>
      </c>
      <c r="C35" s="621" t="s">
        <v>388</v>
      </c>
      <c r="D35" s="621" t="s">
        <v>47</v>
      </c>
      <c r="E35" s="622">
        <f t="shared" si="12"/>
        <v>15583400</v>
      </c>
      <c r="F35" s="630">
        <f>((13802000+388300)+691500+152100+82500+307600)+192400-33000</f>
        <v>15583400</v>
      </c>
      <c r="G35" s="631">
        <f>((9727200)+691500)+157000</f>
        <v>10575700</v>
      </c>
      <c r="H35" s="631">
        <f>941200+388300</f>
        <v>1329500</v>
      </c>
      <c r="I35" s="630"/>
      <c r="J35" s="622">
        <f t="shared" si="11"/>
        <v>513449</v>
      </c>
      <c r="K35" s="630">
        <v>35600</v>
      </c>
      <c r="L35" s="631"/>
      <c r="M35" s="631">
        <v>24400</v>
      </c>
      <c r="N35" s="630">
        <f t="shared" si="13"/>
        <v>477849</v>
      </c>
      <c r="O35" s="631">
        <f>(300000)+138200+6849-200+33000</f>
        <v>477849</v>
      </c>
      <c r="P35" s="622">
        <f t="shared" si="10"/>
        <v>16096849</v>
      </c>
    </row>
    <row r="36" spans="1:20" ht="183" x14ac:dyDescent="0.2">
      <c r="A36" s="621" t="s">
        <v>389</v>
      </c>
      <c r="B36" s="621" t="s">
        <v>363</v>
      </c>
      <c r="C36" s="621" t="s">
        <v>344</v>
      </c>
      <c r="D36" s="621" t="s">
        <v>48</v>
      </c>
      <c r="E36" s="622">
        <f t="shared" si="12"/>
        <v>25342420</v>
      </c>
      <c r="F36" s="630">
        <f>((27524100)+334800+73700+6000)-2596180</f>
        <v>25342420</v>
      </c>
      <c r="G36" s="631">
        <f>((19443400)+334800)-2376200</f>
        <v>17402000</v>
      </c>
      <c r="H36" s="631">
        <f>(2247200-(260000))+199000</f>
        <v>2186200</v>
      </c>
      <c r="I36" s="630"/>
      <c r="J36" s="622">
        <f t="shared" si="11"/>
        <v>11763200</v>
      </c>
      <c r="K36" s="630">
        <v>4499900</v>
      </c>
      <c r="L36" s="631">
        <v>928200</v>
      </c>
      <c r="M36" s="631">
        <v>324500</v>
      </c>
      <c r="N36" s="630">
        <f>O36+153300+(300000)</f>
        <v>7263300</v>
      </c>
      <c r="O36" s="631">
        <f>((4000000)+605000+470000-250000+(185000))+1800000</f>
        <v>6810000</v>
      </c>
      <c r="P36" s="622">
        <f t="shared" si="10"/>
        <v>37105620</v>
      </c>
    </row>
    <row r="37" spans="1:20" ht="155.25" customHeight="1" x14ac:dyDescent="0.2">
      <c r="A37" s="621" t="s">
        <v>390</v>
      </c>
      <c r="B37" s="621" t="s">
        <v>391</v>
      </c>
      <c r="C37" s="621" t="s">
        <v>392</v>
      </c>
      <c r="D37" s="621" t="s">
        <v>393</v>
      </c>
      <c r="E37" s="622">
        <f t="shared" si="12"/>
        <v>97256631</v>
      </c>
      <c r="F37" s="630">
        <f>((96795900-6000000+6264431)+3553400+781700)-4138800</f>
        <v>97256631</v>
      </c>
      <c r="G37" s="631">
        <f>((52131100)+3553400)-2818800</f>
        <v>52865700</v>
      </c>
      <c r="H37" s="631">
        <f>10956900-4000000+6264431</f>
        <v>13221331</v>
      </c>
      <c r="I37" s="630"/>
      <c r="J37" s="622">
        <f t="shared" si="11"/>
        <v>12791259</v>
      </c>
      <c r="K37" s="630">
        <f>((8084200)+2479639+(335560))+1851860</f>
        <v>12751259</v>
      </c>
      <c r="L37" s="631">
        <f>((1501800)+823942)+709932</f>
        <v>3035674</v>
      </c>
      <c r="M37" s="631">
        <f>(4165000+(1011312))+401422</f>
        <v>5577734</v>
      </c>
      <c r="N37" s="630">
        <f>(O37+245800)+129760-(335560)</f>
        <v>40000</v>
      </c>
      <c r="O37" s="631"/>
      <c r="P37" s="622">
        <f t="shared" si="10"/>
        <v>110047890</v>
      </c>
    </row>
    <row r="38" spans="1:20" ht="130.5" customHeight="1" x14ac:dyDescent="0.2">
      <c r="A38" s="621" t="s">
        <v>395</v>
      </c>
      <c r="B38" s="621" t="s">
        <v>396</v>
      </c>
      <c r="C38" s="621" t="s">
        <v>397</v>
      </c>
      <c r="D38" s="621" t="s">
        <v>394</v>
      </c>
      <c r="E38" s="622">
        <f t="shared" si="12"/>
        <v>4275700</v>
      </c>
      <c r="F38" s="630">
        <f>((3952900)+63500+14000+65000+147000)+33300</f>
        <v>4275700</v>
      </c>
      <c r="G38" s="631">
        <f>((2696100)+63500)+5500</f>
        <v>2765100</v>
      </c>
      <c r="H38" s="631">
        <v>197300</v>
      </c>
      <c r="I38" s="630"/>
      <c r="J38" s="622">
        <f t="shared" si="11"/>
        <v>176450</v>
      </c>
      <c r="K38" s="630">
        <v>76000</v>
      </c>
      <c r="L38" s="631"/>
      <c r="M38" s="631"/>
      <c r="N38" s="630">
        <f t="shared" si="13"/>
        <v>100450</v>
      </c>
      <c r="O38" s="631">
        <f>(0)+100450</f>
        <v>100450</v>
      </c>
      <c r="P38" s="622">
        <f t="shared" si="10"/>
        <v>4452150</v>
      </c>
    </row>
    <row r="39" spans="1:20" ht="112.5" customHeight="1" x14ac:dyDescent="0.2">
      <c r="A39" s="621" t="s">
        <v>399</v>
      </c>
      <c r="B39" s="621" t="s">
        <v>400</v>
      </c>
      <c r="C39" s="621"/>
      <c r="D39" s="620" t="s">
        <v>398</v>
      </c>
      <c r="E39" s="622">
        <f t="shared" si="12"/>
        <v>14364100</v>
      </c>
      <c r="F39" s="630">
        <f>F40+F41</f>
        <v>14364100</v>
      </c>
      <c r="G39" s="631">
        <f>G40+G41</f>
        <v>10359000</v>
      </c>
      <c r="H39" s="631">
        <f t="shared" ref="H39" si="14">H40</f>
        <v>737377</v>
      </c>
      <c r="I39" s="630"/>
      <c r="J39" s="622">
        <f t="shared" si="11"/>
        <v>1299700</v>
      </c>
      <c r="K39" s="630">
        <f>K40</f>
        <v>500800</v>
      </c>
      <c r="L39" s="631">
        <f t="shared" ref="L39:M39" si="15">L40</f>
        <v>290200</v>
      </c>
      <c r="M39" s="631">
        <f t="shared" si="15"/>
        <v>24000</v>
      </c>
      <c r="N39" s="630">
        <f>N40</f>
        <v>798900</v>
      </c>
      <c r="O39" s="631">
        <f>O40</f>
        <v>798900</v>
      </c>
      <c r="P39" s="622">
        <f t="shared" si="10"/>
        <v>15663800</v>
      </c>
    </row>
    <row r="40" spans="1:20" s="203" customFormat="1" ht="139.5" customHeight="1" x14ac:dyDescent="0.2">
      <c r="A40" s="628" t="s">
        <v>656</v>
      </c>
      <c r="B40" s="628" t="s">
        <v>657</v>
      </c>
      <c r="C40" s="628" t="s">
        <v>397</v>
      </c>
      <c r="D40" s="628" t="s">
        <v>655</v>
      </c>
      <c r="E40" s="630">
        <f t="shared" si="12"/>
        <v>14196900</v>
      </c>
      <c r="F40" s="630">
        <f>((13719600)+342300+75300+20000+125900)-86200</f>
        <v>14196900</v>
      </c>
      <c r="G40" s="630">
        <f>(10016700)+342300</f>
        <v>10359000</v>
      </c>
      <c r="H40" s="630">
        <f>764800-(27423)</f>
        <v>737377</v>
      </c>
      <c r="I40" s="619"/>
      <c r="J40" s="630">
        <f t="shared" si="11"/>
        <v>1299700</v>
      </c>
      <c r="K40" s="630">
        <v>500800</v>
      </c>
      <c r="L40" s="630">
        <v>290200</v>
      </c>
      <c r="M40" s="630">
        <v>24000</v>
      </c>
      <c r="N40" s="630">
        <f t="shared" ref="N40" si="16">O40</f>
        <v>798900</v>
      </c>
      <c r="O40" s="619">
        <f>(48000)+750900</f>
        <v>798900</v>
      </c>
      <c r="P40" s="630">
        <f t="shared" si="10"/>
        <v>15496600</v>
      </c>
    </row>
    <row r="41" spans="1:20" s="203" customFormat="1" ht="124.5" customHeight="1" x14ac:dyDescent="0.2">
      <c r="A41" s="628" t="s">
        <v>697</v>
      </c>
      <c r="B41" s="628" t="s">
        <v>698</v>
      </c>
      <c r="C41" s="628" t="s">
        <v>397</v>
      </c>
      <c r="D41" s="629" t="s">
        <v>696</v>
      </c>
      <c r="E41" s="619">
        <f t="shared" si="12"/>
        <v>167200</v>
      </c>
      <c r="F41" s="619">
        <f>(140000+27200-27200)+27200</f>
        <v>167200</v>
      </c>
      <c r="G41" s="619"/>
      <c r="H41" s="619"/>
      <c r="I41" s="619"/>
      <c r="J41" s="630">
        <f t="shared" si="11"/>
        <v>0</v>
      </c>
      <c r="K41" s="619"/>
      <c r="L41" s="619"/>
      <c r="M41" s="619"/>
      <c r="N41" s="619"/>
      <c r="O41" s="619"/>
      <c r="P41" s="630">
        <f t="shared" si="10"/>
        <v>167200</v>
      </c>
    </row>
    <row r="42" spans="1:20" ht="46.5" x14ac:dyDescent="0.2">
      <c r="A42" s="621" t="s">
        <v>402</v>
      </c>
      <c r="B42" s="621" t="s">
        <v>403</v>
      </c>
      <c r="C42" s="621" t="s">
        <v>404</v>
      </c>
      <c r="D42" s="621" t="s">
        <v>99</v>
      </c>
      <c r="E42" s="622">
        <f>F42</f>
        <v>106000</v>
      </c>
      <c r="F42" s="630">
        <v>106000</v>
      </c>
      <c r="G42" s="631"/>
      <c r="H42" s="631"/>
      <c r="I42" s="630"/>
      <c r="J42" s="622">
        <f>K42+N42</f>
        <v>16433748</v>
      </c>
      <c r="K42" s="630"/>
      <c r="L42" s="631"/>
      <c r="M42" s="631"/>
      <c r="N42" s="630">
        <f>O42</f>
        <v>16433748</v>
      </c>
      <c r="O42" s="631">
        <f>(1191000+8287748-106000)+7061000</f>
        <v>16433748</v>
      </c>
      <c r="P42" s="622">
        <f>E42+J42</f>
        <v>16539748</v>
      </c>
    </row>
    <row r="43" spans="1:20" ht="135" x14ac:dyDescent="0.2">
      <c r="A43" s="299" t="s">
        <v>308</v>
      </c>
      <c r="B43" s="300"/>
      <c r="C43" s="300"/>
      <c r="D43" s="278" t="s">
        <v>53</v>
      </c>
      <c r="E43" s="246">
        <f>E44</f>
        <v>350056473</v>
      </c>
      <c r="F43" s="247">
        <f t="shared" ref="F43:P43" si="17">F44</f>
        <v>350056473</v>
      </c>
      <c r="G43" s="246">
        <f t="shared" si="17"/>
        <v>1567600</v>
      </c>
      <c r="H43" s="246">
        <f t="shared" si="17"/>
        <v>99700</v>
      </c>
      <c r="I43" s="247">
        <f t="shared" si="17"/>
        <v>0</v>
      </c>
      <c r="J43" s="246">
        <f t="shared" si="17"/>
        <v>44601336</v>
      </c>
      <c r="K43" s="247">
        <f t="shared" si="17"/>
        <v>16691169</v>
      </c>
      <c r="L43" s="246">
        <f t="shared" si="17"/>
        <v>0</v>
      </c>
      <c r="M43" s="246">
        <f t="shared" si="17"/>
        <v>0</v>
      </c>
      <c r="N43" s="247">
        <f t="shared" si="17"/>
        <v>27910167</v>
      </c>
      <c r="O43" s="246">
        <f t="shared" si="17"/>
        <v>27523618</v>
      </c>
      <c r="P43" s="246">
        <f t="shared" si="17"/>
        <v>394657809</v>
      </c>
    </row>
    <row r="44" spans="1:20" ht="135" x14ac:dyDescent="0.2">
      <c r="A44" s="277" t="s">
        <v>309</v>
      </c>
      <c r="B44" s="277"/>
      <c r="C44" s="277"/>
      <c r="D44" s="281" t="s">
        <v>91</v>
      </c>
      <c r="E44" s="244">
        <f>E45+E46+E47+E48+E54+E49+E51+E57</f>
        <v>350056473</v>
      </c>
      <c r="F44" s="243">
        <f>F45+F46+F47+F48+F54+F49+F51+F57</f>
        <v>350056473</v>
      </c>
      <c r="G44" s="244">
        <f>G45+G46+G47+G48+G54+G49+G51</f>
        <v>1567600</v>
      </c>
      <c r="H44" s="244">
        <f>H45+H46+H47+H48+H54+H49+H51</f>
        <v>99700</v>
      </c>
      <c r="I44" s="243">
        <v>0</v>
      </c>
      <c r="J44" s="244">
        <f t="shared" ref="J44:J57" si="18">K44+N44</f>
        <v>44601336</v>
      </c>
      <c r="K44" s="243">
        <f>K45+K46+K47+K48+K54+K49+K51+K57</f>
        <v>16691169</v>
      </c>
      <c r="L44" s="244">
        <f>L45+L46+L47+L48+L54+L49+L51</f>
        <v>0</v>
      </c>
      <c r="M44" s="244">
        <f>M45+M46+M47+M48+M54+M49+M51</f>
        <v>0</v>
      </c>
      <c r="N44" s="243">
        <f>N45+N46+N47+N48+N54+N49+N51+N57</f>
        <v>27910167</v>
      </c>
      <c r="O44" s="244">
        <f>O45+O46+O47+O48+O54+O49+O57</f>
        <v>27523618</v>
      </c>
      <c r="P44" s="244">
        <f t="shared" ref="P44:P57" si="19">E44+J44</f>
        <v>394657809</v>
      </c>
      <c r="Q44" s="240" t="b">
        <f>P44=P45+P46+P47+P48+P50+P52+P53+P55+P56+P57</f>
        <v>1</v>
      </c>
      <c r="R44" s="240" t="b">
        <f>O44=[2]dod5!J36</f>
        <v>1</v>
      </c>
    </row>
    <row r="45" spans="1:20" ht="91.5" x14ac:dyDescent="0.2">
      <c r="A45" s="621" t="s">
        <v>405</v>
      </c>
      <c r="B45" s="621" t="s">
        <v>401</v>
      </c>
      <c r="C45" s="621" t="s">
        <v>406</v>
      </c>
      <c r="D45" s="621" t="s">
        <v>55</v>
      </c>
      <c r="E45" s="622">
        <f>F45</f>
        <v>176462411</v>
      </c>
      <c r="F45" s="630">
        <f>((169809941+1000000+714000+50000)-714000+2474600-360000+3000000+160000+360000+1000000-(3120000))+2087870</f>
        <v>176462411</v>
      </c>
      <c r="G45" s="631"/>
      <c r="H45" s="631"/>
      <c r="I45" s="630"/>
      <c r="J45" s="622">
        <f t="shared" si="18"/>
        <v>25834925</v>
      </c>
      <c r="K45" s="630">
        <v>5806250</v>
      </c>
      <c r="L45" s="631"/>
      <c r="M45" s="631"/>
      <c r="N45" s="630">
        <f>O45</f>
        <v>20028675</v>
      </c>
      <c r="O45" s="631">
        <f>(((4250000+1000000)+11650768-113-25620-12940+88000)+2678580)+400000</f>
        <v>20028675</v>
      </c>
      <c r="P45" s="622">
        <f t="shared" si="19"/>
        <v>202297336</v>
      </c>
    </row>
    <row r="46" spans="1:20" ht="137.25" x14ac:dyDescent="0.2">
      <c r="A46" s="621" t="s">
        <v>407</v>
      </c>
      <c r="B46" s="621" t="s">
        <v>408</v>
      </c>
      <c r="C46" s="621" t="s">
        <v>409</v>
      </c>
      <c r="D46" s="621" t="s">
        <v>410</v>
      </c>
      <c r="E46" s="622">
        <f t="shared" ref="E46:E57" si="20">F46</f>
        <v>53951300</v>
      </c>
      <c r="F46" s="630">
        <f>((53366300+320000)+115000)+150000</f>
        <v>53951300</v>
      </c>
      <c r="G46" s="631"/>
      <c r="H46" s="631"/>
      <c r="I46" s="630"/>
      <c r="J46" s="622">
        <f t="shared" si="18"/>
        <v>1720650</v>
      </c>
      <c r="K46" s="630">
        <f>((852000)-30000)-11549</f>
        <v>810451</v>
      </c>
      <c r="L46" s="631"/>
      <c r="M46" s="631"/>
      <c r="N46" s="630">
        <f>((O46)+30000)+11549</f>
        <v>910199</v>
      </c>
      <c r="O46" s="631">
        <f>(597150)+181500+90000</f>
        <v>868650</v>
      </c>
      <c r="P46" s="622">
        <f t="shared" si="19"/>
        <v>55671950</v>
      </c>
    </row>
    <row r="47" spans="1:20" ht="137.25" x14ac:dyDescent="0.2">
      <c r="A47" s="621" t="s">
        <v>411</v>
      </c>
      <c r="B47" s="621" t="s">
        <v>412</v>
      </c>
      <c r="C47" s="621" t="s">
        <v>413</v>
      </c>
      <c r="D47" s="621" t="s">
        <v>730</v>
      </c>
      <c r="E47" s="622">
        <f t="shared" si="20"/>
        <v>54131886</v>
      </c>
      <c r="F47" s="630">
        <f>((53234500+5881200)-5881200+502148-12148)+407386</f>
        <v>54131886</v>
      </c>
      <c r="G47" s="631"/>
      <c r="H47" s="631"/>
      <c r="I47" s="630"/>
      <c r="J47" s="622">
        <f t="shared" si="18"/>
        <v>8064761</v>
      </c>
      <c r="K47" s="630">
        <f>((5312168)-249000)-26000</f>
        <v>5037168</v>
      </c>
      <c r="L47" s="631"/>
      <c r="M47" s="631"/>
      <c r="N47" s="630">
        <f>((O47)+249000)+26000</f>
        <v>3027593</v>
      </c>
      <c r="O47" s="631">
        <f>(1617460+12148+22000)+1100985</f>
        <v>2752593</v>
      </c>
      <c r="P47" s="622">
        <f t="shared" si="19"/>
        <v>62196647</v>
      </c>
    </row>
    <row r="48" spans="1:20" ht="91.5" x14ac:dyDescent="0.2">
      <c r="A48" s="621" t="s">
        <v>414</v>
      </c>
      <c r="B48" s="621" t="s">
        <v>415</v>
      </c>
      <c r="C48" s="621" t="s">
        <v>416</v>
      </c>
      <c r="D48" s="621" t="s">
        <v>417</v>
      </c>
      <c r="E48" s="622">
        <f t="shared" si="20"/>
        <v>9470400</v>
      </c>
      <c r="F48" s="630">
        <f>((9008400+22000)-160000)+600000</f>
        <v>9470400</v>
      </c>
      <c r="G48" s="631"/>
      <c r="H48" s="631"/>
      <c r="I48" s="630"/>
      <c r="J48" s="622">
        <f t="shared" si="18"/>
        <v>5210400</v>
      </c>
      <c r="K48" s="630">
        <f>(5000400)-70000</f>
        <v>4930400</v>
      </c>
      <c r="L48" s="631"/>
      <c r="M48" s="631"/>
      <c r="N48" s="630">
        <f>O48+70000</f>
        <v>280000</v>
      </c>
      <c r="O48" s="631">
        <f>(89000)+121000</f>
        <v>210000</v>
      </c>
      <c r="P48" s="622">
        <f t="shared" si="19"/>
        <v>14680800</v>
      </c>
    </row>
    <row r="49" spans="1:22" ht="91.5" x14ac:dyDescent="0.2">
      <c r="A49" s="621" t="s">
        <v>418</v>
      </c>
      <c r="B49" s="621" t="s">
        <v>419</v>
      </c>
      <c r="C49" s="621"/>
      <c r="D49" s="621" t="s">
        <v>731</v>
      </c>
      <c r="E49" s="622">
        <f t="shared" si="20"/>
        <v>36734176</v>
      </c>
      <c r="F49" s="630">
        <f>F50</f>
        <v>36734176</v>
      </c>
      <c r="G49" s="631"/>
      <c r="H49" s="631"/>
      <c r="I49" s="630"/>
      <c r="J49" s="622">
        <f t="shared" si="18"/>
        <v>2374000</v>
      </c>
      <c r="K49" s="630">
        <f>K50</f>
        <v>86500</v>
      </c>
      <c r="L49" s="631"/>
      <c r="M49" s="631"/>
      <c r="N49" s="630">
        <f t="shared" ref="N49:N50" si="21">O49</f>
        <v>2287500</v>
      </c>
      <c r="O49" s="631">
        <f>O50</f>
        <v>2287500</v>
      </c>
      <c r="P49" s="622">
        <f t="shared" si="19"/>
        <v>39108176</v>
      </c>
    </row>
    <row r="50" spans="1:22" ht="183" x14ac:dyDescent="0.2">
      <c r="A50" s="629" t="s">
        <v>420</v>
      </c>
      <c r="B50" s="628" t="s">
        <v>421</v>
      </c>
      <c r="C50" s="628" t="s">
        <v>732</v>
      </c>
      <c r="D50" s="629" t="s">
        <v>422</v>
      </c>
      <c r="E50" s="630">
        <f t="shared" si="20"/>
        <v>36734176</v>
      </c>
      <c r="F50" s="630">
        <f>((6889600+25900000+340000+4561100+2835500)-2835500+70200+(1780000))-2806724</f>
        <v>36734176</v>
      </c>
      <c r="G50" s="630"/>
      <c r="H50" s="630"/>
      <c r="I50" s="630"/>
      <c r="J50" s="630">
        <f t="shared" si="18"/>
        <v>2374000</v>
      </c>
      <c r="K50" s="630">
        <v>86500</v>
      </c>
      <c r="L50" s="630"/>
      <c r="M50" s="630"/>
      <c r="N50" s="630">
        <f t="shared" si="21"/>
        <v>2287500</v>
      </c>
      <c r="O50" s="631">
        <f>((540000+1000000)+715000)+32500</f>
        <v>2287500</v>
      </c>
      <c r="P50" s="630">
        <f t="shared" si="19"/>
        <v>39108176</v>
      </c>
    </row>
    <row r="51" spans="1:22" ht="137.25" x14ac:dyDescent="0.2">
      <c r="A51" s="621" t="s">
        <v>783</v>
      </c>
      <c r="B51" s="620" t="s">
        <v>784</v>
      </c>
      <c r="C51" s="620"/>
      <c r="D51" s="620" t="s">
        <v>785</v>
      </c>
      <c r="E51" s="622">
        <f t="shared" si="20"/>
        <v>16621600</v>
      </c>
      <c r="F51" s="630">
        <f>SUM(F52:F53)</f>
        <v>16621600</v>
      </c>
      <c r="G51" s="631">
        <f t="shared" ref="G51:H51" si="22">SUM(G52:G53)</f>
        <v>0</v>
      </c>
      <c r="H51" s="631">
        <f t="shared" si="22"/>
        <v>0</v>
      </c>
      <c r="I51" s="630"/>
      <c r="J51" s="622">
        <f t="shared" si="18"/>
        <v>0</v>
      </c>
      <c r="K51" s="630">
        <f>SUM(K52:K53)</f>
        <v>0</v>
      </c>
      <c r="L51" s="631">
        <f t="shared" ref="L51:M51" si="23">SUM(L52:L53)</f>
        <v>0</v>
      </c>
      <c r="M51" s="631">
        <f t="shared" si="23"/>
        <v>0</v>
      </c>
      <c r="N51" s="630">
        <f>SUM(N52:N53)</f>
        <v>0</v>
      </c>
      <c r="O51" s="631"/>
      <c r="P51" s="622">
        <f t="shared" si="19"/>
        <v>16621600</v>
      </c>
    </row>
    <row r="52" spans="1:22" ht="183" x14ac:dyDescent="0.2">
      <c r="A52" s="629" t="s">
        <v>786</v>
      </c>
      <c r="B52" s="629" t="s">
        <v>787</v>
      </c>
      <c r="C52" s="620" t="s">
        <v>425</v>
      </c>
      <c r="D52" s="298" t="s">
        <v>788</v>
      </c>
      <c r="E52" s="630">
        <f t="shared" si="20"/>
        <v>10295900</v>
      </c>
      <c r="F52" s="630">
        <f>(6595200+(1340000))+2360700</f>
        <v>10295900</v>
      </c>
      <c r="G52" s="630"/>
      <c r="H52" s="630"/>
      <c r="I52" s="630"/>
      <c r="J52" s="630">
        <f t="shared" si="18"/>
        <v>0</v>
      </c>
      <c r="K52" s="630"/>
      <c r="L52" s="630"/>
      <c r="M52" s="630"/>
      <c r="N52" s="630">
        <f t="shared" ref="N52:N53" si="24">O52</f>
        <v>0</v>
      </c>
      <c r="O52" s="630"/>
      <c r="P52" s="630">
        <f t="shared" si="19"/>
        <v>10295900</v>
      </c>
    </row>
    <row r="53" spans="1:22" ht="183" x14ac:dyDescent="0.2">
      <c r="A53" s="629" t="s">
        <v>791</v>
      </c>
      <c r="B53" s="629" t="s">
        <v>790</v>
      </c>
      <c r="C53" s="620" t="s">
        <v>425</v>
      </c>
      <c r="D53" s="298" t="s">
        <v>789</v>
      </c>
      <c r="E53" s="630">
        <f t="shared" si="20"/>
        <v>6325700</v>
      </c>
      <c r="F53" s="630">
        <f>2835500+(3490200)</f>
        <v>6325700</v>
      </c>
      <c r="G53" s="630"/>
      <c r="H53" s="630"/>
      <c r="I53" s="630"/>
      <c r="J53" s="630">
        <f t="shared" si="18"/>
        <v>0</v>
      </c>
      <c r="K53" s="630"/>
      <c r="L53" s="630"/>
      <c r="M53" s="630"/>
      <c r="N53" s="630">
        <f t="shared" si="24"/>
        <v>0</v>
      </c>
      <c r="O53" s="630"/>
      <c r="P53" s="630">
        <f t="shared" si="19"/>
        <v>6325700</v>
      </c>
    </row>
    <row r="54" spans="1:22" ht="91.5" customHeight="1" x14ac:dyDescent="0.2">
      <c r="A54" s="621" t="s">
        <v>423</v>
      </c>
      <c r="B54" s="620" t="s">
        <v>424</v>
      </c>
      <c r="C54" s="620"/>
      <c r="D54" s="620" t="s">
        <v>426</v>
      </c>
      <c r="E54" s="622">
        <f t="shared" si="20"/>
        <v>2500300</v>
      </c>
      <c r="F54" s="630">
        <f>SUM(F55:F56)</f>
        <v>2500300</v>
      </c>
      <c r="G54" s="631">
        <f t="shared" ref="G54:H54" si="25">SUM(G55:G56)</f>
        <v>1567600</v>
      </c>
      <c r="H54" s="631">
        <f t="shared" si="25"/>
        <v>99700</v>
      </c>
      <c r="I54" s="630"/>
      <c r="J54" s="622">
        <f t="shared" si="18"/>
        <v>22800</v>
      </c>
      <c r="K54" s="630">
        <f>SUM(K55:K56)</f>
        <v>20400</v>
      </c>
      <c r="L54" s="631">
        <f t="shared" ref="L54:M54" si="26">SUM(L55:L56)</f>
        <v>0</v>
      </c>
      <c r="M54" s="631">
        <f t="shared" si="26"/>
        <v>0</v>
      </c>
      <c r="N54" s="630">
        <f>SUM(N55:N56)</f>
        <v>2400</v>
      </c>
      <c r="O54" s="630">
        <f>SUM(O55:O56)</f>
        <v>2400</v>
      </c>
      <c r="P54" s="622">
        <f t="shared" si="19"/>
        <v>2523100</v>
      </c>
    </row>
    <row r="55" spans="1:22" s="203" customFormat="1" ht="137.25" x14ac:dyDescent="0.2">
      <c r="A55" s="629" t="s">
        <v>660</v>
      </c>
      <c r="B55" s="629" t="s">
        <v>662</v>
      </c>
      <c r="C55" s="628" t="s">
        <v>425</v>
      </c>
      <c r="D55" s="298" t="s">
        <v>658</v>
      </c>
      <c r="E55" s="630">
        <f t="shared" si="20"/>
        <v>2200300</v>
      </c>
      <c r="F55" s="630">
        <f>((2459300-300000)+11000+10000)+20000</f>
        <v>2200300</v>
      </c>
      <c r="G55" s="630">
        <v>1567600</v>
      </c>
      <c r="H55" s="630">
        <v>99700</v>
      </c>
      <c r="I55" s="630"/>
      <c r="J55" s="630">
        <f t="shared" si="18"/>
        <v>22800</v>
      </c>
      <c r="K55" s="630">
        <v>20400</v>
      </c>
      <c r="L55" s="630"/>
      <c r="M55" s="630"/>
      <c r="N55" s="630">
        <f t="shared" ref="N55:N56" si="27">O55</f>
        <v>2400</v>
      </c>
      <c r="O55" s="630">
        <f>(30000-10000)-17600</f>
        <v>2400</v>
      </c>
      <c r="P55" s="630">
        <f t="shared" si="19"/>
        <v>2223100</v>
      </c>
    </row>
    <row r="56" spans="1:22" s="203" customFormat="1" ht="91.5" x14ac:dyDescent="0.2">
      <c r="A56" s="629" t="s">
        <v>661</v>
      </c>
      <c r="B56" s="629" t="s">
        <v>663</v>
      </c>
      <c r="C56" s="628" t="s">
        <v>425</v>
      </c>
      <c r="D56" s="298" t="s">
        <v>659</v>
      </c>
      <c r="E56" s="630">
        <f t="shared" si="20"/>
        <v>300000</v>
      </c>
      <c r="F56" s="630">
        <v>300000</v>
      </c>
      <c r="G56" s="630"/>
      <c r="H56" s="630"/>
      <c r="I56" s="630"/>
      <c r="J56" s="630">
        <f t="shared" si="18"/>
        <v>0</v>
      </c>
      <c r="K56" s="630"/>
      <c r="L56" s="630"/>
      <c r="M56" s="630"/>
      <c r="N56" s="630">
        <f t="shared" si="27"/>
        <v>0</v>
      </c>
      <c r="O56" s="630"/>
      <c r="P56" s="630">
        <f t="shared" si="19"/>
        <v>300000</v>
      </c>
    </row>
    <row r="57" spans="1:22" ht="91.5" x14ac:dyDescent="0.2">
      <c r="A57" s="621" t="s">
        <v>799</v>
      </c>
      <c r="B57" s="620" t="s">
        <v>800</v>
      </c>
      <c r="C57" s="620" t="s">
        <v>103</v>
      </c>
      <c r="D57" s="620" t="s">
        <v>801</v>
      </c>
      <c r="E57" s="622">
        <f t="shared" si="20"/>
        <v>184400</v>
      </c>
      <c r="F57" s="630">
        <f>(0)+184400</f>
        <v>184400</v>
      </c>
      <c r="G57" s="631"/>
      <c r="H57" s="631"/>
      <c r="I57" s="630"/>
      <c r="J57" s="622">
        <f t="shared" si="18"/>
        <v>1373800</v>
      </c>
      <c r="K57" s="630"/>
      <c r="L57" s="631"/>
      <c r="M57" s="631"/>
      <c r="N57" s="630">
        <f>O57</f>
        <v>1373800</v>
      </c>
      <c r="O57" s="631">
        <f>(452800)+921000</f>
        <v>1373800</v>
      </c>
      <c r="P57" s="622">
        <f t="shared" si="19"/>
        <v>1558200</v>
      </c>
    </row>
    <row r="58" spans="1:22" ht="225" x14ac:dyDescent="0.2">
      <c r="A58" s="277" t="s">
        <v>310</v>
      </c>
      <c r="B58" s="277"/>
      <c r="C58" s="277"/>
      <c r="D58" s="278" t="s">
        <v>92</v>
      </c>
      <c r="E58" s="243">
        <f>E59</f>
        <v>987481959</v>
      </c>
      <c r="F58" s="243">
        <f>F59</f>
        <v>987481959</v>
      </c>
      <c r="G58" s="243">
        <f>G59</f>
        <v>14120200</v>
      </c>
      <c r="H58" s="243">
        <f t="shared" ref="H58:O58" si="28">H59</f>
        <v>881300</v>
      </c>
      <c r="I58" s="243">
        <f t="shared" si="28"/>
        <v>0</v>
      </c>
      <c r="J58" s="243">
        <f t="shared" si="28"/>
        <v>10900222.629999999</v>
      </c>
      <c r="K58" s="243">
        <f t="shared" si="28"/>
        <v>94000</v>
      </c>
      <c r="L58" s="243">
        <f t="shared" si="28"/>
        <v>50000</v>
      </c>
      <c r="M58" s="243">
        <f t="shared" si="28"/>
        <v>4000</v>
      </c>
      <c r="N58" s="243">
        <f t="shared" si="28"/>
        <v>10806222.629999999</v>
      </c>
      <c r="O58" s="244">
        <f t="shared" si="28"/>
        <v>10806222.629999999</v>
      </c>
      <c r="P58" s="244">
        <f>P59</f>
        <v>998382181.63</v>
      </c>
    </row>
    <row r="59" spans="1:22" ht="225" x14ac:dyDescent="0.2">
      <c r="A59" s="280" t="s">
        <v>311</v>
      </c>
      <c r="B59" s="280"/>
      <c r="C59" s="280"/>
      <c r="D59" s="281" t="s">
        <v>93</v>
      </c>
      <c r="E59" s="244">
        <f>E97+E89+E105+E92+E72+E81+E66+E60+E63+E103+E80+E88+E93+E96</f>
        <v>987481959</v>
      </c>
      <c r="F59" s="243">
        <f>F97+F89+F105+F92+F72+F81+F66+F60+F63+F103+F80+F88+F93+F96</f>
        <v>987481959</v>
      </c>
      <c r="G59" s="244">
        <f>G97+G89+G105+G92+G72+G81+G66+G60+G63+G103+G80+G88</f>
        <v>14120200</v>
      </c>
      <c r="H59" s="244">
        <f>H97+H89+H105+H92+H72+H81+H66+H60+H63+H103+H80+H88</f>
        <v>881300</v>
      </c>
      <c r="I59" s="243">
        <v>0</v>
      </c>
      <c r="J59" s="244">
        <f t="shared" ref="J59:J66" si="29">K59+N59</f>
        <v>10900222.629999999</v>
      </c>
      <c r="K59" s="243">
        <f>K97+K89+K105+K92+K72+K81+K66+K60+K63+K103+K80+K88+K108+K99</f>
        <v>94000</v>
      </c>
      <c r="L59" s="244">
        <f>L97+L89+L105+L92+L72+L81+L66+L60+L63+L103+L80+L88</f>
        <v>50000</v>
      </c>
      <c r="M59" s="244">
        <f>M97+M89+M105+M92+M72+M81+M66+M60+M63+M103+M80+M88</f>
        <v>4000</v>
      </c>
      <c r="N59" s="243">
        <f>N97+N89+N105+N92+N72+N81+N66+N60+N63+N103+N80+N88+N108+N99</f>
        <v>10806222.629999999</v>
      </c>
      <c r="O59" s="244">
        <f>O97+O89+O105+O92+O72+O81+O66+O60+O63+O103+O80+O88+O108+O99</f>
        <v>10806222.629999999</v>
      </c>
      <c r="P59" s="244">
        <f t="shared" ref="P59:P66" si="30">E59+J59</f>
        <v>998382181.63</v>
      </c>
      <c r="Q59" s="311" t="b">
        <f>P59=P61+P62+P64+P65+P67+P68+P69+P70+P71+P73+P74+P75+P76+P77+P78+P79+P80+P83+P84+P85+P86+P87+P88+P90+P91+P92+P94+P95+P96+P98+P100+P103+P106+P107+P109</f>
        <v>1</v>
      </c>
      <c r="R59" s="325" t="b">
        <f>O59=[2]dod5!J54</f>
        <v>1</v>
      </c>
      <c r="S59" s="312"/>
      <c r="T59" s="311"/>
      <c r="U59" s="312"/>
      <c r="V59" s="312"/>
    </row>
    <row r="60" spans="1:22" ht="366" x14ac:dyDescent="0.2">
      <c r="A60" s="620" t="s">
        <v>451</v>
      </c>
      <c r="B60" s="620" t="s">
        <v>452</v>
      </c>
      <c r="C60" s="620"/>
      <c r="D60" s="620" t="s">
        <v>14</v>
      </c>
      <c r="E60" s="622">
        <f t="shared" ref="E60:E66" si="31">F60</f>
        <v>523967300</v>
      </c>
      <c r="F60" s="630">
        <f>F61+F62</f>
        <v>523967300</v>
      </c>
      <c r="G60" s="631">
        <f>G61+G62</f>
        <v>0</v>
      </c>
      <c r="H60" s="631">
        <f>H61+H62</f>
        <v>0</v>
      </c>
      <c r="I60" s="630">
        <f>I61+I62</f>
        <v>0</v>
      </c>
      <c r="J60" s="622">
        <f t="shared" si="29"/>
        <v>0</v>
      </c>
      <c r="K60" s="630">
        <f>K61+K62</f>
        <v>0</v>
      </c>
      <c r="L60" s="631">
        <f>L61+L62</f>
        <v>0</v>
      </c>
      <c r="M60" s="631">
        <f>M61+M62</f>
        <v>0</v>
      </c>
      <c r="N60" s="630">
        <f>N61+N62</f>
        <v>0</v>
      </c>
      <c r="O60" s="631">
        <f>O61+O62</f>
        <v>0</v>
      </c>
      <c r="P60" s="622">
        <f t="shared" si="30"/>
        <v>523967300</v>
      </c>
    </row>
    <row r="61" spans="1:22" ht="183" x14ac:dyDescent="0.2">
      <c r="A61" s="628" t="s">
        <v>453</v>
      </c>
      <c r="B61" s="628" t="s">
        <v>454</v>
      </c>
      <c r="C61" s="628" t="s">
        <v>385</v>
      </c>
      <c r="D61" s="301" t="s">
        <v>450</v>
      </c>
      <c r="E61" s="619">
        <f t="shared" si="31"/>
        <v>57500000</v>
      </c>
      <c r="F61" s="619">
        <v>57500000</v>
      </c>
      <c r="G61" s="619"/>
      <c r="H61" s="619"/>
      <c r="I61" s="619"/>
      <c r="J61" s="619">
        <f t="shared" si="29"/>
        <v>0</v>
      </c>
      <c r="K61" s="619"/>
      <c r="L61" s="619"/>
      <c r="M61" s="619"/>
      <c r="N61" s="619">
        <f>O61</f>
        <v>0</v>
      </c>
      <c r="O61" s="632"/>
      <c r="P61" s="619">
        <f t="shared" si="30"/>
        <v>57500000</v>
      </c>
    </row>
    <row r="62" spans="1:22" ht="183" x14ac:dyDescent="0.2">
      <c r="A62" s="302" t="s">
        <v>476</v>
      </c>
      <c r="B62" s="628" t="s">
        <v>477</v>
      </c>
      <c r="C62" s="628" t="s">
        <v>117</v>
      </c>
      <c r="D62" s="629" t="s">
        <v>15</v>
      </c>
      <c r="E62" s="191">
        <f t="shared" si="31"/>
        <v>466467300</v>
      </c>
      <c r="F62" s="630">
        <v>466467300</v>
      </c>
      <c r="G62" s="630"/>
      <c r="H62" s="630"/>
      <c r="I62" s="630"/>
      <c r="J62" s="619">
        <f t="shared" si="29"/>
        <v>0</v>
      </c>
      <c r="K62" s="630"/>
      <c r="L62" s="630"/>
      <c r="M62" s="630"/>
      <c r="N62" s="630">
        <f>O62</f>
        <v>0</v>
      </c>
      <c r="O62" s="630"/>
      <c r="P62" s="630">
        <f t="shared" si="30"/>
        <v>466467300</v>
      </c>
    </row>
    <row r="63" spans="1:22" ht="228.75" x14ac:dyDescent="0.2">
      <c r="A63" s="621" t="s">
        <v>478</v>
      </c>
      <c r="B63" s="621" t="s">
        <v>479</v>
      </c>
      <c r="C63" s="629"/>
      <c r="D63" s="621" t="s">
        <v>16</v>
      </c>
      <c r="E63" s="622">
        <f t="shared" si="31"/>
        <v>60000</v>
      </c>
      <c r="F63" s="622">
        <f>F64+F65</f>
        <v>60000</v>
      </c>
      <c r="G63" s="631">
        <f>G64+G65</f>
        <v>0</v>
      </c>
      <c r="H63" s="631">
        <f>H64+H65</f>
        <v>0</v>
      </c>
      <c r="I63" s="631">
        <f>I64+I65</f>
        <v>0</v>
      </c>
      <c r="J63" s="622">
        <f t="shared" si="29"/>
        <v>0</v>
      </c>
      <c r="K63" s="631">
        <f>K64+K65</f>
        <v>0</v>
      </c>
      <c r="L63" s="631">
        <f>L64+L65</f>
        <v>0</v>
      </c>
      <c r="M63" s="631">
        <f>M64+M65</f>
        <v>0</v>
      </c>
      <c r="N63" s="631">
        <f>N64+N65</f>
        <v>0</v>
      </c>
      <c r="O63" s="631">
        <f>O64+O65</f>
        <v>0</v>
      </c>
      <c r="P63" s="622">
        <f t="shared" si="30"/>
        <v>60000</v>
      </c>
    </row>
    <row r="64" spans="1:22" ht="274.5" x14ac:dyDescent="0.2">
      <c r="A64" s="629" t="s">
        <v>481</v>
      </c>
      <c r="B64" s="629" t="s">
        <v>482</v>
      </c>
      <c r="C64" s="629" t="s">
        <v>385</v>
      </c>
      <c r="D64" s="303" t="s">
        <v>480</v>
      </c>
      <c r="E64" s="619">
        <f t="shared" si="31"/>
        <v>2000</v>
      </c>
      <c r="F64" s="619">
        <v>2000</v>
      </c>
      <c r="G64" s="619"/>
      <c r="H64" s="619"/>
      <c r="I64" s="619"/>
      <c r="J64" s="619">
        <f t="shared" si="29"/>
        <v>0</v>
      </c>
      <c r="K64" s="619"/>
      <c r="L64" s="619"/>
      <c r="M64" s="619"/>
      <c r="N64" s="619">
        <f>O64</f>
        <v>0</v>
      </c>
      <c r="O64" s="632"/>
      <c r="P64" s="619">
        <f t="shared" si="30"/>
        <v>2000</v>
      </c>
    </row>
    <row r="65" spans="1:16" ht="228.75" x14ac:dyDescent="0.2">
      <c r="A65" s="629" t="s">
        <v>483</v>
      </c>
      <c r="B65" s="629" t="s">
        <v>484</v>
      </c>
      <c r="C65" s="303">
        <v>1060</v>
      </c>
      <c r="D65" s="304" t="s">
        <v>27</v>
      </c>
      <c r="E65" s="630">
        <f t="shared" si="31"/>
        <v>58000</v>
      </c>
      <c r="F65" s="630">
        <f>56400+1600</f>
        <v>58000</v>
      </c>
      <c r="G65" s="630"/>
      <c r="H65" s="630"/>
      <c r="I65" s="630"/>
      <c r="J65" s="630">
        <f t="shared" si="29"/>
        <v>0</v>
      </c>
      <c r="K65" s="630"/>
      <c r="L65" s="630"/>
      <c r="M65" s="630"/>
      <c r="N65" s="630">
        <f>O65</f>
        <v>0</v>
      </c>
      <c r="O65" s="631"/>
      <c r="P65" s="630">
        <f t="shared" si="30"/>
        <v>58000</v>
      </c>
    </row>
    <row r="66" spans="1:16" ht="274.5" x14ac:dyDescent="0.2">
      <c r="A66" s="620" t="s">
        <v>514</v>
      </c>
      <c r="B66" s="620" t="s">
        <v>515</v>
      </c>
      <c r="C66" s="620"/>
      <c r="D66" s="305" t="s">
        <v>513</v>
      </c>
      <c r="E66" s="618">
        <f t="shared" si="31"/>
        <v>73462930</v>
      </c>
      <c r="F66" s="619">
        <f>F67+F68+F69+F70+F71</f>
        <v>73462930</v>
      </c>
      <c r="G66" s="632">
        <f>G67+G68+G69+G70+G71</f>
        <v>0</v>
      </c>
      <c r="H66" s="632">
        <f>H67+H68+H69+H70+H71</f>
        <v>0</v>
      </c>
      <c r="I66" s="619">
        <f>I67+I68+I69+I70+I71</f>
        <v>0</v>
      </c>
      <c r="J66" s="618">
        <f t="shared" si="29"/>
        <v>100000</v>
      </c>
      <c r="K66" s="619">
        <f>K67+K68+K69+K70+K71</f>
        <v>0</v>
      </c>
      <c r="L66" s="632">
        <f>L67+L68+L69+L70+L71</f>
        <v>0</v>
      </c>
      <c r="M66" s="632">
        <f>M67+M68+M69+M70+M71</f>
        <v>0</v>
      </c>
      <c r="N66" s="619">
        <f>N67+N68+N69+N70+N71</f>
        <v>100000</v>
      </c>
      <c r="O66" s="632">
        <f>O67+O68+O69+O70+O71</f>
        <v>100000</v>
      </c>
      <c r="P66" s="618">
        <f t="shared" si="30"/>
        <v>73562930</v>
      </c>
    </row>
    <row r="67" spans="1:16" s="203" customFormat="1" ht="137.25" x14ac:dyDescent="0.2">
      <c r="A67" s="628" t="s">
        <v>516</v>
      </c>
      <c r="B67" s="628" t="s">
        <v>517</v>
      </c>
      <c r="C67" s="628" t="s">
        <v>385</v>
      </c>
      <c r="D67" s="306" t="s">
        <v>518</v>
      </c>
      <c r="E67" s="619">
        <f>F67</f>
        <v>315130</v>
      </c>
      <c r="F67" s="619">
        <v>315130</v>
      </c>
      <c r="G67" s="619"/>
      <c r="H67" s="619"/>
      <c r="I67" s="619"/>
      <c r="J67" s="619">
        <f>K67+N67</f>
        <v>100000</v>
      </c>
      <c r="K67" s="619"/>
      <c r="L67" s="619"/>
      <c r="M67" s="619"/>
      <c r="N67" s="619">
        <f>O67</f>
        <v>100000</v>
      </c>
      <c r="O67" s="619">
        <v>100000</v>
      </c>
      <c r="P67" s="619">
        <f>E67+J67</f>
        <v>415130</v>
      </c>
    </row>
    <row r="68" spans="1:16" s="203" customFormat="1" ht="137.25" x14ac:dyDescent="0.2">
      <c r="A68" s="629" t="s">
        <v>519</v>
      </c>
      <c r="B68" s="629" t="s">
        <v>520</v>
      </c>
      <c r="C68" s="629" t="s">
        <v>386</v>
      </c>
      <c r="D68" s="629" t="s">
        <v>24</v>
      </c>
      <c r="E68" s="630">
        <f t="shared" ref="E68:E109" si="32">F68</f>
        <v>1550000</v>
      </c>
      <c r="F68" s="630">
        <f>(1750000)-200000</f>
        <v>1550000</v>
      </c>
      <c r="G68" s="630"/>
      <c r="H68" s="630"/>
      <c r="I68" s="630"/>
      <c r="J68" s="630">
        <f t="shared" ref="J68:J109" si="33">K68+N68</f>
        <v>0</v>
      </c>
      <c r="K68" s="630"/>
      <c r="L68" s="630"/>
      <c r="M68" s="630"/>
      <c r="N68" s="630">
        <f>O68</f>
        <v>0</v>
      </c>
      <c r="O68" s="630"/>
      <c r="P68" s="630">
        <f t="shared" ref="P68:P91" si="34">E68+J68</f>
        <v>1550000</v>
      </c>
    </row>
    <row r="69" spans="1:16" s="203" customFormat="1" ht="183" x14ac:dyDescent="0.2">
      <c r="A69" s="629" t="s">
        <v>522</v>
      </c>
      <c r="B69" s="629" t="s">
        <v>523</v>
      </c>
      <c r="C69" s="629" t="s">
        <v>386</v>
      </c>
      <c r="D69" s="628" t="s">
        <v>25</v>
      </c>
      <c r="E69" s="630">
        <f t="shared" si="32"/>
        <v>5000000</v>
      </c>
      <c r="F69" s="630">
        <v>5000000</v>
      </c>
      <c r="G69" s="630"/>
      <c r="H69" s="630"/>
      <c r="I69" s="630"/>
      <c r="J69" s="630">
        <f t="shared" si="33"/>
        <v>0</v>
      </c>
      <c r="K69" s="630"/>
      <c r="L69" s="630"/>
      <c r="M69" s="630"/>
      <c r="N69" s="630">
        <f>O69</f>
        <v>0</v>
      </c>
      <c r="O69" s="630"/>
      <c r="P69" s="630">
        <f t="shared" si="34"/>
        <v>5000000</v>
      </c>
    </row>
    <row r="70" spans="1:16" s="203" customFormat="1" ht="183" x14ac:dyDescent="0.2">
      <c r="A70" s="628" t="s">
        <v>524</v>
      </c>
      <c r="B70" s="628" t="s">
        <v>521</v>
      </c>
      <c r="C70" s="628" t="s">
        <v>386</v>
      </c>
      <c r="D70" s="628" t="s">
        <v>26</v>
      </c>
      <c r="E70" s="630">
        <f t="shared" si="32"/>
        <v>400000</v>
      </c>
      <c r="F70" s="630">
        <v>400000</v>
      </c>
      <c r="G70" s="630"/>
      <c r="H70" s="630"/>
      <c r="I70" s="630"/>
      <c r="J70" s="630">
        <f t="shared" si="33"/>
        <v>0</v>
      </c>
      <c r="K70" s="630"/>
      <c r="L70" s="630"/>
      <c r="M70" s="630"/>
      <c r="N70" s="630">
        <f>O70</f>
        <v>0</v>
      </c>
      <c r="O70" s="630"/>
      <c r="P70" s="630">
        <f t="shared" si="34"/>
        <v>400000</v>
      </c>
    </row>
    <row r="71" spans="1:16" s="203" customFormat="1" ht="183" x14ac:dyDescent="0.2">
      <c r="A71" s="628" t="s">
        <v>525</v>
      </c>
      <c r="B71" s="628" t="s">
        <v>526</v>
      </c>
      <c r="C71" s="628" t="s">
        <v>386</v>
      </c>
      <c r="D71" s="628" t="s">
        <v>31</v>
      </c>
      <c r="E71" s="630">
        <f t="shared" si="32"/>
        <v>66197800</v>
      </c>
      <c r="F71" s="630">
        <f>(59197800)+7000000</f>
        <v>66197800</v>
      </c>
      <c r="G71" s="630"/>
      <c r="H71" s="630"/>
      <c r="I71" s="630"/>
      <c r="J71" s="630">
        <f t="shared" si="33"/>
        <v>0</v>
      </c>
      <c r="K71" s="630"/>
      <c r="L71" s="630"/>
      <c r="M71" s="630"/>
      <c r="N71" s="630">
        <f>O71</f>
        <v>0</v>
      </c>
      <c r="O71" s="630"/>
      <c r="P71" s="630">
        <f t="shared" si="34"/>
        <v>66197800</v>
      </c>
    </row>
    <row r="72" spans="1:16" ht="183" x14ac:dyDescent="0.2">
      <c r="A72" s="621" t="s">
        <v>455</v>
      </c>
      <c r="B72" s="621" t="s">
        <v>456</v>
      </c>
      <c r="C72" s="621"/>
      <c r="D72" s="621" t="s">
        <v>733</v>
      </c>
      <c r="E72" s="622">
        <f t="shared" si="32"/>
        <v>231787720</v>
      </c>
      <c r="F72" s="630">
        <f>SUM(F73:F79)</f>
        <v>231787720</v>
      </c>
      <c r="G72" s="631">
        <f>SUM(G73:G79)</f>
        <v>0</v>
      </c>
      <c r="H72" s="631">
        <f>SUM(H73:H79)</f>
        <v>0</v>
      </c>
      <c r="I72" s="630">
        <f>SUM(I73:I79)</f>
        <v>0</v>
      </c>
      <c r="J72" s="622">
        <f t="shared" si="33"/>
        <v>0</v>
      </c>
      <c r="K72" s="630">
        <f>SUM(K73:K79)</f>
        <v>0</v>
      </c>
      <c r="L72" s="631">
        <f>SUM(L73:L79)</f>
        <v>0</v>
      </c>
      <c r="M72" s="631">
        <f>SUM(M73:M79)</f>
        <v>0</v>
      </c>
      <c r="N72" s="630">
        <f>SUM(N73:N79)</f>
        <v>0</v>
      </c>
      <c r="O72" s="631">
        <f>SUM(O73:O79)</f>
        <v>0</v>
      </c>
      <c r="P72" s="622">
        <f t="shared" si="34"/>
        <v>231787720</v>
      </c>
    </row>
    <row r="73" spans="1:16" s="203" customFormat="1" ht="91.5" x14ac:dyDescent="0.2">
      <c r="A73" s="629" t="s">
        <v>465</v>
      </c>
      <c r="B73" s="629" t="s">
        <v>457</v>
      </c>
      <c r="C73" s="629" t="s">
        <v>353</v>
      </c>
      <c r="D73" s="629" t="s">
        <v>18</v>
      </c>
      <c r="E73" s="630">
        <f t="shared" si="32"/>
        <v>2853000</v>
      </c>
      <c r="F73" s="630">
        <v>2853000</v>
      </c>
      <c r="G73" s="630"/>
      <c r="H73" s="630"/>
      <c r="I73" s="630"/>
      <c r="J73" s="630">
        <f t="shared" si="33"/>
        <v>0</v>
      </c>
      <c r="K73" s="630"/>
      <c r="L73" s="630"/>
      <c r="M73" s="630"/>
      <c r="N73" s="630">
        <f t="shared" ref="N73:N88" si="35">O73</f>
        <v>0</v>
      </c>
      <c r="O73" s="630"/>
      <c r="P73" s="630">
        <f t="shared" si="34"/>
        <v>2853000</v>
      </c>
    </row>
    <row r="74" spans="1:16" s="203" customFormat="1" ht="91.5" x14ac:dyDescent="0.2">
      <c r="A74" s="629" t="s">
        <v>466</v>
      </c>
      <c r="B74" s="629" t="s">
        <v>458</v>
      </c>
      <c r="C74" s="629" t="s">
        <v>353</v>
      </c>
      <c r="D74" s="629" t="s">
        <v>464</v>
      </c>
      <c r="E74" s="630">
        <f>F74</f>
        <v>305000</v>
      </c>
      <c r="F74" s="630">
        <v>305000</v>
      </c>
      <c r="G74" s="630"/>
      <c r="H74" s="630"/>
      <c r="I74" s="630"/>
      <c r="J74" s="630">
        <f>K74+N74</f>
        <v>0</v>
      </c>
      <c r="K74" s="630"/>
      <c r="L74" s="630"/>
      <c r="M74" s="630"/>
      <c r="N74" s="630">
        <f>O74</f>
        <v>0</v>
      </c>
      <c r="O74" s="630"/>
      <c r="P74" s="630">
        <f>E74+J74</f>
        <v>305000</v>
      </c>
    </row>
    <row r="75" spans="1:16" s="203" customFormat="1" ht="91.5" x14ac:dyDescent="0.2">
      <c r="A75" s="629" t="s">
        <v>467</v>
      </c>
      <c r="B75" s="629" t="s">
        <v>459</v>
      </c>
      <c r="C75" s="629" t="s">
        <v>353</v>
      </c>
      <c r="D75" s="629" t="s">
        <v>19</v>
      </c>
      <c r="E75" s="630">
        <f t="shared" si="32"/>
        <v>155242720</v>
      </c>
      <c r="F75" s="630">
        <f>155000000+6123900+780000-(6661180)</f>
        <v>155242720</v>
      </c>
      <c r="G75" s="630"/>
      <c r="H75" s="630"/>
      <c r="I75" s="630"/>
      <c r="J75" s="630">
        <f t="shared" si="33"/>
        <v>0</v>
      </c>
      <c r="K75" s="630"/>
      <c r="L75" s="630"/>
      <c r="M75" s="630"/>
      <c r="N75" s="630">
        <f t="shared" si="35"/>
        <v>0</v>
      </c>
      <c r="O75" s="630"/>
      <c r="P75" s="630">
        <f t="shared" si="34"/>
        <v>155242720</v>
      </c>
    </row>
    <row r="76" spans="1:16" s="203" customFormat="1" ht="137.25" x14ac:dyDescent="0.2">
      <c r="A76" s="629" t="s">
        <v>468</v>
      </c>
      <c r="B76" s="629" t="s">
        <v>460</v>
      </c>
      <c r="C76" s="629" t="s">
        <v>353</v>
      </c>
      <c r="D76" s="629" t="s">
        <v>20</v>
      </c>
      <c r="E76" s="630">
        <f t="shared" si="32"/>
        <v>4390000</v>
      </c>
      <c r="F76" s="630">
        <v>4390000</v>
      </c>
      <c r="G76" s="630"/>
      <c r="H76" s="630"/>
      <c r="I76" s="630"/>
      <c r="J76" s="630">
        <f t="shared" si="33"/>
        <v>0</v>
      </c>
      <c r="K76" s="630"/>
      <c r="L76" s="630"/>
      <c r="M76" s="630"/>
      <c r="N76" s="630">
        <f t="shared" si="35"/>
        <v>0</v>
      </c>
      <c r="O76" s="630"/>
      <c r="P76" s="630">
        <f t="shared" si="34"/>
        <v>4390000</v>
      </c>
    </row>
    <row r="77" spans="1:16" s="203" customFormat="1" ht="91.5" x14ac:dyDescent="0.2">
      <c r="A77" s="629" t="s">
        <v>469</v>
      </c>
      <c r="B77" s="629" t="s">
        <v>461</v>
      </c>
      <c r="C77" s="629" t="s">
        <v>353</v>
      </c>
      <c r="D77" s="629" t="s">
        <v>21</v>
      </c>
      <c r="E77" s="630">
        <f t="shared" si="32"/>
        <v>24267000</v>
      </c>
      <c r="F77" s="630">
        <v>24267000</v>
      </c>
      <c r="G77" s="630"/>
      <c r="H77" s="630"/>
      <c r="I77" s="630"/>
      <c r="J77" s="630">
        <f t="shared" si="33"/>
        <v>0</v>
      </c>
      <c r="K77" s="630"/>
      <c r="L77" s="630"/>
      <c r="M77" s="630"/>
      <c r="N77" s="630">
        <f t="shared" si="35"/>
        <v>0</v>
      </c>
      <c r="O77" s="630"/>
      <c r="P77" s="630">
        <f t="shared" si="34"/>
        <v>24267000</v>
      </c>
    </row>
    <row r="78" spans="1:16" s="203" customFormat="1" ht="91.5" x14ac:dyDescent="0.2">
      <c r="A78" s="629" t="s">
        <v>470</v>
      </c>
      <c r="B78" s="629" t="s">
        <v>462</v>
      </c>
      <c r="C78" s="629" t="s">
        <v>353</v>
      </c>
      <c r="D78" s="629" t="s">
        <v>22</v>
      </c>
      <c r="E78" s="630">
        <f t="shared" si="32"/>
        <v>3330000</v>
      </c>
      <c r="F78" s="630">
        <v>3330000</v>
      </c>
      <c r="G78" s="630"/>
      <c r="H78" s="630"/>
      <c r="I78" s="630"/>
      <c r="J78" s="630">
        <f t="shared" si="33"/>
        <v>0</v>
      </c>
      <c r="K78" s="630"/>
      <c r="L78" s="630"/>
      <c r="M78" s="630"/>
      <c r="N78" s="630">
        <f t="shared" si="35"/>
        <v>0</v>
      </c>
      <c r="O78" s="630"/>
      <c r="P78" s="630">
        <f t="shared" si="34"/>
        <v>3330000</v>
      </c>
    </row>
    <row r="79" spans="1:16" s="203" customFormat="1" ht="137.25" x14ac:dyDescent="0.2">
      <c r="A79" s="629" t="s">
        <v>471</v>
      </c>
      <c r="B79" s="629" t="s">
        <v>463</v>
      </c>
      <c r="C79" s="629" t="s">
        <v>353</v>
      </c>
      <c r="D79" s="629" t="s">
        <v>23</v>
      </c>
      <c r="E79" s="630">
        <f t="shared" si="32"/>
        <v>41400000</v>
      </c>
      <c r="F79" s="630">
        <v>41400000</v>
      </c>
      <c r="G79" s="630"/>
      <c r="H79" s="630"/>
      <c r="I79" s="630"/>
      <c r="J79" s="630">
        <f t="shared" si="33"/>
        <v>0</v>
      </c>
      <c r="K79" s="630"/>
      <c r="L79" s="630"/>
      <c r="M79" s="630"/>
      <c r="N79" s="630">
        <f t="shared" si="35"/>
        <v>0</v>
      </c>
      <c r="O79" s="630"/>
      <c r="P79" s="630">
        <f t="shared" si="34"/>
        <v>41400000</v>
      </c>
    </row>
    <row r="80" spans="1:16" ht="183" x14ac:dyDescent="0.2">
      <c r="A80" s="621" t="s">
        <v>485</v>
      </c>
      <c r="B80" s="621" t="s">
        <v>472</v>
      </c>
      <c r="C80" s="621" t="s">
        <v>386</v>
      </c>
      <c r="D80" s="621" t="s">
        <v>17</v>
      </c>
      <c r="E80" s="622">
        <f t="shared" si="32"/>
        <v>174859</v>
      </c>
      <c r="F80" s="630">
        <v>174859</v>
      </c>
      <c r="G80" s="631"/>
      <c r="H80" s="631"/>
      <c r="I80" s="630"/>
      <c r="J80" s="622">
        <f t="shared" si="33"/>
        <v>0</v>
      </c>
      <c r="K80" s="630"/>
      <c r="L80" s="631"/>
      <c r="M80" s="631"/>
      <c r="N80" s="630">
        <f t="shared" si="35"/>
        <v>0</v>
      </c>
      <c r="O80" s="631"/>
      <c r="P80" s="622">
        <f t="shared" si="34"/>
        <v>174859</v>
      </c>
    </row>
    <row r="81" spans="1:16" ht="361.5" customHeight="1" x14ac:dyDescent="0.2">
      <c r="A81" s="720" t="s">
        <v>475</v>
      </c>
      <c r="B81" s="721" t="s">
        <v>473</v>
      </c>
      <c r="C81" s="721"/>
      <c r="D81" s="307" t="s">
        <v>737</v>
      </c>
      <c r="E81" s="723">
        <f t="shared" si="32"/>
        <v>105286800</v>
      </c>
      <c r="F81" s="724">
        <f>SUM(F83:F87)</f>
        <v>105286800</v>
      </c>
      <c r="G81" s="724"/>
      <c r="H81" s="724"/>
      <c r="I81" s="724"/>
      <c r="J81" s="725">
        <f t="shared" si="33"/>
        <v>0</v>
      </c>
      <c r="K81" s="724"/>
      <c r="L81" s="724"/>
      <c r="M81" s="724"/>
      <c r="N81" s="724">
        <f t="shared" si="35"/>
        <v>0</v>
      </c>
      <c r="O81" s="724"/>
      <c r="P81" s="725">
        <f t="shared" si="34"/>
        <v>105286800</v>
      </c>
    </row>
    <row r="82" spans="1:16" ht="336" customHeight="1" x14ac:dyDescent="0.2">
      <c r="A82" s="694"/>
      <c r="B82" s="722"/>
      <c r="C82" s="722"/>
      <c r="D82" s="308" t="s">
        <v>738</v>
      </c>
      <c r="E82" s="722"/>
      <c r="F82" s="719"/>
      <c r="G82" s="694"/>
      <c r="H82" s="694"/>
      <c r="I82" s="719"/>
      <c r="J82" s="694"/>
      <c r="K82" s="719"/>
      <c r="L82" s="694"/>
      <c r="M82" s="694"/>
      <c r="N82" s="719"/>
      <c r="O82" s="694"/>
      <c r="P82" s="694"/>
    </row>
    <row r="83" spans="1:16" s="203" customFormat="1" ht="183" x14ac:dyDescent="0.2">
      <c r="A83" s="629" t="s">
        <v>739</v>
      </c>
      <c r="B83" s="629" t="s">
        <v>740</v>
      </c>
      <c r="C83" s="629" t="s">
        <v>377</v>
      </c>
      <c r="D83" s="629" t="s">
        <v>736</v>
      </c>
      <c r="E83" s="630">
        <f t="shared" ref="E83:E87" si="36">F83</f>
        <v>62560700</v>
      </c>
      <c r="F83" s="630">
        <f>62560700+270822.5-(270822.5)</f>
        <v>62560700</v>
      </c>
      <c r="G83" s="630"/>
      <c r="H83" s="630"/>
      <c r="I83" s="630"/>
      <c r="J83" s="630">
        <f t="shared" ref="J83:J84" si="37">K83+N83</f>
        <v>0</v>
      </c>
      <c r="K83" s="630"/>
      <c r="L83" s="630"/>
      <c r="M83" s="630"/>
      <c r="N83" s="630">
        <f t="shared" ref="N83:N84" si="38">O83</f>
        <v>0</v>
      </c>
      <c r="O83" s="630"/>
      <c r="P83" s="630">
        <f t="shared" ref="P83:P87" si="39">E83+J83</f>
        <v>62560700</v>
      </c>
    </row>
    <row r="84" spans="1:16" s="203" customFormat="1" ht="274.5" x14ac:dyDescent="0.2">
      <c r="A84" s="629" t="s">
        <v>846</v>
      </c>
      <c r="B84" s="629" t="s">
        <v>847</v>
      </c>
      <c r="C84" s="629" t="s">
        <v>377</v>
      </c>
      <c r="D84" s="629" t="s">
        <v>848</v>
      </c>
      <c r="E84" s="630">
        <f t="shared" si="36"/>
        <v>16226448.640000001</v>
      </c>
      <c r="F84" s="630">
        <f>(10757096.4+6300+(963212.07+963052.24-963212.07))+4500000</f>
        <v>16226448.640000001</v>
      </c>
      <c r="G84" s="630"/>
      <c r="H84" s="630"/>
      <c r="I84" s="630"/>
      <c r="J84" s="630">
        <f t="shared" si="37"/>
        <v>0</v>
      </c>
      <c r="K84" s="630"/>
      <c r="L84" s="630"/>
      <c r="M84" s="630"/>
      <c r="N84" s="630">
        <f t="shared" si="38"/>
        <v>0</v>
      </c>
      <c r="O84" s="630"/>
      <c r="P84" s="630">
        <f t="shared" si="39"/>
        <v>16226448.640000001</v>
      </c>
    </row>
    <row r="85" spans="1:16" s="203" customFormat="1" ht="183" x14ac:dyDescent="0.2">
      <c r="A85" s="629" t="s">
        <v>734</v>
      </c>
      <c r="B85" s="629" t="s">
        <v>735</v>
      </c>
      <c r="C85" s="629" t="s">
        <v>377</v>
      </c>
      <c r="D85" s="629" t="s">
        <v>664</v>
      </c>
      <c r="E85" s="630">
        <f t="shared" si="36"/>
        <v>24737747.760000002</v>
      </c>
      <c r="F85" s="630">
        <f>(11605800+18595000-(963052.24))-4500000</f>
        <v>24737747.760000002</v>
      </c>
      <c r="G85" s="630"/>
      <c r="H85" s="630"/>
      <c r="I85" s="630"/>
      <c r="J85" s="630">
        <f>K85+N85</f>
        <v>0</v>
      </c>
      <c r="K85" s="630"/>
      <c r="L85" s="630"/>
      <c r="M85" s="630"/>
      <c r="N85" s="630"/>
      <c r="O85" s="630"/>
      <c r="P85" s="630">
        <f t="shared" si="39"/>
        <v>24737747.760000002</v>
      </c>
    </row>
    <row r="86" spans="1:16" s="203" customFormat="1" ht="274.5" x14ac:dyDescent="0.2">
      <c r="A86" s="629" t="s">
        <v>743</v>
      </c>
      <c r="B86" s="629" t="s">
        <v>744</v>
      </c>
      <c r="C86" s="629" t="s">
        <v>377</v>
      </c>
      <c r="D86" s="629" t="s">
        <v>745</v>
      </c>
      <c r="E86" s="630">
        <f t="shared" si="36"/>
        <v>1521903.5999999996</v>
      </c>
      <c r="F86" s="630">
        <f>(12285300)-10757096.4-6300</f>
        <v>1521903.5999999996</v>
      </c>
      <c r="G86" s="630"/>
      <c r="H86" s="630"/>
      <c r="I86" s="630"/>
      <c r="J86" s="630">
        <f>K86+N86</f>
        <v>0</v>
      </c>
      <c r="K86" s="630"/>
      <c r="L86" s="630"/>
      <c r="M86" s="630"/>
      <c r="N86" s="630"/>
      <c r="O86" s="630"/>
      <c r="P86" s="630">
        <f t="shared" si="39"/>
        <v>1521903.5999999996</v>
      </c>
    </row>
    <row r="87" spans="1:16" s="203" customFormat="1" ht="320.25" x14ac:dyDescent="0.2">
      <c r="A87" s="629" t="s">
        <v>741</v>
      </c>
      <c r="B87" s="629" t="s">
        <v>742</v>
      </c>
      <c r="C87" s="629" t="s">
        <v>377</v>
      </c>
      <c r="D87" s="629" t="s">
        <v>746</v>
      </c>
      <c r="E87" s="630">
        <f t="shared" si="36"/>
        <v>240000</v>
      </c>
      <c r="F87" s="630">
        <v>240000</v>
      </c>
      <c r="G87" s="630"/>
      <c r="H87" s="630"/>
      <c r="I87" s="630"/>
      <c r="J87" s="630">
        <f>K87+N87</f>
        <v>0</v>
      </c>
      <c r="K87" s="630"/>
      <c r="L87" s="630"/>
      <c r="M87" s="630"/>
      <c r="N87" s="630"/>
      <c r="O87" s="630"/>
      <c r="P87" s="630">
        <f t="shared" si="39"/>
        <v>240000</v>
      </c>
    </row>
    <row r="88" spans="1:16" ht="163.5" customHeight="1" x14ac:dyDescent="0.2">
      <c r="A88" s="621" t="s">
        <v>486</v>
      </c>
      <c r="B88" s="621" t="s">
        <v>474</v>
      </c>
      <c r="C88" s="621" t="s">
        <v>385</v>
      </c>
      <c r="D88" s="621" t="s">
        <v>665</v>
      </c>
      <c r="E88" s="622">
        <f t="shared" si="32"/>
        <v>188940</v>
      </c>
      <c r="F88" s="630">
        <v>188940</v>
      </c>
      <c r="G88" s="631"/>
      <c r="H88" s="631"/>
      <c r="I88" s="630"/>
      <c r="J88" s="622">
        <f t="shared" si="33"/>
        <v>0</v>
      </c>
      <c r="K88" s="630"/>
      <c r="L88" s="631"/>
      <c r="M88" s="631"/>
      <c r="N88" s="630">
        <f t="shared" si="35"/>
        <v>0</v>
      </c>
      <c r="O88" s="631"/>
      <c r="P88" s="622">
        <f t="shared" si="34"/>
        <v>188940</v>
      </c>
    </row>
    <row r="89" spans="1:16" ht="274.5" x14ac:dyDescent="0.2">
      <c r="A89" s="621" t="s">
        <v>507</v>
      </c>
      <c r="B89" s="621" t="s">
        <v>508</v>
      </c>
      <c r="C89" s="621"/>
      <c r="D89" s="621" t="s">
        <v>666</v>
      </c>
      <c r="E89" s="622">
        <f>F89</f>
        <v>18569643</v>
      </c>
      <c r="F89" s="241">
        <f>F90+F91</f>
        <v>18569643</v>
      </c>
      <c r="G89" s="631">
        <f>G90+G91</f>
        <v>12084800</v>
      </c>
      <c r="H89" s="631">
        <f>H90+H91</f>
        <v>551100</v>
      </c>
      <c r="I89" s="630">
        <f>I90+I91</f>
        <v>0</v>
      </c>
      <c r="J89" s="622">
        <f t="shared" si="33"/>
        <v>703200</v>
      </c>
      <c r="K89" s="630">
        <f>K90+K91</f>
        <v>94000</v>
      </c>
      <c r="L89" s="631">
        <f>L90+L91</f>
        <v>50000</v>
      </c>
      <c r="M89" s="631">
        <f>M90+M91</f>
        <v>4000</v>
      </c>
      <c r="N89" s="630">
        <f>N90+N91</f>
        <v>609200</v>
      </c>
      <c r="O89" s="631">
        <f>O90+O91</f>
        <v>609200</v>
      </c>
      <c r="P89" s="622">
        <f t="shared" si="34"/>
        <v>19272843</v>
      </c>
    </row>
    <row r="90" spans="1:16" ht="301.5" customHeight="1" x14ac:dyDescent="0.2">
      <c r="A90" s="629" t="s">
        <v>511</v>
      </c>
      <c r="B90" s="629" t="s">
        <v>509</v>
      </c>
      <c r="C90" s="629" t="s">
        <v>378</v>
      </c>
      <c r="D90" s="629" t="s">
        <v>52</v>
      </c>
      <c r="E90" s="630">
        <f t="shared" si="32"/>
        <v>14058400</v>
      </c>
      <c r="F90" s="630">
        <f>((13614700)+180500)+200000+36900+6100+20200</f>
        <v>14058400</v>
      </c>
      <c r="G90" s="630">
        <f>(9134300)+36900</f>
        <v>9171200</v>
      </c>
      <c r="H90" s="630">
        <f>(238000)+20200</f>
        <v>258200</v>
      </c>
      <c r="I90" s="630"/>
      <c r="J90" s="630">
        <f t="shared" si="33"/>
        <v>284500</v>
      </c>
      <c r="K90" s="630">
        <v>94000</v>
      </c>
      <c r="L90" s="630">
        <v>50000</v>
      </c>
      <c r="M90" s="630">
        <v>4000</v>
      </c>
      <c r="N90" s="630">
        <f>O90</f>
        <v>190500</v>
      </c>
      <c r="O90" s="630">
        <f>(112000)+43500+35000</f>
        <v>190500</v>
      </c>
      <c r="P90" s="630">
        <f t="shared" si="34"/>
        <v>14342900</v>
      </c>
    </row>
    <row r="91" spans="1:16" ht="137.25" x14ac:dyDescent="0.2">
      <c r="A91" s="629" t="s">
        <v>512</v>
      </c>
      <c r="B91" s="629" t="s">
        <v>510</v>
      </c>
      <c r="C91" s="629" t="s">
        <v>377</v>
      </c>
      <c r="D91" s="629" t="s">
        <v>667</v>
      </c>
      <c r="E91" s="630">
        <f t="shared" si="32"/>
        <v>4511243</v>
      </c>
      <c r="F91" s="630">
        <f>(2311800+2069300)+75100+16500+500+38043</f>
        <v>4511243</v>
      </c>
      <c r="G91" s="630">
        <f>(1573500+1265000)+75100</f>
        <v>2913600</v>
      </c>
      <c r="H91" s="630">
        <f>(177900+114500)+500</f>
        <v>292900</v>
      </c>
      <c r="I91" s="630"/>
      <c r="J91" s="630">
        <f t="shared" si="33"/>
        <v>418700</v>
      </c>
      <c r="K91" s="630"/>
      <c r="L91" s="630"/>
      <c r="M91" s="630"/>
      <c r="N91" s="630">
        <f>O91</f>
        <v>418700</v>
      </c>
      <c r="O91" s="630">
        <f>(170000)+236700+12000</f>
        <v>418700</v>
      </c>
      <c r="P91" s="630">
        <f t="shared" si="34"/>
        <v>4929943</v>
      </c>
    </row>
    <row r="92" spans="1:16" ht="409.5" x14ac:dyDescent="0.2">
      <c r="A92" s="621" t="s">
        <v>504</v>
      </c>
      <c r="B92" s="621" t="s">
        <v>505</v>
      </c>
      <c r="C92" s="621" t="s">
        <v>377</v>
      </c>
      <c r="D92" s="621" t="s">
        <v>668</v>
      </c>
      <c r="E92" s="622">
        <f t="shared" si="32"/>
        <v>1375600</v>
      </c>
      <c r="F92" s="630">
        <f>1375600+240000-240000</f>
        <v>1375600</v>
      </c>
      <c r="G92" s="631"/>
      <c r="H92" s="631"/>
      <c r="I92" s="630"/>
      <c r="J92" s="622">
        <f t="shared" si="33"/>
        <v>0</v>
      </c>
      <c r="K92" s="630">
        <v>0</v>
      </c>
      <c r="L92" s="631"/>
      <c r="M92" s="631"/>
      <c r="N92" s="630">
        <f>O92</f>
        <v>0</v>
      </c>
      <c r="O92" s="631">
        <v>0</v>
      </c>
      <c r="P92" s="622">
        <f>+J92+E92</f>
        <v>1375600</v>
      </c>
    </row>
    <row r="93" spans="1:16" ht="137.25" x14ac:dyDescent="0.2">
      <c r="A93" s="621" t="s">
        <v>669</v>
      </c>
      <c r="B93" s="621" t="s">
        <v>670</v>
      </c>
      <c r="C93" s="621"/>
      <c r="D93" s="621" t="s">
        <v>671</v>
      </c>
      <c r="E93" s="622">
        <f t="shared" si="32"/>
        <v>123527</v>
      </c>
      <c r="F93" s="630">
        <f>SUM(F94:F95)</f>
        <v>123527</v>
      </c>
      <c r="G93" s="631"/>
      <c r="H93" s="631"/>
      <c r="I93" s="630"/>
      <c r="J93" s="622">
        <f t="shared" si="33"/>
        <v>0</v>
      </c>
      <c r="K93" s="630">
        <v>0</v>
      </c>
      <c r="L93" s="631"/>
      <c r="M93" s="631"/>
      <c r="N93" s="630">
        <f>O93</f>
        <v>0</v>
      </c>
      <c r="O93" s="631">
        <v>0</v>
      </c>
      <c r="P93" s="622">
        <f>+J93+E93</f>
        <v>123527</v>
      </c>
    </row>
    <row r="94" spans="1:16" ht="274.5" x14ac:dyDescent="0.2">
      <c r="A94" s="629" t="s">
        <v>672</v>
      </c>
      <c r="B94" s="629" t="s">
        <v>673</v>
      </c>
      <c r="C94" s="629" t="s">
        <v>377</v>
      </c>
      <c r="D94" s="629" t="s">
        <v>747</v>
      </c>
      <c r="E94" s="630">
        <f t="shared" si="32"/>
        <v>123359</v>
      </c>
      <c r="F94" s="630">
        <v>123359</v>
      </c>
      <c r="G94" s="630"/>
      <c r="H94" s="630"/>
      <c r="I94" s="630"/>
      <c r="J94" s="630">
        <f t="shared" si="33"/>
        <v>0</v>
      </c>
      <c r="K94" s="630"/>
      <c r="L94" s="630"/>
      <c r="M94" s="630"/>
      <c r="N94" s="630">
        <f t="shared" ref="N94:N100" si="40">O94</f>
        <v>0</v>
      </c>
      <c r="O94" s="631"/>
      <c r="P94" s="630">
        <f>+J94+E94</f>
        <v>123359</v>
      </c>
    </row>
    <row r="95" spans="1:16" ht="112.5" customHeight="1" x14ac:dyDescent="0.2">
      <c r="A95" s="629" t="s">
        <v>674</v>
      </c>
      <c r="B95" s="629" t="s">
        <v>675</v>
      </c>
      <c r="C95" s="629" t="s">
        <v>377</v>
      </c>
      <c r="D95" s="629" t="s">
        <v>748</v>
      </c>
      <c r="E95" s="630">
        <f t="shared" si="32"/>
        <v>168</v>
      </c>
      <c r="F95" s="630">
        <v>168</v>
      </c>
      <c r="G95" s="630"/>
      <c r="H95" s="630"/>
      <c r="I95" s="630"/>
      <c r="J95" s="630">
        <f t="shared" si="33"/>
        <v>0</v>
      </c>
      <c r="K95" s="630"/>
      <c r="L95" s="630"/>
      <c r="M95" s="630"/>
      <c r="N95" s="630">
        <f t="shared" si="40"/>
        <v>0</v>
      </c>
      <c r="O95" s="631"/>
      <c r="P95" s="630">
        <f>+J95+E95</f>
        <v>168</v>
      </c>
    </row>
    <row r="96" spans="1:16" ht="366" x14ac:dyDescent="0.2">
      <c r="A96" s="621" t="s">
        <v>751</v>
      </c>
      <c r="B96" s="621" t="s">
        <v>750</v>
      </c>
      <c r="C96" s="621" t="s">
        <v>117</v>
      </c>
      <c r="D96" s="621" t="s">
        <v>749</v>
      </c>
      <c r="E96" s="622">
        <f t="shared" si="32"/>
        <v>2026990</v>
      </c>
      <c r="F96" s="630">
        <v>2026990</v>
      </c>
      <c r="G96" s="631">
        <f t="shared" ref="G96:H97" si="41">G97</f>
        <v>0</v>
      </c>
      <c r="H96" s="631">
        <f t="shared" si="41"/>
        <v>0</v>
      </c>
      <c r="I96" s="630"/>
      <c r="J96" s="622">
        <f t="shared" si="33"/>
        <v>0</v>
      </c>
      <c r="K96" s="630">
        <f t="shared" ref="K96:M99" si="42">K97</f>
        <v>0</v>
      </c>
      <c r="L96" s="631">
        <f t="shared" si="42"/>
        <v>0</v>
      </c>
      <c r="M96" s="631">
        <f t="shared" si="42"/>
        <v>0</v>
      </c>
      <c r="N96" s="630">
        <f t="shared" si="40"/>
        <v>0</v>
      </c>
      <c r="O96" s="631">
        <f>O97</f>
        <v>0</v>
      </c>
      <c r="P96" s="622">
        <f>E96+J96</f>
        <v>2026990</v>
      </c>
    </row>
    <row r="97" spans="1:18" ht="91.5" x14ac:dyDescent="0.2">
      <c r="A97" s="621" t="s">
        <v>676</v>
      </c>
      <c r="B97" s="621" t="s">
        <v>677</v>
      </c>
      <c r="C97" s="621"/>
      <c r="D97" s="309" t="s">
        <v>50</v>
      </c>
      <c r="E97" s="622">
        <f t="shared" si="32"/>
        <v>500000</v>
      </c>
      <c r="F97" s="630">
        <f>F98</f>
        <v>500000</v>
      </c>
      <c r="G97" s="631">
        <f t="shared" si="41"/>
        <v>0</v>
      </c>
      <c r="H97" s="631">
        <f t="shared" si="41"/>
        <v>0</v>
      </c>
      <c r="I97" s="630"/>
      <c r="J97" s="622">
        <f t="shared" si="33"/>
        <v>0</v>
      </c>
      <c r="K97" s="630">
        <f t="shared" si="42"/>
        <v>0</v>
      </c>
      <c r="L97" s="631">
        <f t="shared" si="42"/>
        <v>0</v>
      </c>
      <c r="M97" s="631">
        <f t="shared" si="42"/>
        <v>0</v>
      </c>
      <c r="N97" s="630">
        <f t="shared" si="40"/>
        <v>0</v>
      </c>
      <c r="O97" s="631">
        <f>O98</f>
        <v>0</v>
      </c>
      <c r="P97" s="622">
        <f>E97+J97</f>
        <v>500000</v>
      </c>
    </row>
    <row r="98" spans="1:18" ht="228.75" x14ac:dyDescent="0.2">
      <c r="A98" s="629" t="s">
        <v>678</v>
      </c>
      <c r="B98" s="629" t="s">
        <v>679</v>
      </c>
      <c r="C98" s="629" t="s">
        <v>385</v>
      </c>
      <c r="D98" s="629" t="s">
        <v>752</v>
      </c>
      <c r="E98" s="630">
        <f t="shared" si="32"/>
        <v>500000</v>
      </c>
      <c r="F98" s="630">
        <f>(400000)+100000</f>
        <v>500000</v>
      </c>
      <c r="G98" s="630"/>
      <c r="H98" s="630"/>
      <c r="I98" s="630"/>
      <c r="J98" s="630">
        <f t="shared" si="33"/>
        <v>0</v>
      </c>
      <c r="K98" s="630"/>
      <c r="L98" s="630"/>
      <c r="M98" s="630"/>
      <c r="N98" s="630">
        <f t="shared" si="40"/>
        <v>0</v>
      </c>
      <c r="O98" s="631"/>
      <c r="P98" s="630">
        <f>E98+J98</f>
        <v>500000</v>
      </c>
    </row>
    <row r="99" spans="1:18" ht="228.75" x14ac:dyDescent="0.2">
      <c r="A99" s="621" t="s">
        <v>947</v>
      </c>
      <c r="B99" s="621" t="s">
        <v>948</v>
      </c>
      <c r="C99" s="621"/>
      <c r="D99" s="309" t="s">
        <v>946</v>
      </c>
      <c r="E99" s="622"/>
      <c r="F99" s="630"/>
      <c r="G99" s="631"/>
      <c r="H99" s="631"/>
      <c r="I99" s="630"/>
      <c r="J99" s="622">
        <f t="shared" si="33"/>
        <v>6864875.6299999999</v>
      </c>
      <c r="K99" s="630">
        <f t="shared" si="42"/>
        <v>0</v>
      </c>
      <c r="L99" s="631"/>
      <c r="M99" s="631"/>
      <c r="N99" s="630">
        <f t="shared" si="40"/>
        <v>6864875.6299999999</v>
      </c>
      <c r="O99" s="631">
        <f>O100</f>
        <v>6864875.6299999999</v>
      </c>
      <c r="P99" s="622">
        <f>E99+J99</f>
        <v>6864875.6299999999</v>
      </c>
    </row>
    <row r="100" spans="1:18" s="203" customFormat="1" ht="409.5" x14ac:dyDescent="0.2">
      <c r="A100" s="718" t="s">
        <v>949</v>
      </c>
      <c r="B100" s="718" t="s">
        <v>950</v>
      </c>
      <c r="C100" s="728" t="s">
        <v>117</v>
      </c>
      <c r="D100" s="310" t="s">
        <v>951</v>
      </c>
      <c r="E100" s="730"/>
      <c r="F100" s="730"/>
      <c r="G100" s="730"/>
      <c r="H100" s="730"/>
      <c r="I100" s="730"/>
      <c r="J100" s="724">
        <f t="shared" si="33"/>
        <v>6864875.6299999999</v>
      </c>
      <c r="K100" s="724"/>
      <c r="L100" s="724"/>
      <c r="M100" s="724"/>
      <c r="N100" s="724">
        <f t="shared" si="40"/>
        <v>6864875.6299999999</v>
      </c>
      <c r="O100" s="724">
        <v>6864875.6299999999</v>
      </c>
      <c r="P100" s="724">
        <f>E100+J100</f>
        <v>6864875.6299999999</v>
      </c>
    </row>
    <row r="101" spans="1:18" s="203" customFormat="1" ht="409.5" x14ac:dyDescent="0.2">
      <c r="A101" s="739"/>
      <c r="B101" s="739"/>
      <c r="C101" s="740"/>
      <c r="D101" s="310" t="s">
        <v>952</v>
      </c>
      <c r="E101" s="740"/>
      <c r="F101" s="740"/>
      <c r="G101" s="740"/>
      <c r="H101" s="740"/>
      <c r="I101" s="740"/>
      <c r="J101" s="739"/>
      <c r="K101" s="739"/>
      <c r="L101" s="739"/>
      <c r="M101" s="739"/>
      <c r="N101" s="739"/>
      <c r="O101" s="739"/>
      <c r="P101" s="739"/>
    </row>
    <row r="102" spans="1:18" s="203" customFormat="1" ht="94.5" customHeight="1" x14ac:dyDescent="0.2">
      <c r="A102" s="719"/>
      <c r="B102" s="719"/>
      <c r="C102" s="740"/>
      <c r="D102" s="493" t="s">
        <v>953</v>
      </c>
      <c r="E102" s="740"/>
      <c r="F102" s="740"/>
      <c r="G102" s="740"/>
      <c r="H102" s="740"/>
      <c r="I102" s="740"/>
      <c r="J102" s="719"/>
      <c r="K102" s="719"/>
      <c r="L102" s="719"/>
      <c r="M102" s="719"/>
      <c r="N102" s="719"/>
      <c r="O102" s="719"/>
      <c r="P102" s="719"/>
    </row>
    <row r="103" spans="1:18" ht="409.5" x14ac:dyDescent="0.2">
      <c r="A103" s="720" t="s">
        <v>503</v>
      </c>
      <c r="B103" s="720" t="s">
        <v>362</v>
      </c>
      <c r="C103" s="721" t="s">
        <v>353</v>
      </c>
      <c r="D103" s="307" t="s">
        <v>680</v>
      </c>
      <c r="E103" s="723">
        <f>F103</f>
        <v>851000</v>
      </c>
      <c r="F103" s="724">
        <v>851000</v>
      </c>
      <c r="G103" s="724"/>
      <c r="H103" s="724"/>
      <c r="I103" s="724"/>
      <c r="J103" s="725">
        <f>K103+N103</f>
        <v>0</v>
      </c>
      <c r="K103" s="724"/>
      <c r="L103" s="724"/>
      <c r="M103" s="724"/>
      <c r="N103" s="724">
        <f>O103</f>
        <v>0</v>
      </c>
      <c r="O103" s="724"/>
      <c r="P103" s="725">
        <f>E103+J103</f>
        <v>851000</v>
      </c>
    </row>
    <row r="104" spans="1:18" ht="327.75" customHeight="1" x14ac:dyDescent="0.2">
      <c r="A104" s="694"/>
      <c r="B104" s="694"/>
      <c r="C104" s="722"/>
      <c r="D104" s="321" t="s">
        <v>681</v>
      </c>
      <c r="E104" s="722"/>
      <c r="F104" s="719"/>
      <c r="G104" s="694"/>
      <c r="H104" s="694"/>
      <c r="I104" s="719"/>
      <c r="J104" s="694"/>
      <c r="K104" s="719"/>
      <c r="L104" s="694"/>
      <c r="M104" s="694"/>
      <c r="N104" s="719"/>
      <c r="O104" s="694"/>
      <c r="P104" s="694"/>
    </row>
    <row r="105" spans="1:18" ht="46.5" x14ac:dyDescent="0.2">
      <c r="A105" s="621" t="s">
        <v>684</v>
      </c>
      <c r="B105" s="621" t="s">
        <v>685</v>
      </c>
      <c r="C105" s="621"/>
      <c r="D105" s="621" t="s">
        <v>364</v>
      </c>
      <c r="E105" s="622">
        <f t="shared" si="32"/>
        <v>29106650</v>
      </c>
      <c r="F105" s="630">
        <f>F106+F107</f>
        <v>29106650</v>
      </c>
      <c r="G105" s="179">
        <f>G106+G107</f>
        <v>2035400</v>
      </c>
      <c r="H105" s="179">
        <f>H106+H107</f>
        <v>330200</v>
      </c>
      <c r="I105" s="47"/>
      <c r="J105" s="622">
        <f t="shared" si="33"/>
        <v>697800</v>
      </c>
      <c r="K105" s="630">
        <f>K106+K107</f>
        <v>0</v>
      </c>
      <c r="L105" s="179">
        <f>L106+L107</f>
        <v>0</v>
      </c>
      <c r="M105" s="179">
        <f>M106+M107</f>
        <v>0</v>
      </c>
      <c r="N105" s="47">
        <f>N106+N107</f>
        <v>697800</v>
      </c>
      <c r="O105" s="179">
        <f>O106+O107</f>
        <v>697800</v>
      </c>
      <c r="P105" s="622">
        <f>E105+J105</f>
        <v>29804450</v>
      </c>
    </row>
    <row r="106" spans="1:18" ht="183" x14ac:dyDescent="0.2">
      <c r="A106" s="629" t="s">
        <v>682</v>
      </c>
      <c r="B106" s="629" t="s">
        <v>686</v>
      </c>
      <c r="C106" s="629" t="s">
        <v>363</v>
      </c>
      <c r="D106" s="298" t="s">
        <v>688</v>
      </c>
      <c r="E106" s="630">
        <f t="shared" si="32"/>
        <v>3454700</v>
      </c>
      <c r="F106" s="630">
        <f>((5404100-2069300)+23600)+55000+41300</f>
        <v>3454700</v>
      </c>
      <c r="G106" s="47">
        <f>3300400-1265000</f>
        <v>2035400</v>
      </c>
      <c r="H106" s="47">
        <f>444700-114500</f>
        <v>330200</v>
      </c>
      <c r="I106" s="630"/>
      <c r="J106" s="630">
        <f t="shared" si="33"/>
        <v>117800</v>
      </c>
      <c r="K106" s="630"/>
      <c r="L106" s="630"/>
      <c r="M106" s="630"/>
      <c r="N106" s="630">
        <f t="shared" ref="N106:N109" si="43">O106</f>
        <v>117800</v>
      </c>
      <c r="O106" s="630">
        <f>(24000+81800)+12000</f>
        <v>117800</v>
      </c>
      <c r="P106" s="630">
        <f t="shared" ref="P106:P107" si="44">E106+J106</f>
        <v>3572500</v>
      </c>
    </row>
    <row r="107" spans="1:18" ht="137.25" x14ac:dyDescent="0.2">
      <c r="A107" s="629" t="s">
        <v>683</v>
      </c>
      <c r="B107" s="629" t="s">
        <v>687</v>
      </c>
      <c r="C107" s="629" t="s">
        <v>363</v>
      </c>
      <c r="D107" s="298" t="s">
        <v>689</v>
      </c>
      <c r="E107" s="630">
        <f t="shared" si="32"/>
        <v>25651950</v>
      </c>
      <c r="F107" s="630">
        <f>((19868590+12285300-12285300-2026990)+3159700)+200000+20000+199000+4000000+150000+50000+31650</f>
        <v>25651950</v>
      </c>
      <c r="G107" s="630"/>
      <c r="H107" s="630"/>
      <c r="I107" s="630"/>
      <c r="J107" s="630">
        <f t="shared" si="33"/>
        <v>580000</v>
      </c>
      <c r="K107" s="630"/>
      <c r="L107" s="630"/>
      <c r="M107" s="630"/>
      <c r="N107" s="630">
        <f t="shared" si="43"/>
        <v>580000</v>
      </c>
      <c r="O107" s="630">
        <f>(400000)+80000+100000</f>
        <v>580000</v>
      </c>
      <c r="P107" s="630">
        <f t="shared" si="44"/>
        <v>26231950</v>
      </c>
    </row>
    <row r="108" spans="1:18" ht="91.5" x14ac:dyDescent="0.2">
      <c r="A108" s="621" t="s">
        <v>832</v>
      </c>
      <c r="B108" s="621" t="s">
        <v>706</v>
      </c>
      <c r="C108" s="621"/>
      <c r="D108" s="621" t="s">
        <v>833</v>
      </c>
      <c r="E108" s="622">
        <f t="shared" si="32"/>
        <v>0</v>
      </c>
      <c r="F108" s="630">
        <f>F109</f>
        <v>0</v>
      </c>
      <c r="G108" s="631">
        <f t="shared" ref="G108:H108" si="45">G109</f>
        <v>0</v>
      </c>
      <c r="H108" s="631">
        <f t="shared" si="45"/>
        <v>0</v>
      </c>
      <c r="I108" s="630"/>
      <c r="J108" s="622">
        <f t="shared" si="33"/>
        <v>2534347</v>
      </c>
      <c r="K108" s="630">
        <f t="shared" ref="K108:M108" si="46">K109</f>
        <v>0</v>
      </c>
      <c r="L108" s="631">
        <f t="shared" si="46"/>
        <v>0</v>
      </c>
      <c r="M108" s="631">
        <f t="shared" si="46"/>
        <v>0</v>
      </c>
      <c r="N108" s="630">
        <f t="shared" si="43"/>
        <v>2534347</v>
      </c>
      <c r="O108" s="631">
        <f>O109</f>
        <v>2534347</v>
      </c>
      <c r="P108" s="622">
        <f>E108+J108</f>
        <v>2534347</v>
      </c>
    </row>
    <row r="109" spans="1:18" ht="137.25" x14ac:dyDescent="0.2">
      <c r="A109" s="629" t="s">
        <v>836</v>
      </c>
      <c r="B109" s="629" t="s">
        <v>834</v>
      </c>
      <c r="C109" s="629" t="s">
        <v>708</v>
      </c>
      <c r="D109" s="298" t="s">
        <v>835</v>
      </c>
      <c r="E109" s="630">
        <f t="shared" si="32"/>
        <v>0</v>
      </c>
      <c r="F109" s="630"/>
      <c r="G109" s="630"/>
      <c r="H109" s="630"/>
      <c r="I109" s="630"/>
      <c r="J109" s="630">
        <f t="shared" si="33"/>
        <v>2534347</v>
      </c>
      <c r="K109" s="630"/>
      <c r="L109" s="630"/>
      <c r="M109" s="630"/>
      <c r="N109" s="630">
        <f t="shared" si="43"/>
        <v>2534347</v>
      </c>
      <c r="O109" s="631">
        <f>(2500000)+34347</f>
        <v>2534347</v>
      </c>
      <c r="P109" s="630">
        <f>E109+J109</f>
        <v>2534347</v>
      </c>
    </row>
    <row r="110" spans="1:18" ht="180" x14ac:dyDescent="0.2">
      <c r="A110" s="322">
        <v>1000000</v>
      </c>
      <c r="B110" s="322"/>
      <c r="C110" s="322"/>
      <c r="D110" s="277" t="s">
        <v>68</v>
      </c>
      <c r="E110" s="243">
        <f>E111</f>
        <v>72933500</v>
      </c>
      <c r="F110" s="243">
        <f t="shared" ref="F110:P110" si="47">F111</f>
        <v>72933500</v>
      </c>
      <c r="G110" s="243">
        <f t="shared" si="47"/>
        <v>50790400</v>
      </c>
      <c r="H110" s="243">
        <f t="shared" si="47"/>
        <v>3320500</v>
      </c>
      <c r="I110" s="243">
        <f t="shared" si="47"/>
        <v>0</v>
      </c>
      <c r="J110" s="243">
        <f t="shared" si="47"/>
        <v>14623555</v>
      </c>
      <c r="K110" s="243">
        <f t="shared" si="47"/>
        <v>6593800</v>
      </c>
      <c r="L110" s="243">
        <f t="shared" si="47"/>
        <v>4801700</v>
      </c>
      <c r="M110" s="243">
        <f t="shared" si="47"/>
        <v>184500</v>
      </c>
      <c r="N110" s="243">
        <f t="shared" si="47"/>
        <v>8029755</v>
      </c>
      <c r="O110" s="244">
        <f t="shared" si="47"/>
        <v>7961855</v>
      </c>
      <c r="P110" s="243">
        <f t="shared" si="47"/>
        <v>87557055</v>
      </c>
    </row>
    <row r="111" spans="1:18" ht="180" x14ac:dyDescent="0.2">
      <c r="A111" s="323">
        <v>1010000</v>
      </c>
      <c r="B111" s="323"/>
      <c r="C111" s="323"/>
      <c r="D111" s="280" t="s">
        <v>94</v>
      </c>
      <c r="E111" s="244">
        <f>E113+E114+E115+E116+E112+E118+E117+E121</f>
        <v>72933500</v>
      </c>
      <c r="F111" s="243">
        <f>F113+F114+F115+F116+F112+F118+F117+F121</f>
        <v>72933500</v>
      </c>
      <c r="G111" s="244">
        <f>G113+G114+G115+G116+G112+G118+G117+G121</f>
        <v>50790400</v>
      </c>
      <c r="H111" s="244">
        <f>H113+H114+H115+H116+H112+H118+H117+H121</f>
        <v>3320500</v>
      </c>
      <c r="I111" s="243">
        <v>0</v>
      </c>
      <c r="J111" s="244">
        <f t="shared" ref="J111:J117" si="48">K111+N111</f>
        <v>14623555</v>
      </c>
      <c r="K111" s="243">
        <f>K113+K114+K115+K116+K112+K118+K117+K121</f>
        <v>6593800</v>
      </c>
      <c r="L111" s="244">
        <f>L113+L114+L115+L116+L112+L118+L117+L121</f>
        <v>4801700</v>
      </c>
      <c r="M111" s="244">
        <f>M113+M114+M115+M116+M112+M118+M117+M121</f>
        <v>184500</v>
      </c>
      <c r="N111" s="243">
        <f>N113+N114+N115+N116+N112+N118+N117+N121</f>
        <v>8029755</v>
      </c>
      <c r="O111" s="244">
        <f>O113+O114+O115+O116+O112+O118+O117+O121</f>
        <v>7961855</v>
      </c>
      <c r="P111" s="244">
        <f t="shared" ref="P111:P116" si="49">E111+J111</f>
        <v>87557055</v>
      </c>
      <c r="Q111" s="311" t="b">
        <f>P111=P112+P113+P114+P115+P116+P117+P119+P120+P121</f>
        <v>1</v>
      </c>
      <c r="R111" s="325" t="b">
        <f>O111=[2]dod5!J74</f>
        <v>1</v>
      </c>
    </row>
    <row r="112" spans="1:18" ht="274.5" x14ac:dyDescent="0.2">
      <c r="A112" s="621" t="s">
        <v>49</v>
      </c>
      <c r="B112" s="621" t="s">
        <v>343</v>
      </c>
      <c r="C112" s="621" t="s">
        <v>344</v>
      </c>
      <c r="D112" s="621" t="s">
        <v>342</v>
      </c>
      <c r="E112" s="622">
        <f>F112</f>
        <v>41628400</v>
      </c>
      <c r="F112" s="630">
        <f>((41587600)+40800)+0</f>
        <v>41628400</v>
      </c>
      <c r="G112" s="631">
        <v>32071000</v>
      </c>
      <c r="H112" s="631">
        <v>1995800</v>
      </c>
      <c r="I112" s="630"/>
      <c r="J112" s="622">
        <f>K112+N112</f>
        <v>8066835</v>
      </c>
      <c r="K112" s="630">
        <v>6080900</v>
      </c>
      <c r="L112" s="631">
        <v>4609600</v>
      </c>
      <c r="M112" s="631">
        <v>126600</v>
      </c>
      <c r="N112" s="630">
        <f>O112+36200</f>
        <v>1985935</v>
      </c>
      <c r="O112" s="631">
        <f>(1607000)+342735</f>
        <v>1949735</v>
      </c>
      <c r="P112" s="622">
        <f>E112+J112</f>
        <v>49695235</v>
      </c>
    </row>
    <row r="113" spans="1:18" ht="46.5" x14ac:dyDescent="0.2">
      <c r="A113" s="621" t="s">
        <v>325</v>
      </c>
      <c r="B113" s="621" t="s">
        <v>326</v>
      </c>
      <c r="C113" s="621" t="s">
        <v>330</v>
      </c>
      <c r="D113" s="621" t="s">
        <v>331</v>
      </c>
      <c r="E113" s="622">
        <f t="shared" ref="E113:E117" si="50">F113</f>
        <v>623000</v>
      </c>
      <c r="F113" s="630">
        <v>623000</v>
      </c>
      <c r="G113" s="631"/>
      <c r="H113" s="631"/>
      <c r="I113" s="630"/>
      <c r="J113" s="622">
        <f t="shared" si="48"/>
        <v>0</v>
      </c>
      <c r="K113" s="630"/>
      <c r="L113" s="631"/>
      <c r="M113" s="631"/>
      <c r="N113" s="630">
        <f t="shared" ref="N113:N115" si="51">O113</f>
        <v>0</v>
      </c>
      <c r="O113" s="631"/>
      <c r="P113" s="622">
        <f t="shared" si="49"/>
        <v>623000</v>
      </c>
    </row>
    <row r="114" spans="1:18" ht="91.5" x14ac:dyDescent="0.2">
      <c r="A114" s="621" t="s">
        <v>332</v>
      </c>
      <c r="B114" s="621" t="s">
        <v>333</v>
      </c>
      <c r="C114" s="621" t="s">
        <v>334</v>
      </c>
      <c r="D114" s="621" t="s">
        <v>335</v>
      </c>
      <c r="E114" s="622">
        <f t="shared" si="50"/>
        <v>7110500</v>
      </c>
      <c r="F114" s="630">
        <v>7110500</v>
      </c>
      <c r="G114" s="631">
        <v>5288800</v>
      </c>
      <c r="H114" s="631">
        <v>477900</v>
      </c>
      <c r="I114" s="630"/>
      <c r="J114" s="622">
        <f t="shared" si="48"/>
        <v>627000</v>
      </c>
      <c r="K114" s="630">
        <v>80000</v>
      </c>
      <c r="L114" s="631">
        <v>9800</v>
      </c>
      <c r="M114" s="631">
        <v>18500</v>
      </c>
      <c r="N114" s="630">
        <f t="shared" si="51"/>
        <v>547000</v>
      </c>
      <c r="O114" s="631">
        <f>((0)+530000)+17000</f>
        <v>547000</v>
      </c>
      <c r="P114" s="622">
        <f t="shared" si="49"/>
        <v>7737500</v>
      </c>
    </row>
    <row r="115" spans="1:18" ht="91.5" x14ac:dyDescent="0.2">
      <c r="A115" s="621" t="s">
        <v>336</v>
      </c>
      <c r="B115" s="621" t="s">
        <v>337</v>
      </c>
      <c r="C115" s="621" t="s">
        <v>334</v>
      </c>
      <c r="D115" s="621" t="s">
        <v>338</v>
      </c>
      <c r="E115" s="622">
        <f t="shared" si="50"/>
        <v>1097900</v>
      </c>
      <c r="F115" s="630">
        <v>1097900</v>
      </c>
      <c r="G115" s="631">
        <v>672100</v>
      </c>
      <c r="H115" s="631">
        <v>208000</v>
      </c>
      <c r="I115" s="630"/>
      <c r="J115" s="622">
        <f t="shared" si="48"/>
        <v>3332820</v>
      </c>
      <c r="K115" s="630">
        <v>70100</v>
      </c>
      <c r="L115" s="631">
        <v>6100</v>
      </c>
      <c r="M115" s="631">
        <v>3200</v>
      </c>
      <c r="N115" s="630">
        <f t="shared" si="51"/>
        <v>3262720</v>
      </c>
      <c r="O115" s="631">
        <f>((3000000)+422720)-160000</f>
        <v>3262720</v>
      </c>
      <c r="P115" s="622">
        <f t="shared" si="49"/>
        <v>4430720</v>
      </c>
    </row>
    <row r="116" spans="1:18" ht="183" x14ac:dyDescent="0.2">
      <c r="A116" s="621" t="s">
        <v>339</v>
      </c>
      <c r="B116" s="621" t="s">
        <v>327</v>
      </c>
      <c r="C116" s="621" t="s">
        <v>340</v>
      </c>
      <c r="D116" s="621" t="s">
        <v>341</v>
      </c>
      <c r="E116" s="622">
        <f t="shared" si="50"/>
        <v>5298100</v>
      </c>
      <c r="F116" s="630">
        <f>(5268100)+30000</f>
        <v>5298100</v>
      </c>
      <c r="G116" s="631">
        <v>3736300</v>
      </c>
      <c r="H116" s="631">
        <v>604100</v>
      </c>
      <c r="I116" s="630"/>
      <c r="J116" s="622">
        <f t="shared" si="48"/>
        <v>2348500</v>
      </c>
      <c r="K116" s="630">
        <v>303000</v>
      </c>
      <c r="L116" s="631">
        <v>172700</v>
      </c>
      <c r="M116" s="631">
        <v>36200</v>
      </c>
      <c r="N116" s="630">
        <f>O116+31700</f>
        <v>2045500</v>
      </c>
      <c r="O116" s="631">
        <f>((1229800)+1955500)-1171500</f>
        <v>2013800</v>
      </c>
      <c r="P116" s="622">
        <f t="shared" si="49"/>
        <v>7646600</v>
      </c>
    </row>
    <row r="117" spans="1:18" ht="91.5" x14ac:dyDescent="0.2">
      <c r="A117" s="621" t="s">
        <v>815</v>
      </c>
      <c r="B117" s="621" t="s">
        <v>816</v>
      </c>
      <c r="C117" s="621" t="s">
        <v>817</v>
      </c>
      <c r="D117" s="621" t="s">
        <v>814</v>
      </c>
      <c r="E117" s="622">
        <f t="shared" si="50"/>
        <v>110000</v>
      </c>
      <c r="F117" s="630">
        <f>(60000)+50000</f>
        <v>110000</v>
      </c>
      <c r="G117" s="631"/>
      <c r="H117" s="631"/>
      <c r="I117" s="630"/>
      <c r="J117" s="622">
        <f t="shared" si="48"/>
        <v>0</v>
      </c>
      <c r="K117" s="630"/>
      <c r="L117" s="631"/>
      <c r="M117" s="631"/>
      <c r="N117" s="630">
        <f>O117</f>
        <v>0</v>
      </c>
      <c r="O117" s="631"/>
      <c r="P117" s="622">
        <f>E117+J117</f>
        <v>110000</v>
      </c>
    </row>
    <row r="118" spans="1:18" ht="91.5" x14ac:dyDescent="0.2">
      <c r="A118" s="621" t="s">
        <v>346</v>
      </c>
      <c r="B118" s="621" t="s">
        <v>347</v>
      </c>
      <c r="C118" s="621"/>
      <c r="D118" s="621" t="s">
        <v>345</v>
      </c>
      <c r="E118" s="622">
        <f>F118</f>
        <v>17065600</v>
      </c>
      <c r="F118" s="630">
        <f>F119+F120</f>
        <v>17065600</v>
      </c>
      <c r="G118" s="631">
        <f>G119+G120</f>
        <v>9022200</v>
      </c>
      <c r="H118" s="631">
        <f>H119+H120</f>
        <v>34700</v>
      </c>
      <c r="I118" s="630"/>
      <c r="J118" s="622">
        <f>K118+N118</f>
        <v>166600</v>
      </c>
      <c r="K118" s="630">
        <f>K119+K120</f>
        <v>59800</v>
      </c>
      <c r="L118" s="631">
        <f>L119+L120</f>
        <v>3500</v>
      </c>
      <c r="M118" s="631">
        <f>M119+M120</f>
        <v>0</v>
      </c>
      <c r="N118" s="630">
        <f>N119+N120</f>
        <v>106800</v>
      </c>
      <c r="O118" s="631">
        <f>O119+O120</f>
        <v>106800</v>
      </c>
      <c r="P118" s="622">
        <f>E118+J118</f>
        <v>17232200</v>
      </c>
    </row>
    <row r="119" spans="1:18" ht="137.25" x14ac:dyDescent="0.2">
      <c r="A119" s="629" t="s">
        <v>691</v>
      </c>
      <c r="B119" s="629" t="s">
        <v>692</v>
      </c>
      <c r="C119" s="629" t="s">
        <v>348</v>
      </c>
      <c r="D119" s="629" t="s">
        <v>690</v>
      </c>
      <c r="E119" s="630">
        <f>F119</f>
        <v>11780600</v>
      </c>
      <c r="F119" s="630">
        <f>((10587000)+1002000)+191600</f>
        <v>11780600</v>
      </c>
      <c r="G119" s="630">
        <f>(8201200)+821000</f>
        <v>9022200</v>
      </c>
      <c r="H119" s="630">
        <v>34700</v>
      </c>
      <c r="I119" s="630"/>
      <c r="J119" s="630">
        <f>K119+N119</f>
        <v>166600</v>
      </c>
      <c r="K119" s="630">
        <v>59800</v>
      </c>
      <c r="L119" s="630">
        <v>3500</v>
      </c>
      <c r="M119" s="630"/>
      <c r="N119" s="630">
        <f>O119</f>
        <v>106800</v>
      </c>
      <c r="O119" s="630">
        <f>((0)+87500)+19300</f>
        <v>106800</v>
      </c>
      <c r="P119" s="630">
        <f>E119+J119</f>
        <v>11947200</v>
      </c>
    </row>
    <row r="120" spans="1:18" ht="91.5" x14ac:dyDescent="0.2">
      <c r="A120" s="629" t="s">
        <v>693</v>
      </c>
      <c r="B120" s="629" t="s">
        <v>694</v>
      </c>
      <c r="C120" s="629" t="s">
        <v>348</v>
      </c>
      <c r="D120" s="629" t="s">
        <v>695</v>
      </c>
      <c r="E120" s="630">
        <f>F120</f>
        <v>5285000</v>
      </c>
      <c r="F120" s="630">
        <f>((3600000)+1135000)+550000</f>
        <v>5285000</v>
      </c>
      <c r="G120" s="630"/>
      <c r="H120" s="630"/>
      <c r="I120" s="630"/>
      <c r="J120" s="630">
        <f>K120+N120</f>
        <v>0</v>
      </c>
      <c r="K120" s="630"/>
      <c r="L120" s="630"/>
      <c r="M120" s="630"/>
      <c r="N120" s="630">
        <f>O120</f>
        <v>0</v>
      </c>
      <c r="O120" s="630"/>
      <c r="P120" s="630">
        <f>E120+J120</f>
        <v>5285000</v>
      </c>
    </row>
    <row r="121" spans="1:18" ht="91.5" x14ac:dyDescent="0.2">
      <c r="A121" s="621" t="s">
        <v>819</v>
      </c>
      <c r="B121" s="621" t="s">
        <v>373</v>
      </c>
      <c r="C121" s="621" t="s">
        <v>324</v>
      </c>
      <c r="D121" s="621" t="s">
        <v>818</v>
      </c>
      <c r="E121" s="622">
        <f t="shared" ref="E121" si="52">F121</f>
        <v>0</v>
      </c>
      <c r="F121" s="630"/>
      <c r="G121" s="631"/>
      <c r="H121" s="631"/>
      <c r="I121" s="630"/>
      <c r="J121" s="622">
        <f t="shared" ref="J121" si="53">K121+N121</f>
        <v>81800</v>
      </c>
      <c r="K121" s="630"/>
      <c r="L121" s="631"/>
      <c r="M121" s="631"/>
      <c r="N121" s="630">
        <f>O121</f>
        <v>81800</v>
      </c>
      <c r="O121" s="631">
        <f>(27000)+54800</f>
        <v>81800</v>
      </c>
      <c r="P121" s="622">
        <f>E121+J121</f>
        <v>81800</v>
      </c>
    </row>
    <row r="122" spans="1:18" ht="135" x14ac:dyDescent="0.2">
      <c r="A122" s="277" t="s">
        <v>65</v>
      </c>
      <c r="B122" s="277"/>
      <c r="C122" s="277"/>
      <c r="D122" s="277" t="s">
        <v>66</v>
      </c>
      <c r="E122" s="243">
        <f>E123</f>
        <v>40897409</v>
      </c>
      <c r="F122" s="243">
        <f t="shared" ref="F122:P122" si="54">F123</f>
        <v>40897409</v>
      </c>
      <c r="G122" s="243">
        <f t="shared" si="54"/>
        <v>14843177</v>
      </c>
      <c r="H122" s="243">
        <f t="shared" si="54"/>
        <v>1636457</v>
      </c>
      <c r="I122" s="243">
        <f t="shared" si="54"/>
        <v>0</v>
      </c>
      <c r="J122" s="243">
        <f t="shared" si="54"/>
        <v>8773199.3200000003</v>
      </c>
      <c r="K122" s="243">
        <f t="shared" si="54"/>
        <v>1892800</v>
      </c>
      <c r="L122" s="243">
        <f t="shared" si="54"/>
        <v>869800</v>
      </c>
      <c r="M122" s="243">
        <f t="shared" si="54"/>
        <v>289700</v>
      </c>
      <c r="N122" s="243">
        <f t="shared" si="54"/>
        <v>6880399.3200000003</v>
      </c>
      <c r="O122" s="244">
        <f t="shared" si="54"/>
        <v>6834899.3200000003</v>
      </c>
      <c r="P122" s="243">
        <f t="shared" si="54"/>
        <v>49670608.32</v>
      </c>
    </row>
    <row r="123" spans="1:18" ht="135" x14ac:dyDescent="0.2">
      <c r="A123" s="280" t="s">
        <v>64</v>
      </c>
      <c r="B123" s="280"/>
      <c r="C123" s="280"/>
      <c r="D123" s="280" t="s">
        <v>90</v>
      </c>
      <c r="E123" s="244">
        <f>E124+E126+E130+E133+E135+E140+E145+E143+E146+E138</f>
        <v>40897409</v>
      </c>
      <c r="F123" s="243">
        <f>F124+F126+F130+F133+F135+F140+F145+F143+F146+F138</f>
        <v>40897409</v>
      </c>
      <c r="G123" s="244">
        <f>G124+G126+G130+G133+G135+G140+G145+G143+G146+G138</f>
        <v>14843177</v>
      </c>
      <c r="H123" s="244">
        <f>H124+H126+H130+H133+H135+H140+H145+H143+H146+H138</f>
        <v>1636457</v>
      </c>
      <c r="I123" s="243">
        <f>I124+I126+I130+I133+I135+I140+I145</f>
        <v>0</v>
      </c>
      <c r="J123" s="246">
        <f>K123+N123</f>
        <v>8773199.3200000003</v>
      </c>
      <c r="K123" s="243">
        <f>K124+K126+K130+K133+K135+K140+K145+K143+K146+K138</f>
        <v>1892800</v>
      </c>
      <c r="L123" s="244">
        <f>L124+L126+L130+L133+L135+L140+L145+L143+L146+L138</f>
        <v>869800</v>
      </c>
      <c r="M123" s="244">
        <f>M124+M126+M130+M133+M135+M140+M145+M143+M146+M138</f>
        <v>289700</v>
      </c>
      <c r="N123" s="243">
        <f>N124+N126+N130+N133+N135+N140+N145+N146+N138</f>
        <v>6880399.3200000003</v>
      </c>
      <c r="O123" s="244">
        <f>O124+O126+O130+O133+O135+O140+O145+O146+O138</f>
        <v>6834899.3200000003</v>
      </c>
      <c r="P123" s="244">
        <f>E123+J123</f>
        <v>49670608.32</v>
      </c>
      <c r="Q123" s="311" t="b">
        <f>P123=P125+P127+P128+P129+P131+P132+P134+P136+P137+P141+P142+P144+P145+P146+P138</f>
        <v>1</v>
      </c>
      <c r="R123" s="325" t="b">
        <f>O123=[2]dod5!J89</f>
        <v>1</v>
      </c>
    </row>
    <row r="124" spans="1:18" ht="137.25" x14ac:dyDescent="0.2">
      <c r="A124" s="621" t="s">
        <v>349</v>
      </c>
      <c r="B124" s="621" t="s">
        <v>350</v>
      </c>
      <c r="C124" s="621"/>
      <c r="D124" s="621" t="s">
        <v>106</v>
      </c>
      <c r="E124" s="248">
        <f t="shared" ref="E124:E141" si="55">F124</f>
        <v>2670218</v>
      </c>
      <c r="F124" s="630">
        <f>F125</f>
        <v>2670218</v>
      </c>
      <c r="G124" s="631">
        <f>G125</f>
        <v>2040830</v>
      </c>
      <c r="H124" s="631">
        <f>H125</f>
        <v>69750</v>
      </c>
      <c r="I124" s="630">
        <f>I125</f>
        <v>0</v>
      </c>
      <c r="J124" s="248">
        <f t="shared" ref="J124:J146" si="56">K124+N124</f>
        <v>153092</v>
      </c>
      <c r="K124" s="630">
        <f>K125</f>
        <v>0</v>
      </c>
      <c r="L124" s="631">
        <f>L125</f>
        <v>0</v>
      </c>
      <c r="M124" s="631">
        <f>M125</f>
        <v>0</v>
      </c>
      <c r="N124" s="268">
        <f>O124</f>
        <v>153092</v>
      </c>
      <c r="O124" s="631">
        <f>O125</f>
        <v>153092</v>
      </c>
      <c r="P124" s="622">
        <f>+J124+E124</f>
        <v>2823310</v>
      </c>
    </row>
    <row r="125" spans="1:18" ht="183" x14ac:dyDescent="0.2">
      <c r="A125" s="629" t="s">
        <v>351</v>
      </c>
      <c r="B125" s="629" t="s">
        <v>352</v>
      </c>
      <c r="C125" s="629" t="s">
        <v>353</v>
      </c>
      <c r="D125" s="629" t="s">
        <v>354</v>
      </c>
      <c r="E125" s="47">
        <f t="shared" si="55"/>
        <v>2670218</v>
      </c>
      <c r="F125" s="47">
        <f>(2411785)+258433</f>
        <v>2670218</v>
      </c>
      <c r="G125" s="47">
        <f>(1829000)+211830</f>
        <v>2040830</v>
      </c>
      <c r="H125" s="47">
        <v>69750</v>
      </c>
      <c r="I125" s="47"/>
      <c r="J125" s="47">
        <f t="shared" si="56"/>
        <v>153092</v>
      </c>
      <c r="K125" s="268"/>
      <c r="L125" s="268"/>
      <c r="M125" s="268"/>
      <c r="N125" s="268">
        <f>O125</f>
        <v>153092</v>
      </c>
      <c r="O125" s="324">
        <f>(0)+153092</f>
        <v>153092</v>
      </c>
      <c r="P125" s="630">
        <f>+J125+E125</f>
        <v>2823310</v>
      </c>
    </row>
    <row r="126" spans="1:18" ht="91.5" x14ac:dyDescent="0.2">
      <c r="A126" s="621" t="s">
        <v>105</v>
      </c>
      <c r="B126" s="621" t="s">
        <v>328</v>
      </c>
      <c r="C126" s="621"/>
      <c r="D126" s="621" t="s">
        <v>76</v>
      </c>
      <c r="E126" s="248">
        <f t="shared" si="55"/>
        <v>5342745</v>
      </c>
      <c r="F126" s="47">
        <f>F127+F128+F129</f>
        <v>5342745</v>
      </c>
      <c r="G126" s="47">
        <f>G127+G128</f>
        <v>1397600</v>
      </c>
      <c r="H126" s="179">
        <f>H127+H128</f>
        <v>497977</v>
      </c>
      <c r="I126" s="47">
        <f>I127+I128</f>
        <v>0</v>
      </c>
      <c r="J126" s="248">
        <f t="shared" si="56"/>
        <v>1356872</v>
      </c>
      <c r="K126" s="47">
        <f>K127+K128+K129</f>
        <v>320000</v>
      </c>
      <c r="L126" s="179">
        <f>L127+L128</f>
        <v>148900</v>
      </c>
      <c r="M126" s="179">
        <f>M127+M128</f>
        <v>95400</v>
      </c>
      <c r="N126" s="268">
        <f t="shared" ref="N126:N137" si="57">O126</f>
        <v>1036872</v>
      </c>
      <c r="O126" s="179">
        <f>O127+O128+O129</f>
        <v>1036872</v>
      </c>
      <c r="P126" s="622">
        <f>+J126+E126</f>
        <v>6699617</v>
      </c>
    </row>
    <row r="127" spans="1:18" ht="228.75" x14ac:dyDescent="0.2">
      <c r="A127" s="629" t="s">
        <v>104</v>
      </c>
      <c r="B127" s="629" t="s">
        <v>329</v>
      </c>
      <c r="C127" s="629" t="s">
        <v>353</v>
      </c>
      <c r="D127" s="629" t="s">
        <v>33</v>
      </c>
      <c r="E127" s="47">
        <f t="shared" si="55"/>
        <v>789000</v>
      </c>
      <c r="F127" s="47">
        <f>(769000)+20000</f>
        <v>789000</v>
      </c>
      <c r="G127" s="47"/>
      <c r="H127" s="47"/>
      <c r="I127" s="47"/>
      <c r="J127" s="47">
        <f t="shared" si="56"/>
        <v>0</v>
      </c>
      <c r="K127" s="268"/>
      <c r="L127" s="268"/>
      <c r="M127" s="268"/>
      <c r="N127" s="268">
        <f t="shared" si="57"/>
        <v>0</v>
      </c>
      <c r="O127" s="268"/>
      <c r="P127" s="630">
        <f>+J127+E127</f>
        <v>789000</v>
      </c>
    </row>
    <row r="128" spans="1:18" ht="137.25" x14ac:dyDescent="0.2">
      <c r="A128" s="629" t="s">
        <v>360</v>
      </c>
      <c r="B128" s="629" t="s">
        <v>361</v>
      </c>
      <c r="C128" s="629" t="s">
        <v>353</v>
      </c>
      <c r="D128" s="629" t="s">
        <v>34</v>
      </c>
      <c r="E128" s="47">
        <f t="shared" si="55"/>
        <v>3061125</v>
      </c>
      <c r="F128" s="47">
        <f>((2617077)+233020)+135028+76000</f>
        <v>3061125</v>
      </c>
      <c r="G128" s="47">
        <v>1397600</v>
      </c>
      <c r="H128" s="47">
        <v>497977</v>
      </c>
      <c r="I128" s="47"/>
      <c r="J128" s="47">
        <f t="shared" si="56"/>
        <v>956872</v>
      </c>
      <c r="K128" s="268">
        <v>320000</v>
      </c>
      <c r="L128" s="268">
        <v>148900</v>
      </c>
      <c r="M128" s="268">
        <v>95400</v>
      </c>
      <c r="N128" s="268">
        <f t="shared" si="57"/>
        <v>636872</v>
      </c>
      <c r="O128" s="268">
        <f>((0)+636872)</f>
        <v>636872</v>
      </c>
      <c r="P128" s="630">
        <f t="shared" ref="P128:P146" si="58">E128+J128</f>
        <v>4017997</v>
      </c>
    </row>
    <row r="129" spans="1:16" ht="91.5" x14ac:dyDescent="0.2">
      <c r="A129" s="629" t="s">
        <v>761</v>
      </c>
      <c r="B129" s="629" t="s">
        <v>762</v>
      </c>
      <c r="C129" s="629" t="s">
        <v>353</v>
      </c>
      <c r="D129" s="629" t="s">
        <v>763</v>
      </c>
      <c r="E129" s="47">
        <f t="shared" si="55"/>
        <v>1492620</v>
      </c>
      <c r="F129" s="47">
        <f>(761000)+153000+70000+58350+450270</f>
        <v>1492620</v>
      </c>
      <c r="G129" s="47">
        <f>(0)+47800</f>
        <v>47800</v>
      </c>
      <c r="H129" s="47">
        <f>(0)+70000</f>
        <v>70000</v>
      </c>
      <c r="I129" s="47"/>
      <c r="J129" s="47">
        <f t="shared" si="56"/>
        <v>400000</v>
      </c>
      <c r="K129" s="268"/>
      <c r="L129" s="268"/>
      <c r="M129" s="268"/>
      <c r="N129" s="268">
        <f t="shared" si="57"/>
        <v>400000</v>
      </c>
      <c r="O129" s="268">
        <v>400000</v>
      </c>
      <c r="P129" s="630">
        <f t="shared" si="58"/>
        <v>1892620</v>
      </c>
    </row>
    <row r="130" spans="1:16" ht="91.5" x14ac:dyDescent="0.2">
      <c r="A130" s="621" t="s">
        <v>107</v>
      </c>
      <c r="B130" s="621" t="s">
        <v>355</v>
      </c>
      <c r="C130" s="621"/>
      <c r="D130" s="621" t="s">
        <v>108</v>
      </c>
      <c r="E130" s="248">
        <f t="shared" si="55"/>
        <v>10797100</v>
      </c>
      <c r="F130" s="47">
        <f>F131+F132</f>
        <v>10797100</v>
      </c>
      <c r="G130" s="47">
        <f>G131+G132</f>
        <v>0</v>
      </c>
      <c r="H130" s="47">
        <f>H131+H132</f>
        <v>0</v>
      </c>
      <c r="I130" s="328"/>
      <c r="J130" s="248">
        <f t="shared" si="56"/>
        <v>0</v>
      </c>
      <c r="K130" s="47">
        <f>K131+K132</f>
        <v>0</v>
      </c>
      <c r="L130" s="269"/>
      <c r="M130" s="269"/>
      <c r="N130" s="268">
        <f t="shared" si="57"/>
        <v>0</v>
      </c>
      <c r="O130" s="179">
        <f>O131+O132</f>
        <v>0</v>
      </c>
      <c r="P130" s="622">
        <f t="shared" si="58"/>
        <v>10797100</v>
      </c>
    </row>
    <row r="131" spans="1:16" ht="137.25" x14ac:dyDescent="0.2">
      <c r="A131" s="629" t="s">
        <v>109</v>
      </c>
      <c r="B131" s="629" t="s">
        <v>356</v>
      </c>
      <c r="C131" s="629" t="s">
        <v>370</v>
      </c>
      <c r="D131" s="629" t="s">
        <v>110</v>
      </c>
      <c r="E131" s="47">
        <f t="shared" si="55"/>
        <v>9084900</v>
      </c>
      <c r="F131" s="47">
        <f>((7229900)+30000+500000)+1300000+25000</f>
        <v>9084900</v>
      </c>
      <c r="G131" s="630"/>
      <c r="H131" s="630"/>
      <c r="I131" s="630"/>
      <c r="J131" s="630">
        <f t="shared" si="56"/>
        <v>0</v>
      </c>
      <c r="K131" s="630"/>
      <c r="L131" s="630"/>
      <c r="M131" s="630"/>
      <c r="N131" s="268">
        <f t="shared" si="57"/>
        <v>0</v>
      </c>
      <c r="O131" s="631"/>
      <c r="P131" s="630">
        <f t="shared" si="58"/>
        <v>9084900</v>
      </c>
    </row>
    <row r="132" spans="1:16" ht="137.25" x14ac:dyDescent="0.2">
      <c r="A132" s="629" t="s">
        <v>111</v>
      </c>
      <c r="B132" s="629" t="s">
        <v>357</v>
      </c>
      <c r="C132" s="629" t="s">
        <v>370</v>
      </c>
      <c r="D132" s="629" t="s">
        <v>11</v>
      </c>
      <c r="E132" s="47">
        <f t="shared" si="55"/>
        <v>1712200</v>
      </c>
      <c r="F132" s="47">
        <f>((1472200)+565000-500000)+175000</f>
        <v>1712200</v>
      </c>
      <c r="G132" s="630"/>
      <c r="H132" s="630"/>
      <c r="I132" s="630"/>
      <c r="J132" s="630">
        <f t="shared" si="56"/>
        <v>0</v>
      </c>
      <c r="K132" s="630"/>
      <c r="L132" s="630"/>
      <c r="M132" s="630"/>
      <c r="N132" s="268">
        <f t="shared" si="57"/>
        <v>0</v>
      </c>
      <c r="O132" s="631"/>
      <c r="P132" s="630">
        <f t="shared" si="58"/>
        <v>1712200</v>
      </c>
    </row>
    <row r="133" spans="1:16" ht="183" x14ac:dyDescent="0.2">
      <c r="A133" s="621" t="s">
        <v>112</v>
      </c>
      <c r="B133" s="621" t="s">
        <v>358</v>
      </c>
      <c r="C133" s="621"/>
      <c r="D133" s="621" t="s">
        <v>753</v>
      </c>
      <c r="E133" s="248">
        <f t="shared" si="55"/>
        <v>11500</v>
      </c>
      <c r="F133" s="47">
        <f>F134</f>
        <v>11500</v>
      </c>
      <c r="G133" s="179">
        <f>G134</f>
        <v>0</v>
      </c>
      <c r="H133" s="179">
        <f>H134</f>
        <v>0</v>
      </c>
      <c r="I133" s="630"/>
      <c r="J133" s="622">
        <f t="shared" si="56"/>
        <v>0</v>
      </c>
      <c r="K133" s="47">
        <f>K134</f>
        <v>0</v>
      </c>
      <c r="L133" s="179">
        <f>L134</f>
        <v>0</v>
      </c>
      <c r="M133" s="179">
        <f>M134</f>
        <v>0</v>
      </c>
      <c r="N133" s="268">
        <f>N134</f>
        <v>0</v>
      </c>
      <c r="O133" s="179">
        <f>O134</f>
        <v>0</v>
      </c>
      <c r="P133" s="622">
        <f t="shared" si="58"/>
        <v>11500</v>
      </c>
    </row>
    <row r="134" spans="1:16" ht="183" x14ac:dyDescent="0.2">
      <c r="A134" s="629" t="s">
        <v>113</v>
      </c>
      <c r="B134" s="629" t="s">
        <v>359</v>
      </c>
      <c r="C134" s="629" t="s">
        <v>370</v>
      </c>
      <c r="D134" s="629" t="s">
        <v>754</v>
      </c>
      <c r="E134" s="47">
        <f>F134</f>
        <v>11500</v>
      </c>
      <c r="F134" s="47">
        <v>11500</v>
      </c>
      <c r="G134" s="47"/>
      <c r="H134" s="47"/>
      <c r="I134" s="630"/>
      <c r="J134" s="630">
        <f t="shared" si="56"/>
        <v>0</v>
      </c>
      <c r="K134" s="47"/>
      <c r="L134" s="47"/>
      <c r="M134" s="47"/>
      <c r="N134" s="268">
        <f>O134</f>
        <v>0</v>
      </c>
      <c r="O134" s="47"/>
      <c r="P134" s="630">
        <f t="shared" si="58"/>
        <v>11500</v>
      </c>
    </row>
    <row r="135" spans="1:16" ht="91.5" x14ac:dyDescent="0.2">
      <c r="A135" s="621" t="s">
        <v>78</v>
      </c>
      <c r="B135" s="621" t="s">
        <v>365</v>
      </c>
      <c r="C135" s="621"/>
      <c r="D135" s="621" t="s">
        <v>79</v>
      </c>
      <c r="E135" s="248">
        <f t="shared" si="55"/>
        <v>20317598</v>
      </c>
      <c r="F135" s="47">
        <f>F136+F137</f>
        <v>20317598</v>
      </c>
      <c r="G135" s="179">
        <f>G136+G137</f>
        <v>10749300</v>
      </c>
      <c r="H135" s="179">
        <f>H136+H137</f>
        <v>1068730</v>
      </c>
      <c r="I135" s="47">
        <f>I136+I137</f>
        <v>0</v>
      </c>
      <c r="J135" s="622">
        <f t="shared" si="56"/>
        <v>4287229.32</v>
      </c>
      <c r="K135" s="47">
        <f>K136+K137</f>
        <v>1547800</v>
      </c>
      <c r="L135" s="179">
        <f>L136+L137</f>
        <v>720900</v>
      </c>
      <c r="M135" s="179">
        <f>M136+M137</f>
        <v>194300</v>
      </c>
      <c r="N135" s="268">
        <f>N136+N137</f>
        <v>2739429.3200000003</v>
      </c>
      <c r="O135" s="47">
        <f>O136+O137</f>
        <v>2693929.3200000003</v>
      </c>
      <c r="P135" s="622">
        <f t="shared" si="58"/>
        <v>24604827.32</v>
      </c>
    </row>
    <row r="136" spans="1:16" ht="183" x14ac:dyDescent="0.2">
      <c r="A136" s="629" t="s">
        <v>77</v>
      </c>
      <c r="B136" s="629" t="s">
        <v>366</v>
      </c>
      <c r="C136" s="629" t="s">
        <v>370</v>
      </c>
      <c r="D136" s="629" t="s">
        <v>114</v>
      </c>
      <c r="E136" s="47">
        <f t="shared" si="55"/>
        <v>16494908</v>
      </c>
      <c r="F136" s="47">
        <f>(((15491860)+526918)+446130)+30000</f>
        <v>16494908</v>
      </c>
      <c r="G136" s="47">
        <f>(10666900)+82400</f>
        <v>10749300</v>
      </c>
      <c r="H136" s="47">
        <f>(1023730)+45000</f>
        <v>1068730</v>
      </c>
      <c r="I136" s="47"/>
      <c r="J136" s="47">
        <f t="shared" si="56"/>
        <v>4287229.32</v>
      </c>
      <c r="K136" s="47">
        <v>1547800</v>
      </c>
      <c r="L136" s="47">
        <v>720900</v>
      </c>
      <c r="M136" s="47">
        <f>222700-(28400)</f>
        <v>194300</v>
      </c>
      <c r="N136" s="268">
        <f>O136+45500</f>
        <v>2739429.3200000003</v>
      </c>
      <c r="O136" s="179">
        <f>((1436800)+1120764.32+135500)+865</f>
        <v>2693929.3200000003</v>
      </c>
      <c r="P136" s="630">
        <f t="shared" si="58"/>
        <v>20782137.32</v>
      </c>
    </row>
    <row r="137" spans="1:16" ht="183" x14ac:dyDescent="0.2">
      <c r="A137" s="629" t="s">
        <v>80</v>
      </c>
      <c r="B137" s="629" t="s">
        <v>367</v>
      </c>
      <c r="C137" s="629" t="s">
        <v>370</v>
      </c>
      <c r="D137" s="629" t="s">
        <v>115</v>
      </c>
      <c r="E137" s="47">
        <f t="shared" si="55"/>
        <v>3822690</v>
      </c>
      <c r="F137" s="47">
        <f>((3262600)+459986)+100104</f>
        <v>3822690</v>
      </c>
      <c r="G137" s="47"/>
      <c r="H137" s="47"/>
      <c r="I137" s="47"/>
      <c r="J137" s="47">
        <f t="shared" si="56"/>
        <v>0</v>
      </c>
      <c r="K137" s="47"/>
      <c r="L137" s="47"/>
      <c r="M137" s="47"/>
      <c r="N137" s="268">
        <f t="shared" si="57"/>
        <v>0</v>
      </c>
      <c r="O137" s="179"/>
      <c r="P137" s="630">
        <f t="shared" si="58"/>
        <v>3822690</v>
      </c>
    </row>
    <row r="138" spans="1:16" ht="91.5" x14ac:dyDescent="0.2">
      <c r="A138" s="621" t="s">
        <v>1008</v>
      </c>
      <c r="B138" s="621" t="s">
        <v>1009</v>
      </c>
      <c r="C138" s="621"/>
      <c r="D138" s="621" t="s">
        <v>1007</v>
      </c>
      <c r="E138" s="248">
        <f t="shared" si="55"/>
        <v>25000</v>
      </c>
      <c r="F138" s="47">
        <f>F139</f>
        <v>25000</v>
      </c>
      <c r="G138" s="179">
        <f>G139</f>
        <v>0</v>
      </c>
      <c r="H138" s="179">
        <f>H139</f>
        <v>0</v>
      </c>
      <c r="I138" s="630"/>
      <c r="J138" s="622">
        <f t="shared" si="56"/>
        <v>0</v>
      </c>
      <c r="K138" s="47">
        <f>K139</f>
        <v>0</v>
      </c>
      <c r="L138" s="179">
        <f>L139</f>
        <v>0</v>
      </c>
      <c r="M138" s="179">
        <f>M139</f>
        <v>0</v>
      </c>
      <c r="N138" s="268">
        <f>N139</f>
        <v>0</v>
      </c>
      <c r="O138" s="179">
        <f>O139</f>
        <v>0</v>
      </c>
      <c r="P138" s="622">
        <f t="shared" si="58"/>
        <v>25000</v>
      </c>
    </row>
    <row r="139" spans="1:16" ht="320.25" x14ac:dyDescent="0.2">
      <c r="A139" s="629" t="s">
        <v>1011</v>
      </c>
      <c r="B139" s="629" t="s">
        <v>1012</v>
      </c>
      <c r="C139" s="629" t="s">
        <v>370</v>
      </c>
      <c r="D139" s="629" t="s">
        <v>1010</v>
      </c>
      <c r="E139" s="47">
        <f>F139</f>
        <v>25000</v>
      </c>
      <c r="F139" s="47">
        <v>25000</v>
      </c>
      <c r="G139" s="47"/>
      <c r="H139" s="47"/>
      <c r="I139" s="630"/>
      <c r="J139" s="630">
        <f t="shared" si="56"/>
        <v>0</v>
      </c>
      <c r="K139" s="47"/>
      <c r="L139" s="47"/>
      <c r="M139" s="47"/>
      <c r="N139" s="268">
        <f>O139</f>
        <v>0</v>
      </c>
      <c r="O139" s="47">
        <v>0</v>
      </c>
      <c r="P139" s="630">
        <f t="shared" si="58"/>
        <v>25000</v>
      </c>
    </row>
    <row r="140" spans="1:16" ht="91.5" x14ac:dyDescent="0.2">
      <c r="A140" s="621" t="s">
        <v>116</v>
      </c>
      <c r="B140" s="621" t="s">
        <v>368</v>
      </c>
      <c r="C140" s="621"/>
      <c r="D140" s="621" t="s">
        <v>81</v>
      </c>
      <c r="E140" s="248">
        <f t="shared" si="55"/>
        <v>1722328</v>
      </c>
      <c r="F140" s="47">
        <f>F141+F142</f>
        <v>1722328</v>
      </c>
      <c r="G140" s="179">
        <f>G141+G142</f>
        <v>655447</v>
      </c>
      <c r="H140" s="179">
        <f>H141+H142</f>
        <v>0</v>
      </c>
      <c r="I140" s="47">
        <f>I141+I142</f>
        <v>0</v>
      </c>
      <c r="J140" s="622">
        <f t="shared" si="56"/>
        <v>89400</v>
      </c>
      <c r="K140" s="47">
        <f>K141+K142</f>
        <v>25000</v>
      </c>
      <c r="L140" s="179">
        <f>L141+L142</f>
        <v>0</v>
      </c>
      <c r="M140" s="179">
        <f>M141+M142</f>
        <v>0</v>
      </c>
      <c r="N140" s="268">
        <f>N141+N142</f>
        <v>64400</v>
      </c>
      <c r="O140" s="631">
        <f>O141+O142</f>
        <v>64400</v>
      </c>
      <c r="P140" s="622">
        <f t="shared" si="58"/>
        <v>1811728</v>
      </c>
    </row>
    <row r="141" spans="1:16" ht="274.5" x14ac:dyDescent="0.2">
      <c r="A141" s="329" t="s">
        <v>82</v>
      </c>
      <c r="B141" s="329" t="s">
        <v>369</v>
      </c>
      <c r="C141" s="329" t="s">
        <v>370</v>
      </c>
      <c r="D141" s="629" t="s">
        <v>83</v>
      </c>
      <c r="E141" s="47">
        <f t="shared" si="55"/>
        <v>722400</v>
      </c>
      <c r="F141" s="47">
        <f>(557400)+60000+105000</f>
        <v>722400</v>
      </c>
      <c r="G141" s="630"/>
      <c r="H141" s="630"/>
      <c r="I141" s="630"/>
      <c r="J141" s="630">
        <f>K141+N141</f>
        <v>0</v>
      </c>
      <c r="K141" s="630"/>
      <c r="L141" s="630"/>
      <c r="M141" s="630"/>
      <c r="N141" s="268">
        <f t="shared" ref="N141:N146" si="59">O141</f>
        <v>0</v>
      </c>
      <c r="O141" s="630"/>
      <c r="P141" s="630">
        <f t="shared" si="58"/>
        <v>722400</v>
      </c>
    </row>
    <row r="142" spans="1:16" ht="91.5" x14ac:dyDescent="0.2">
      <c r="A142" s="329" t="s">
        <v>84</v>
      </c>
      <c r="B142" s="329" t="s">
        <v>371</v>
      </c>
      <c r="C142" s="329" t="s">
        <v>370</v>
      </c>
      <c r="D142" s="629" t="s">
        <v>85</v>
      </c>
      <c r="E142" s="47">
        <f>F142</f>
        <v>999928</v>
      </c>
      <c r="F142" s="47">
        <f>(914158)+155770-70000</f>
        <v>999928</v>
      </c>
      <c r="G142" s="630">
        <f>(590447)+65000</f>
        <v>655447</v>
      </c>
      <c r="H142" s="630"/>
      <c r="I142" s="630"/>
      <c r="J142" s="630">
        <f t="shared" si="56"/>
        <v>89400</v>
      </c>
      <c r="K142" s="630">
        <f>20900+4100</f>
        <v>25000</v>
      </c>
      <c r="L142" s="630"/>
      <c r="M142" s="630"/>
      <c r="N142" s="268">
        <f t="shared" si="59"/>
        <v>64400</v>
      </c>
      <c r="O142" s="630">
        <f>(32400+45000)+387000-400000</f>
        <v>64400</v>
      </c>
      <c r="P142" s="630">
        <f t="shared" si="58"/>
        <v>1089328</v>
      </c>
    </row>
    <row r="143" spans="1:16" ht="91.5" x14ac:dyDescent="0.2">
      <c r="A143" s="272" t="s">
        <v>704</v>
      </c>
      <c r="B143" s="272" t="s">
        <v>706</v>
      </c>
      <c r="C143" s="272"/>
      <c r="D143" s="621" t="s">
        <v>705</v>
      </c>
      <c r="E143" s="248">
        <f>F143</f>
        <v>10920</v>
      </c>
      <c r="F143" s="47">
        <f>F144</f>
        <v>10920</v>
      </c>
      <c r="G143" s="179"/>
      <c r="H143" s="179"/>
      <c r="I143" s="47"/>
      <c r="J143" s="622">
        <f t="shared" si="56"/>
        <v>0</v>
      </c>
      <c r="K143" s="47"/>
      <c r="L143" s="179"/>
      <c r="M143" s="179"/>
      <c r="N143" s="268">
        <f t="shared" si="59"/>
        <v>0</v>
      </c>
      <c r="O143" s="631"/>
      <c r="P143" s="622">
        <f t="shared" si="58"/>
        <v>10920</v>
      </c>
    </row>
    <row r="144" spans="1:16" ht="320.25" x14ac:dyDescent="0.2">
      <c r="A144" s="329" t="s">
        <v>710</v>
      </c>
      <c r="B144" s="329" t="s">
        <v>709</v>
      </c>
      <c r="C144" s="329" t="s">
        <v>708</v>
      </c>
      <c r="D144" s="629" t="s">
        <v>707</v>
      </c>
      <c r="E144" s="47">
        <f>F144</f>
        <v>10920</v>
      </c>
      <c r="F144" s="47">
        <v>10920</v>
      </c>
      <c r="G144" s="630"/>
      <c r="H144" s="630"/>
      <c r="I144" s="630"/>
      <c r="J144" s="630">
        <f t="shared" si="56"/>
        <v>0</v>
      </c>
      <c r="K144" s="630"/>
      <c r="L144" s="630"/>
      <c r="M144" s="630"/>
      <c r="N144" s="268">
        <f t="shared" si="59"/>
        <v>0</v>
      </c>
      <c r="O144" s="630"/>
      <c r="P144" s="630">
        <f t="shared" si="58"/>
        <v>10920</v>
      </c>
    </row>
    <row r="145" spans="1:18" ht="91.5" x14ac:dyDescent="0.2">
      <c r="A145" s="272" t="s">
        <v>372</v>
      </c>
      <c r="B145" s="272" t="s">
        <v>373</v>
      </c>
      <c r="C145" s="272" t="s">
        <v>324</v>
      </c>
      <c r="D145" s="621" t="s">
        <v>89</v>
      </c>
      <c r="E145" s="248">
        <f>F145</f>
        <v>0</v>
      </c>
      <c r="F145" s="47"/>
      <c r="G145" s="179"/>
      <c r="H145" s="179"/>
      <c r="I145" s="47"/>
      <c r="J145" s="622">
        <f t="shared" si="56"/>
        <v>2886606</v>
      </c>
      <c r="K145" s="47"/>
      <c r="L145" s="179"/>
      <c r="M145" s="179"/>
      <c r="N145" s="268">
        <f t="shared" si="59"/>
        <v>2886606</v>
      </c>
      <c r="O145" s="631">
        <f>(2500000)-123000+509606</f>
        <v>2886606</v>
      </c>
      <c r="P145" s="622">
        <f t="shared" si="58"/>
        <v>2886606</v>
      </c>
    </row>
    <row r="146" spans="1:18" ht="91.5" hidden="1" x14ac:dyDescent="0.2">
      <c r="A146" s="621" t="s">
        <v>968</v>
      </c>
      <c r="B146" s="620" t="s">
        <v>800</v>
      </c>
      <c r="C146" s="620" t="s">
        <v>103</v>
      </c>
      <c r="D146" s="620" t="s">
        <v>801</v>
      </c>
      <c r="E146" s="248">
        <f>F146</f>
        <v>0</v>
      </c>
      <c r="F146" s="47">
        <f>30000-30000</f>
        <v>0</v>
      </c>
      <c r="G146" s="179"/>
      <c r="H146" s="179"/>
      <c r="I146" s="47"/>
      <c r="J146" s="622">
        <f t="shared" si="56"/>
        <v>0</v>
      </c>
      <c r="K146" s="47"/>
      <c r="L146" s="179"/>
      <c r="M146" s="179"/>
      <c r="N146" s="268">
        <f t="shared" si="59"/>
        <v>0</v>
      </c>
      <c r="O146" s="631"/>
      <c r="P146" s="622">
        <f t="shared" si="58"/>
        <v>0</v>
      </c>
    </row>
    <row r="147" spans="1:18" ht="180" x14ac:dyDescent="0.2">
      <c r="A147" s="277" t="s">
        <v>312</v>
      </c>
      <c r="B147" s="277"/>
      <c r="C147" s="277"/>
      <c r="D147" s="277" t="s">
        <v>67</v>
      </c>
      <c r="E147" s="243">
        <f>E148</f>
        <v>193734492.26999998</v>
      </c>
      <c r="F147" s="243">
        <f t="shared" ref="F147:P147" si="60">F148</f>
        <v>193734492.26999998</v>
      </c>
      <c r="G147" s="243">
        <f t="shared" si="60"/>
        <v>843750</v>
      </c>
      <c r="H147" s="243">
        <f t="shared" si="60"/>
        <v>11500</v>
      </c>
      <c r="I147" s="243">
        <f t="shared" si="60"/>
        <v>0</v>
      </c>
      <c r="J147" s="243">
        <f t="shared" si="60"/>
        <v>222551402.97</v>
      </c>
      <c r="K147" s="243">
        <f t="shared" si="60"/>
        <v>7400</v>
      </c>
      <c r="L147" s="243">
        <f t="shared" si="60"/>
        <v>0</v>
      </c>
      <c r="M147" s="243">
        <f t="shared" si="60"/>
        <v>0</v>
      </c>
      <c r="N147" s="243">
        <f t="shared" si="60"/>
        <v>222544002.97</v>
      </c>
      <c r="O147" s="244">
        <f t="shared" si="60"/>
        <v>222029779.88</v>
      </c>
      <c r="P147" s="243">
        <f t="shared" si="60"/>
        <v>416285895.24000001</v>
      </c>
    </row>
    <row r="148" spans="1:18" ht="180" x14ac:dyDescent="0.2">
      <c r="A148" s="280" t="s">
        <v>313</v>
      </c>
      <c r="B148" s="280"/>
      <c r="C148" s="280"/>
      <c r="D148" s="280" t="s">
        <v>95</v>
      </c>
      <c r="E148" s="244">
        <f>E149+E155+E156+E157+E161+E163+E165+E166+E167+E168+E159</f>
        <v>193734492.26999998</v>
      </c>
      <c r="F148" s="243">
        <f>F149+F155+F156+F157+F161+F163+F165+F166+F167+F168+F159</f>
        <v>193734492.26999998</v>
      </c>
      <c r="G148" s="244">
        <f>G149+G155+G156+G157+G161+G163+G165+G166+G167+G168</f>
        <v>843750</v>
      </c>
      <c r="H148" s="244">
        <f>H149+H155+H156+H157+H161+H163+H165+H166+H167+H168</f>
        <v>11500</v>
      </c>
      <c r="I148" s="243">
        <f>I149+I155+I156+I157+I161+I163+I165+I166+I167+I168</f>
        <v>0</v>
      </c>
      <c r="J148" s="244">
        <f t="shared" ref="J148:J168" si="61">K148+N148</f>
        <v>222551402.97</v>
      </c>
      <c r="K148" s="243">
        <f>K149+K155+K156+K157+K161+K163+K165+K166+K167+K168+K159</f>
        <v>7400</v>
      </c>
      <c r="L148" s="244">
        <f>L149+L155+L156+L157+L161+L163+L165+L166+L167+L168</f>
        <v>0</v>
      </c>
      <c r="M148" s="244">
        <f>M149+M155+M156+M157+M161+M163+M165+M166+M167+M168</f>
        <v>0</v>
      </c>
      <c r="N148" s="243">
        <f>N149+N155+N156+N157+N158+N161+N163+N165+N166+N167+N168+N159</f>
        <v>222544002.97</v>
      </c>
      <c r="O148" s="244">
        <f>O149+O155+O156+O157+O158+O161+O163+O165+O166+O167+O168+O159</f>
        <v>222029779.88</v>
      </c>
      <c r="P148" s="244">
        <f>E148+J148</f>
        <v>416285895.24000001</v>
      </c>
      <c r="Q148" s="311" t="b">
        <f>P148=P150+P152+P153+P154+P155+P156+P157+P158+P162+P164+P165+P166+P167+P168+P151+P159</f>
        <v>1</v>
      </c>
      <c r="R148" s="325" t="b">
        <f>O148=[2]dod5!J107</f>
        <v>1</v>
      </c>
    </row>
    <row r="149" spans="1:18" ht="137.25" x14ac:dyDescent="0.2">
      <c r="A149" s="621" t="s">
        <v>527</v>
      </c>
      <c r="B149" s="621" t="s">
        <v>528</v>
      </c>
      <c r="C149" s="621"/>
      <c r="D149" s="621" t="s">
        <v>531</v>
      </c>
      <c r="E149" s="622">
        <f t="shared" ref="E149:E168" si="62">F149</f>
        <v>19309669</v>
      </c>
      <c r="F149" s="630">
        <f>SUM(F150:F154)</f>
        <v>19309669</v>
      </c>
      <c r="G149" s="179"/>
      <c r="H149" s="631"/>
      <c r="I149" s="630"/>
      <c r="J149" s="622">
        <f t="shared" si="61"/>
        <v>44483500</v>
      </c>
      <c r="K149" s="630">
        <f>SUM(K150:K154)</f>
        <v>0</v>
      </c>
      <c r="L149" s="631"/>
      <c r="M149" s="631"/>
      <c r="N149" s="630">
        <f t="shared" ref="N149:N154" si="63">O149</f>
        <v>44483500</v>
      </c>
      <c r="O149" s="630">
        <f>SUM(O150:O154)</f>
        <v>44483500</v>
      </c>
      <c r="P149" s="622">
        <f t="shared" ref="P149" si="64">E149+J149</f>
        <v>63793169</v>
      </c>
      <c r="R149" s="325">
        <f>O148-[2]dod5!J107</f>
        <v>0</v>
      </c>
    </row>
    <row r="150" spans="1:18" ht="137.25" x14ac:dyDescent="0.2">
      <c r="A150" s="629" t="s">
        <v>529</v>
      </c>
      <c r="B150" s="629" t="s">
        <v>530</v>
      </c>
      <c r="C150" s="629" t="s">
        <v>533</v>
      </c>
      <c r="D150" s="629" t="s">
        <v>532</v>
      </c>
      <c r="E150" s="47">
        <f t="shared" si="62"/>
        <v>3264869</v>
      </c>
      <c r="F150" s="47">
        <f>((3189750)+748000)-672881</f>
        <v>3264869</v>
      </c>
      <c r="G150" s="47"/>
      <c r="H150" s="47"/>
      <c r="I150" s="47"/>
      <c r="J150" s="47">
        <f t="shared" si="61"/>
        <v>5071500</v>
      </c>
      <c r="K150" s="268"/>
      <c r="L150" s="268"/>
      <c r="M150" s="268"/>
      <c r="N150" s="268">
        <f t="shared" si="63"/>
        <v>5071500</v>
      </c>
      <c r="O150" s="268">
        <f>((1400000)+2866500)+805000</f>
        <v>5071500</v>
      </c>
      <c r="P150" s="630">
        <f>+J150+E150</f>
        <v>8336369</v>
      </c>
    </row>
    <row r="151" spans="1:18" ht="183" x14ac:dyDescent="0.2">
      <c r="A151" s="629" t="s">
        <v>975</v>
      </c>
      <c r="B151" s="629" t="s">
        <v>976</v>
      </c>
      <c r="C151" s="629" t="s">
        <v>533</v>
      </c>
      <c r="D151" s="629" t="s">
        <v>977</v>
      </c>
      <c r="E151" s="47">
        <f t="shared" si="62"/>
        <v>13000000</v>
      </c>
      <c r="F151" s="47">
        <v>13000000</v>
      </c>
      <c r="G151" s="47"/>
      <c r="H151" s="47"/>
      <c r="I151" s="47"/>
      <c r="J151" s="47">
        <f t="shared" si="61"/>
        <v>0</v>
      </c>
      <c r="K151" s="268"/>
      <c r="L151" s="268"/>
      <c r="M151" s="268"/>
      <c r="N151" s="268">
        <f t="shared" si="63"/>
        <v>0</v>
      </c>
      <c r="O151" s="268"/>
      <c r="P151" s="630">
        <f>+J151+E151</f>
        <v>13000000</v>
      </c>
    </row>
    <row r="152" spans="1:18" ht="137.25" x14ac:dyDescent="0.2">
      <c r="A152" s="629" t="s">
        <v>537</v>
      </c>
      <c r="B152" s="629" t="s">
        <v>538</v>
      </c>
      <c r="C152" s="629" t="s">
        <v>533</v>
      </c>
      <c r="D152" s="629" t="s">
        <v>539</v>
      </c>
      <c r="E152" s="47">
        <f t="shared" si="62"/>
        <v>2984800</v>
      </c>
      <c r="F152" s="47">
        <f>(484800)+2500000</f>
        <v>2984800</v>
      </c>
      <c r="G152" s="47"/>
      <c r="H152" s="47"/>
      <c r="I152" s="47"/>
      <c r="J152" s="47">
        <f t="shared" si="61"/>
        <v>0</v>
      </c>
      <c r="K152" s="268"/>
      <c r="L152" s="268"/>
      <c r="M152" s="268"/>
      <c r="N152" s="268">
        <f t="shared" si="63"/>
        <v>0</v>
      </c>
      <c r="O152" s="268"/>
      <c r="P152" s="630">
        <f>+J152+E152</f>
        <v>2984800</v>
      </c>
    </row>
    <row r="153" spans="1:18" ht="137.25" x14ac:dyDescent="0.2">
      <c r="A153" s="629" t="s">
        <v>567</v>
      </c>
      <c r="B153" s="629" t="s">
        <v>568</v>
      </c>
      <c r="C153" s="629" t="s">
        <v>533</v>
      </c>
      <c r="D153" s="629" t="s">
        <v>569</v>
      </c>
      <c r="E153" s="47">
        <f t="shared" si="62"/>
        <v>0</v>
      </c>
      <c r="F153" s="47"/>
      <c r="G153" s="47"/>
      <c r="H153" s="47"/>
      <c r="I153" s="47"/>
      <c r="J153" s="47">
        <f t="shared" si="61"/>
        <v>5600000</v>
      </c>
      <c r="K153" s="268"/>
      <c r="L153" s="268"/>
      <c r="M153" s="268"/>
      <c r="N153" s="268">
        <f t="shared" si="63"/>
        <v>5600000</v>
      </c>
      <c r="O153" s="268">
        <f>(5000000)+600000</f>
        <v>5600000</v>
      </c>
      <c r="P153" s="630">
        <f>+J153+E153</f>
        <v>5600000</v>
      </c>
    </row>
    <row r="154" spans="1:18" ht="183" x14ac:dyDescent="0.2">
      <c r="A154" s="629" t="s">
        <v>534</v>
      </c>
      <c r="B154" s="629" t="s">
        <v>535</v>
      </c>
      <c r="C154" s="629" t="s">
        <v>533</v>
      </c>
      <c r="D154" s="629" t="s">
        <v>536</v>
      </c>
      <c r="E154" s="47">
        <f t="shared" si="62"/>
        <v>60000</v>
      </c>
      <c r="F154" s="47">
        <v>60000</v>
      </c>
      <c r="G154" s="47"/>
      <c r="H154" s="47"/>
      <c r="I154" s="47"/>
      <c r="J154" s="47">
        <f t="shared" si="61"/>
        <v>33812000</v>
      </c>
      <c r="K154" s="268"/>
      <c r="L154" s="268"/>
      <c r="M154" s="268"/>
      <c r="N154" s="268">
        <f t="shared" si="63"/>
        <v>33812000</v>
      </c>
      <c r="O154" s="268">
        <f>((34000000)+2000000)-2188000</f>
        <v>33812000</v>
      </c>
      <c r="P154" s="630">
        <f>+J154+E154</f>
        <v>33872000</v>
      </c>
    </row>
    <row r="155" spans="1:18" ht="228.75" x14ac:dyDescent="0.2">
      <c r="A155" s="621" t="s">
        <v>561</v>
      </c>
      <c r="B155" s="621" t="s">
        <v>562</v>
      </c>
      <c r="C155" s="621" t="s">
        <v>533</v>
      </c>
      <c r="D155" s="621" t="s">
        <v>563</v>
      </c>
      <c r="E155" s="248">
        <f t="shared" si="62"/>
        <v>8144382</v>
      </c>
      <c r="F155" s="47">
        <f>((138000+1109401)+81800+6500000-550000)+865181</f>
        <v>8144382</v>
      </c>
      <c r="G155" s="179"/>
      <c r="H155" s="179"/>
      <c r="I155" s="47"/>
      <c r="J155" s="622">
        <f t="shared" si="61"/>
        <v>0</v>
      </c>
      <c r="K155" s="47"/>
      <c r="L155" s="179"/>
      <c r="M155" s="179"/>
      <c r="N155" s="268">
        <f>O155</f>
        <v>0</v>
      </c>
      <c r="O155" s="631"/>
      <c r="P155" s="622">
        <f t="shared" ref="P155:P161" si="65">E155+J155</f>
        <v>8144382</v>
      </c>
    </row>
    <row r="156" spans="1:18" ht="91.5" x14ac:dyDescent="0.2">
      <c r="A156" s="621" t="s">
        <v>540</v>
      </c>
      <c r="B156" s="621" t="s">
        <v>541</v>
      </c>
      <c r="C156" s="621" t="s">
        <v>533</v>
      </c>
      <c r="D156" s="621" t="s">
        <v>542</v>
      </c>
      <c r="E156" s="248">
        <f t="shared" si="62"/>
        <v>100002658.27</v>
      </c>
      <c r="F156" s="47">
        <f>((88681880)+3989126)+7719149.27-200000+454100-150000+66378-107705-450270</f>
        <v>100002658.27</v>
      </c>
      <c r="G156" s="179"/>
      <c r="H156" s="179"/>
      <c r="I156" s="47"/>
      <c r="J156" s="622">
        <f t="shared" si="61"/>
        <v>19615442</v>
      </c>
      <c r="K156" s="47"/>
      <c r="L156" s="179"/>
      <c r="M156" s="179"/>
      <c r="N156" s="268">
        <f>O156</f>
        <v>19615442</v>
      </c>
      <c r="O156" s="631">
        <f>((10282110)+8145732+450000)+737600</f>
        <v>19615442</v>
      </c>
      <c r="P156" s="622">
        <f t="shared" si="65"/>
        <v>119618100.27</v>
      </c>
    </row>
    <row r="157" spans="1:18" ht="92.25" x14ac:dyDescent="0.2">
      <c r="A157" s="621" t="s">
        <v>571</v>
      </c>
      <c r="B157" s="621" t="s">
        <v>572</v>
      </c>
      <c r="C157" s="621" t="s">
        <v>570</v>
      </c>
      <c r="D157" s="621" t="s">
        <v>573</v>
      </c>
      <c r="E157" s="248">
        <f t="shared" si="62"/>
        <v>0</v>
      </c>
      <c r="F157" s="47"/>
      <c r="G157" s="179"/>
      <c r="H157" s="179"/>
      <c r="I157" s="47"/>
      <c r="J157" s="622">
        <f t="shared" si="61"/>
        <v>13738415.880000001</v>
      </c>
      <c r="K157" s="47"/>
      <c r="L157" s="179"/>
      <c r="M157" s="179"/>
      <c r="N157" s="268">
        <f>O157</f>
        <v>13738415.880000001</v>
      </c>
      <c r="O157" s="631">
        <f>((20000000)+5000000)-11261584.12</f>
        <v>13738415.880000001</v>
      </c>
      <c r="P157" s="622">
        <f t="shared" si="65"/>
        <v>13738415.880000001</v>
      </c>
    </row>
    <row r="158" spans="1:18" ht="183" x14ac:dyDescent="0.2">
      <c r="A158" s="621" t="s">
        <v>722</v>
      </c>
      <c r="B158" s="621" t="s">
        <v>609</v>
      </c>
      <c r="C158" s="621" t="s">
        <v>570</v>
      </c>
      <c r="D158" s="621" t="s">
        <v>607</v>
      </c>
      <c r="E158" s="248">
        <v>0</v>
      </c>
      <c r="F158" s="47"/>
      <c r="G158" s="179"/>
      <c r="H158" s="179"/>
      <c r="I158" s="47"/>
      <c r="J158" s="622">
        <f t="shared" si="61"/>
        <v>700000</v>
      </c>
      <c r="K158" s="47"/>
      <c r="L158" s="179"/>
      <c r="M158" s="179"/>
      <c r="N158" s="268">
        <f>O158</f>
        <v>700000</v>
      </c>
      <c r="O158" s="631">
        <v>700000</v>
      </c>
      <c r="P158" s="622">
        <f t="shared" si="65"/>
        <v>700000</v>
      </c>
    </row>
    <row r="159" spans="1:18" ht="91.5" hidden="1" x14ac:dyDescent="0.2">
      <c r="A159" s="621" t="s">
        <v>979</v>
      </c>
      <c r="B159" s="621" t="s">
        <v>980</v>
      </c>
      <c r="C159" s="621"/>
      <c r="D159" s="621" t="s">
        <v>978</v>
      </c>
      <c r="E159" s="622">
        <f t="shared" ref="E159:E160" si="66">F159</f>
        <v>0</v>
      </c>
      <c r="F159" s="630">
        <f>SUM(F160)</f>
        <v>0</v>
      </c>
      <c r="G159" s="179"/>
      <c r="H159" s="631"/>
      <c r="I159" s="630"/>
      <c r="J159" s="622">
        <f t="shared" si="61"/>
        <v>0</v>
      </c>
      <c r="K159" s="630">
        <f>SUM(K160)</f>
        <v>0</v>
      </c>
      <c r="L159" s="631"/>
      <c r="M159" s="631"/>
      <c r="N159" s="630">
        <f t="shared" ref="N159:N162" si="67">O159</f>
        <v>0</v>
      </c>
      <c r="O159" s="630">
        <f>SUM(O160)</f>
        <v>0</v>
      </c>
      <c r="P159" s="622">
        <f t="shared" si="65"/>
        <v>0</v>
      </c>
    </row>
    <row r="160" spans="1:18" ht="228.75" hidden="1" x14ac:dyDescent="0.2">
      <c r="A160" s="621" t="s">
        <v>981</v>
      </c>
      <c r="B160" s="621" t="s">
        <v>983</v>
      </c>
      <c r="C160" s="621" t="s">
        <v>324</v>
      </c>
      <c r="D160" s="621" t="s">
        <v>982</v>
      </c>
      <c r="E160" s="47">
        <f t="shared" si="66"/>
        <v>0</v>
      </c>
      <c r="F160" s="47"/>
      <c r="G160" s="47"/>
      <c r="H160" s="47"/>
      <c r="I160" s="47"/>
      <c r="J160" s="47">
        <f t="shared" si="61"/>
        <v>0</v>
      </c>
      <c r="K160" s="268"/>
      <c r="L160" s="268"/>
      <c r="M160" s="268"/>
      <c r="N160" s="268">
        <f t="shared" si="67"/>
        <v>0</v>
      </c>
      <c r="O160" s="268">
        <f>942931.88-942931.88</f>
        <v>0</v>
      </c>
      <c r="P160" s="630">
        <f>+J160+E160</f>
        <v>0</v>
      </c>
    </row>
    <row r="161" spans="1:18" ht="137.25" x14ac:dyDescent="0.2">
      <c r="A161" s="621" t="s">
        <v>544</v>
      </c>
      <c r="B161" s="621" t="s">
        <v>545</v>
      </c>
      <c r="C161" s="621"/>
      <c r="D161" s="621" t="s">
        <v>547</v>
      </c>
      <c r="E161" s="622">
        <f t="shared" si="62"/>
        <v>15107705</v>
      </c>
      <c r="F161" s="630">
        <f>SUM(F162)</f>
        <v>15107705</v>
      </c>
      <c r="G161" s="179"/>
      <c r="H161" s="631"/>
      <c r="I161" s="630"/>
      <c r="J161" s="622">
        <f t="shared" si="61"/>
        <v>0</v>
      </c>
      <c r="K161" s="630">
        <f>SUM(K162)</f>
        <v>0</v>
      </c>
      <c r="L161" s="631"/>
      <c r="M161" s="631"/>
      <c r="N161" s="630">
        <f t="shared" si="67"/>
        <v>0</v>
      </c>
      <c r="O161" s="630">
        <f>SUM(O162)</f>
        <v>0</v>
      </c>
      <c r="P161" s="622">
        <f t="shared" si="65"/>
        <v>15107705</v>
      </c>
    </row>
    <row r="162" spans="1:18" ht="91.5" x14ac:dyDescent="0.2">
      <c r="A162" s="629" t="s">
        <v>543</v>
      </c>
      <c r="B162" s="629" t="s">
        <v>546</v>
      </c>
      <c r="C162" s="629" t="s">
        <v>549</v>
      </c>
      <c r="D162" s="629" t="s">
        <v>548</v>
      </c>
      <c r="E162" s="47">
        <f t="shared" si="62"/>
        <v>15107705</v>
      </c>
      <c r="F162" s="47">
        <f>(15000000)+107705</f>
        <v>15107705</v>
      </c>
      <c r="G162" s="47"/>
      <c r="H162" s="47"/>
      <c r="I162" s="47"/>
      <c r="J162" s="47">
        <f t="shared" si="61"/>
        <v>0</v>
      </c>
      <c r="K162" s="268"/>
      <c r="L162" s="268"/>
      <c r="M162" s="268"/>
      <c r="N162" s="268">
        <f t="shared" si="67"/>
        <v>0</v>
      </c>
      <c r="O162" s="268"/>
      <c r="P162" s="630">
        <f>+J162+E162</f>
        <v>15107705</v>
      </c>
    </row>
    <row r="163" spans="1:18" ht="137.25" x14ac:dyDescent="0.2">
      <c r="A163" s="621" t="s">
        <v>550</v>
      </c>
      <c r="B163" s="621" t="s">
        <v>551</v>
      </c>
      <c r="C163" s="621"/>
      <c r="D163" s="621" t="s">
        <v>552</v>
      </c>
      <c r="E163" s="622">
        <f t="shared" si="62"/>
        <v>48578600</v>
      </c>
      <c r="F163" s="630">
        <f>SUM(F164)</f>
        <v>48578600</v>
      </c>
      <c r="G163" s="179"/>
      <c r="H163" s="631"/>
      <c r="I163" s="630"/>
      <c r="J163" s="622">
        <f t="shared" si="61"/>
        <v>85911083.090000004</v>
      </c>
      <c r="K163" s="630">
        <f>SUM(K164)</f>
        <v>0</v>
      </c>
      <c r="L163" s="631"/>
      <c r="M163" s="631"/>
      <c r="N163" s="630">
        <f>N164</f>
        <v>85911083.090000004</v>
      </c>
      <c r="O163" s="630">
        <f>SUM(O164)</f>
        <v>85396860</v>
      </c>
      <c r="P163" s="622">
        <f t="shared" ref="P163" si="68">E163+J163</f>
        <v>134489683.09</v>
      </c>
    </row>
    <row r="164" spans="1:18" ht="228.75" x14ac:dyDescent="0.2">
      <c r="A164" s="629" t="s">
        <v>553</v>
      </c>
      <c r="B164" s="629" t="s">
        <v>554</v>
      </c>
      <c r="C164" s="629" t="s">
        <v>556</v>
      </c>
      <c r="D164" s="629" t="s">
        <v>555</v>
      </c>
      <c r="E164" s="47">
        <f t="shared" si="62"/>
        <v>48578600</v>
      </c>
      <c r="F164" s="47">
        <f>(30000000)+18578600</f>
        <v>48578600</v>
      </c>
      <c r="G164" s="47"/>
      <c r="H164" s="47"/>
      <c r="I164" s="47"/>
      <c r="J164" s="47">
        <f t="shared" si="61"/>
        <v>85911083.090000004</v>
      </c>
      <c r="K164" s="268"/>
      <c r="L164" s="268"/>
      <c r="M164" s="268"/>
      <c r="N164" s="268">
        <f>O164+514223.09</f>
        <v>85911083.090000004</v>
      </c>
      <c r="O164" s="268">
        <f>((58865000)+25301210-1200000)+2430650</f>
        <v>85396860</v>
      </c>
      <c r="P164" s="630">
        <f>+J164+E164</f>
        <v>134489683.09</v>
      </c>
    </row>
    <row r="165" spans="1:18" ht="46.5" x14ac:dyDescent="0.2">
      <c r="A165" s="621" t="s">
        <v>557</v>
      </c>
      <c r="B165" s="621" t="s">
        <v>403</v>
      </c>
      <c r="C165" s="621" t="s">
        <v>404</v>
      </c>
      <c r="D165" s="621" t="s">
        <v>99</v>
      </c>
      <c r="E165" s="248">
        <f t="shared" si="62"/>
        <v>1173300</v>
      </c>
      <c r="F165" s="47">
        <f>((1018300)+100000)+55000</f>
        <v>1173300</v>
      </c>
      <c r="G165" s="179"/>
      <c r="H165" s="179"/>
      <c r="I165" s="47"/>
      <c r="J165" s="622">
        <f t="shared" si="61"/>
        <v>1800000</v>
      </c>
      <c r="K165" s="47"/>
      <c r="L165" s="179"/>
      <c r="M165" s="179"/>
      <c r="N165" s="268">
        <f>O165</f>
        <v>1800000</v>
      </c>
      <c r="O165" s="631">
        <f>((2000000)+1500000)-1700000</f>
        <v>1800000</v>
      </c>
      <c r="P165" s="622">
        <f t="shared" ref="P165:P168" si="69">E165+J165</f>
        <v>2973300</v>
      </c>
    </row>
    <row r="166" spans="1:18" ht="91.5" x14ac:dyDescent="0.65">
      <c r="A166" s="621" t="s">
        <v>575</v>
      </c>
      <c r="B166" s="621" t="s">
        <v>373</v>
      </c>
      <c r="C166" s="621" t="s">
        <v>324</v>
      </c>
      <c r="D166" s="621" t="s">
        <v>89</v>
      </c>
      <c r="E166" s="248">
        <f t="shared" si="62"/>
        <v>0</v>
      </c>
      <c r="F166" s="47"/>
      <c r="G166" s="179"/>
      <c r="H166" s="179"/>
      <c r="I166" s="47"/>
      <c r="J166" s="622">
        <f t="shared" si="61"/>
        <v>56295562</v>
      </c>
      <c r="K166" s="47"/>
      <c r="L166" s="179"/>
      <c r="M166" s="179"/>
      <c r="N166" s="268">
        <f>O166</f>
        <v>56295562</v>
      </c>
      <c r="O166" s="631">
        <f>((7653700)+47016269-450000-2800000+(1750000))+2991971+200000-66378</f>
        <v>56295562</v>
      </c>
      <c r="P166" s="622">
        <f t="shared" si="69"/>
        <v>56295562</v>
      </c>
      <c r="Q166" s="536"/>
    </row>
    <row r="167" spans="1:18" ht="183" x14ac:dyDescent="0.2">
      <c r="A167" s="621" t="s">
        <v>558</v>
      </c>
      <c r="B167" s="621" t="s">
        <v>559</v>
      </c>
      <c r="C167" s="621" t="s">
        <v>490</v>
      </c>
      <c r="D167" s="621" t="s">
        <v>703</v>
      </c>
      <c r="E167" s="248">
        <f t="shared" si="62"/>
        <v>252990</v>
      </c>
      <c r="F167" s="47">
        <v>252990</v>
      </c>
      <c r="G167" s="179"/>
      <c r="H167" s="179"/>
      <c r="I167" s="47"/>
      <c r="J167" s="622">
        <f t="shared" si="61"/>
        <v>0</v>
      </c>
      <c r="K167" s="47"/>
      <c r="L167" s="179"/>
      <c r="M167" s="179"/>
      <c r="N167" s="268">
        <f>O167</f>
        <v>0</v>
      </c>
      <c r="O167" s="631"/>
      <c r="P167" s="622">
        <f t="shared" si="69"/>
        <v>252990</v>
      </c>
    </row>
    <row r="168" spans="1:18" ht="91.5" x14ac:dyDescent="0.2">
      <c r="A168" s="621" t="s">
        <v>488</v>
      </c>
      <c r="B168" s="621" t="s">
        <v>489</v>
      </c>
      <c r="C168" s="621" t="s">
        <v>490</v>
      </c>
      <c r="D168" s="621" t="s">
        <v>487</v>
      </c>
      <c r="E168" s="248">
        <f t="shared" si="62"/>
        <v>1165188</v>
      </c>
      <c r="F168" s="47">
        <f>1050500+95000+19688</f>
        <v>1165188</v>
      </c>
      <c r="G168" s="179">
        <f>(839900)+3850</f>
        <v>843750</v>
      </c>
      <c r="H168" s="179">
        <v>11500</v>
      </c>
      <c r="I168" s="47"/>
      <c r="J168" s="622">
        <f t="shared" si="61"/>
        <v>7400</v>
      </c>
      <c r="K168" s="47">
        <v>7400</v>
      </c>
      <c r="L168" s="179"/>
      <c r="M168" s="179"/>
      <c r="N168" s="268">
        <f>O168</f>
        <v>0</v>
      </c>
      <c r="O168" s="631"/>
      <c r="P168" s="622">
        <f t="shared" si="69"/>
        <v>1172588</v>
      </c>
    </row>
    <row r="169" spans="1:18" ht="315" x14ac:dyDescent="0.2">
      <c r="A169" s="277" t="s">
        <v>69</v>
      </c>
      <c r="B169" s="277"/>
      <c r="C169" s="277"/>
      <c r="D169" s="277" t="s">
        <v>933</v>
      </c>
      <c r="E169" s="243">
        <f>E170</f>
        <v>0</v>
      </c>
      <c r="F169" s="243">
        <f t="shared" ref="F169:P169" si="70">F170</f>
        <v>0</v>
      </c>
      <c r="G169" s="243">
        <f t="shared" si="70"/>
        <v>0</v>
      </c>
      <c r="H169" s="243">
        <f t="shared" si="70"/>
        <v>0</v>
      </c>
      <c r="I169" s="243">
        <f t="shared" si="70"/>
        <v>0</v>
      </c>
      <c r="J169" s="243">
        <f t="shared" si="70"/>
        <v>134630394</v>
      </c>
      <c r="K169" s="243">
        <f t="shared" si="70"/>
        <v>0</v>
      </c>
      <c r="L169" s="243">
        <f t="shared" si="70"/>
        <v>0</v>
      </c>
      <c r="M169" s="243">
        <f t="shared" si="70"/>
        <v>0</v>
      </c>
      <c r="N169" s="243">
        <f t="shared" si="70"/>
        <v>134630394</v>
      </c>
      <c r="O169" s="244">
        <f>O170</f>
        <v>134630394</v>
      </c>
      <c r="P169" s="243">
        <f t="shared" si="70"/>
        <v>134630394</v>
      </c>
    </row>
    <row r="170" spans="1:18" ht="270" x14ac:dyDescent="0.2">
      <c r="A170" s="280" t="s">
        <v>70</v>
      </c>
      <c r="B170" s="280"/>
      <c r="C170" s="280"/>
      <c r="D170" s="280" t="s">
        <v>932</v>
      </c>
      <c r="E170" s="244">
        <f>E171+E174+E175</f>
        <v>0</v>
      </c>
      <c r="F170" s="243">
        <f t="shared" ref="F170:I170" si="71">F171+F174+F175</f>
        <v>0</v>
      </c>
      <c r="G170" s="244">
        <f t="shared" si="71"/>
        <v>0</v>
      </c>
      <c r="H170" s="244">
        <f t="shared" si="71"/>
        <v>0</v>
      </c>
      <c r="I170" s="243">
        <f t="shared" si="71"/>
        <v>0</v>
      </c>
      <c r="J170" s="244">
        <f t="shared" ref="J170:J175" si="72">K170+N170</f>
        <v>134630394</v>
      </c>
      <c r="K170" s="243">
        <f t="shared" ref="K170:O170" si="73">K171+K174+K175</f>
        <v>0</v>
      </c>
      <c r="L170" s="244">
        <f t="shared" si="73"/>
        <v>0</v>
      </c>
      <c r="M170" s="244">
        <f t="shared" si="73"/>
        <v>0</v>
      </c>
      <c r="N170" s="243">
        <f t="shared" si="73"/>
        <v>134630394</v>
      </c>
      <c r="O170" s="244">
        <f t="shared" si="73"/>
        <v>134630394</v>
      </c>
      <c r="P170" s="244">
        <f t="shared" ref="P170" si="74">+J170+E170</f>
        <v>134630394</v>
      </c>
      <c r="Q170" s="311" t="b">
        <f>P170=P172+P173+P174+P175</f>
        <v>1</v>
      </c>
      <c r="R170" s="325" t="b">
        <f>O170=[2]dod5!J206</f>
        <v>1</v>
      </c>
    </row>
    <row r="171" spans="1:18" ht="137.25" x14ac:dyDescent="0.2">
      <c r="A171" s="621" t="s">
        <v>599</v>
      </c>
      <c r="B171" s="621" t="s">
        <v>600</v>
      </c>
      <c r="C171" s="621"/>
      <c r="D171" s="621" t="s">
        <v>598</v>
      </c>
      <c r="E171" s="248">
        <f t="shared" ref="E171:E173" si="75">F171</f>
        <v>0</v>
      </c>
      <c r="F171" s="47">
        <f>F172+F173</f>
        <v>0</v>
      </c>
      <c r="G171" s="179">
        <f>G172+G173</f>
        <v>0</v>
      </c>
      <c r="H171" s="179">
        <f>H172+H173</f>
        <v>0</v>
      </c>
      <c r="I171" s="47">
        <f>I172+I173</f>
        <v>0</v>
      </c>
      <c r="J171" s="622">
        <f t="shared" si="72"/>
        <v>98225000</v>
      </c>
      <c r="K171" s="47">
        <f>K172+K173</f>
        <v>0</v>
      </c>
      <c r="L171" s="179">
        <f>L172+L173</f>
        <v>0</v>
      </c>
      <c r="M171" s="179">
        <f>M172+M173</f>
        <v>0</v>
      </c>
      <c r="N171" s="268">
        <f>N172+N173</f>
        <v>98225000</v>
      </c>
      <c r="O171" s="47">
        <f>O172+O173</f>
        <v>98225000</v>
      </c>
      <c r="P171" s="622">
        <f t="shared" ref="P171:P173" si="76">E171+J171</f>
        <v>98225000</v>
      </c>
    </row>
    <row r="172" spans="1:18" ht="91.5" x14ac:dyDescent="0.2">
      <c r="A172" s="629" t="s">
        <v>602</v>
      </c>
      <c r="B172" s="629" t="s">
        <v>603</v>
      </c>
      <c r="C172" s="629" t="s">
        <v>570</v>
      </c>
      <c r="D172" s="629" t="s">
        <v>601</v>
      </c>
      <c r="E172" s="630">
        <f t="shared" si="75"/>
        <v>0</v>
      </c>
      <c r="F172" s="630"/>
      <c r="G172" s="630"/>
      <c r="H172" s="630"/>
      <c r="I172" s="630"/>
      <c r="J172" s="630">
        <f t="shared" si="72"/>
        <v>65200000</v>
      </c>
      <c r="K172" s="630"/>
      <c r="L172" s="630"/>
      <c r="M172" s="630"/>
      <c r="N172" s="630">
        <f>O172</f>
        <v>65200000</v>
      </c>
      <c r="O172" s="631">
        <f>((35888000)+18550000+(5000000))+5762000</f>
        <v>65200000</v>
      </c>
      <c r="P172" s="630">
        <f t="shared" si="76"/>
        <v>65200000</v>
      </c>
    </row>
    <row r="173" spans="1:18" ht="137.25" x14ac:dyDescent="0.2">
      <c r="A173" s="629" t="s">
        <v>604</v>
      </c>
      <c r="B173" s="629" t="s">
        <v>605</v>
      </c>
      <c r="C173" s="629" t="s">
        <v>570</v>
      </c>
      <c r="D173" s="629" t="s">
        <v>606</v>
      </c>
      <c r="E173" s="630">
        <f t="shared" si="75"/>
        <v>0</v>
      </c>
      <c r="F173" s="630"/>
      <c r="G173" s="630"/>
      <c r="H173" s="630"/>
      <c r="I173" s="630"/>
      <c r="J173" s="630">
        <f t="shared" si="72"/>
        <v>33025000</v>
      </c>
      <c r="K173" s="630"/>
      <c r="L173" s="630"/>
      <c r="M173" s="630"/>
      <c r="N173" s="630">
        <f>O173</f>
        <v>33025000</v>
      </c>
      <c r="O173" s="630">
        <f>((5000000+510000)+480000-1000000+250000+5000000-2200000+(27000000))-2015000</f>
        <v>33025000</v>
      </c>
      <c r="P173" s="630">
        <f t="shared" si="76"/>
        <v>33025000</v>
      </c>
    </row>
    <row r="174" spans="1:18" ht="183" x14ac:dyDescent="0.2">
      <c r="A174" s="621" t="s">
        <v>608</v>
      </c>
      <c r="B174" s="621" t="s">
        <v>609</v>
      </c>
      <c r="C174" s="621" t="s">
        <v>570</v>
      </c>
      <c r="D174" s="621" t="s">
        <v>607</v>
      </c>
      <c r="E174" s="622">
        <f>F174</f>
        <v>0</v>
      </c>
      <c r="F174" s="630"/>
      <c r="G174" s="631"/>
      <c r="H174" s="631"/>
      <c r="I174" s="630"/>
      <c r="J174" s="622">
        <f t="shared" si="72"/>
        <v>36405394</v>
      </c>
      <c r="K174" s="630"/>
      <c r="L174" s="631"/>
      <c r="M174" s="631"/>
      <c r="N174" s="630">
        <f t="shared" ref="N174" si="77">O174</f>
        <v>36405394</v>
      </c>
      <c r="O174" s="333">
        <f>((14952000+360000)+15280000+1000000-250000)+5573000-509606</f>
        <v>36405394</v>
      </c>
      <c r="P174" s="622">
        <f>E174+J174</f>
        <v>36405394</v>
      </c>
    </row>
    <row r="175" spans="1:18" ht="91.5" x14ac:dyDescent="0.2">
      <c r="A175" s="621" t="s">
        <v>610</v>
      </c>
      <c r="B175" s="621" t="s">
        <v>373</v>
      </c>
      <c r="C175" s="621" t="s">
        <v>324</v>
      </c>
      <c r="D175" s="621" t="s">
        <v>89</v>
      </c>
      <c r="E175" s="248">
        <f t="shared" ref="E175" si="78">F175</f>
        <v>0</v>
      </c>
      <c r="F175" s="47"/>
      <c r="G175" s="179"/>
      <c r="H175" s="179"/>
      <c r="I175" s="47"/>
      <c r="J175" s="622">
        <f t="shared" si="72"/>
        <v>0</v>
      </c>
      <c r="K175" s="47"/>
      <c r="L175" s="179"/>
      <c r="M175" s="179"/>
      <c r="N175" s="268">
        <f>O175</f>
        <v>0</v>
      </c>
      <c r="O175" s="631">
        <f>(180000)-180000</f>
        <v>0</v>
      </c>
      <c r="P175" s="622">
        <f t="shared" ref="P175" si="79">E175+J175</f>
        <v>0</v>
      </c>
    </row>
    <row r="176" spans="1:18" ht="270" x14ac:dyDescent="0.2">
      <c r="A176" s="277" t="s">
        <v>314</v>
      </c>
      <c r="B176" s="277"/>
      <c r="C176" s="277"/>
      <c r="D176" s="277" t="s">
        <v>71</v>
      </c>
      <c r="E176" s="243">
        <f>E177</f>
        <v>0</v>
      </c>
      <c r="F176" s="243">
        <f t="shared" ref="F176:P177" si="80">F177</f>
        <v>0</v>
      </c>
      <c r="G176" s="243">
        <f t="shared" si="80"/>
        <v>0</v>
      </c>
      <c r="H176" s="243">
        <f t="shared" si="80"/>
        <v>0</v>
      </c>
      <c r="I176" s="243">
        <f t="shared" si="80"/>
        <v>0</v>
      </c>
      <c r="J176" s="243">
        <f t="shared" si="80"/>
        <v>182900</v>
      </c>
      <c r="K176" s="243">
        <f t="shared" si="80"/>
        <v>0</v>
      </c>
      <c r="L176" s="243">
        <f t="shared" si="80"/>
        <v>0</v>
      </c>
      <c r="M176" s="243">
        <f t="shared" si="80"/>
        <v>0</v>
      </c>
      <c r="N176" s="243">
        <f t="shared" si="80"/>
        <v>182900</v>
      </c>
      <c r="O176" s="244">
        <f t="shared" si="80"/>
        <v>182900</v>
      </c>
      <c r="P176" s="243">
        <f t="shared" si="80"/>
        <v>182900</v>
      </c>
    </row>
    <row r="177" spans="1:18" ht="270" x14ac:dyDescent="0.2">
      <c r="A177" s="280" t="s">
        <v>315</v>
      </c>
      <c r="B177" s="280"/>
      <c r="C177" s="280"/>
      <c r="D177" s="280" t="s">
        <v>96</v>
      </c>
      <c r="E177" s="244">
        <f>E178</f>
        <v>0</v>
      </c>
      <c r="F177" s="243">
        <f>E177</f>
        <v>0</v>
      </c>
      <c r="G177" s="244">
        <f t="shared" si="80"/>
        <v>0</v>
      </c>
      <c r="H177" s="244">
        <f t="shared" si="80"/>
        <v>0</v>
      </c>
      <c r="I177" s="243">
        <f t="shared" si="80"/>
        <v>0</v>
      </c>
      <c r="J177" s="244">
        <f>K177+N177</f>
        <v>182900</v>
      </c>
      <c r="K177" s="243">
        <f t="shared" si="80"/>
        <v>0</v>
      </c>
      <c r="L177" s="244">
        <f t="shared" si="80"/>
        <v>0</v>
      </c>
      <c r="M177" s="244">
        <f>M178</f>
        <v>0</v>
      </c>
      <c r="N177" s="243">
        <f>N178</f>
        <v>182900</v>
      </c>
      <c r="O177" s="244">
        <f>O178</f>
        <v>182900</v>
      </c>
      <c r="P177" s="244">
        <f>+J177+E177</f>
        <v>182900</v>
      </c>
      <c r="Q177" s="311" t="b">
        <f>P177=P178</f>
        <v>1</v>
      </c>
      <c r="R177" s="325" t="b">
        <f>P177=[2]dod5!J240</f>
        <v>1</v>
      </c>
    </row>
    <row r="178" spans="1:18" ht="137.25" x14ac:dyDescent="0.2">
      <c r="A178" s="621" t="s">
        <v>580</v>
      </c>
      <c r="B178" s="621" t="s">
        <v>581</v>
      </c>
      <c r="C178" s="621" t="s">
        <v>570</v>
      </c>
      <c r="D178" s="621" t="s">
        <v>582</v>
      </c>
      <c r="E178" s="622">
        <f>F178</f>
        <v>0</v>
      </c>
      <c r="F178" s="630">
        <v>0</v>
      </c>
      <c r="G178" s="631"/>
      <c r="H178" s="631"/>
      <c r="I178" s="630"/>
      <c r="J178" s="622">
        <f>K178+N178</f>
        <v>182900</v>
      </c>
      <c r="K178" s="630"/>
      <c r="L178" s="631"/>
      <c r="M178" s="631"/>
      <c r="N178" s="630">
        <f>O178</f>
        <v>182900</v>
      </c>
      <c r="O178" s="631">
        <f>((780000)+2376000+150300)-2376000-780000+16300+16300</f>
        <v>182900</v>
      </c>
      <c r="P178" s="622">
        <f>E178+J178</f>
        <v>182900</v>
      </c>
    </row>
    <row r="179" spans="1:18" ht="135" x14ac:dyDescent="0.2">
      <c r="A179" s="277" t="s">
        <v>320</v>
      </c>
      <c r="B179" s="277"/>
      <c r="C179" s="277"/>
      <c r="D179" s="277" t="s">
        <v>764</v>
      </c>
      <c r="E179" s="243">
        <f>E180</f>
        <v>4838801.5999999996</v>
      </c>
      <c r="F179" s="243">
        <f t="shared" ref="F179:P179" si="81">F180</f>
        <v>4838801.5999999996</v>
      </c>
      <c r="G179" s="243">
        <f t="shared" si="81"/>
        <v>0</v>
      </c>
      <c r="H179" s="243">
        <f t="shared" si="81"/>
        <v>0</v>
      </c>
      <c r="I179" s="243">
        <f t="shared" si="81"/>
        <v>0</v>
      </c>
      <c r="J179" s="243">
        <f t="shared" si="81"/>
        <v>909350</v>
      </c>
      <c r="K179" s="243">
        <f t="shared" si="81"/>
        <v>0</v>
      </c>
      <c r="L179" s="243">
        <f t="shared" si="81"/>
        <v>0</v>
      </c>
      <c r="M179" s="243">
        <f t="shared" si="81"/>
        <v>0</v>
      </c>
      <c r="N179" s="243">
        <f t="shared" si="81"/>
        <v>909350</v>
      </c>
      <c r="O179" s="244">
        <f t="shared" si="81"/>
        <v>909350</v>
      </c>
      <c r="P179" s="243">
        <f t="shared" si="81"/>
        <v>5748151.5999999996</v>
      </c>
    </row>
    <row r="180" spans="1:18" ht="135" x14ac:dyDescent="0.2">
      <c r="A180" s="280" t="s">
        <v>321</v>
      </c>
      <c r="B180" s="280"/>
      <c r="C180" s="280"/>
      <c r="D180" s="280" t="s">
        <v>765</v>
      </c>
      <c r="E180" s="244">
        <f>SUM(E181:E184)</f>
        <v>4838801.5999999996</v>
      </c>
      <c r="F180" s="243">
        <f t="shared" ref="F180:I180" si="82">SUM(F181:F184)</f>
        <v>4838801.5999999996</v>
      </c>
      <c r="G180" s="243">
        <f t="shared" si="82"/>
        <v>0</v>
      </c>
      <c r="H180" s="243">
        <f t="shared" si="82"/>
        <v>0</v>
      </c>
      <c r="I180" s="243">
        <f t="shared" si="82"/>
        <v>0</v>
      </c>
      <c r="J180" s="244">
        <f>K180+N180</f>
        <v>909350</v>
      </c>
      <c r="K180" s="243">
        <f>SUM(K181:K184)</f>
        <v>0</v>
      </c>
      <c r="L180" s="244">
        <f t="shared" ref="L180:M180" si="83">SUM(L181:L184)</f>
        <v>0</v>
      </c>
      <c r="M180" s="244">
        <f t="shared" si="83"/>
        <v>0</v>
      </c>
      <c r="N180" s="243">
        <f>SUM(N181:N184)</f>
        <v>909350</v>
      </c>
      <c r="O180" s="244">
        <f>SUM(O181:O184)</f>
        <v>909350</v>
      </c>
      <c r="P180" s="244">
        <f>E180+J180</f>
        <v>5748151.5999999996</v>
      </c>
      <c r="Q180" s="311" t="b">
        <f>P180=P181+P182+P183+P185</f>
        <v>1</v>
      </c>
      <c r="R180" s="325" t="b">
        <f>O180=[2]dod5!J247</f>
        <v>1</v>
      </c>
    </row>
    <row r="181" spans="1:18" ht="137.25" x14ac:dyDescent="0.2">
      <c r="A181" s="621" t="s">
        <v>755</v>
      </c>
      <c r="B181" s="621" t="s">
        <v>756</v>
      </c>
      <c r="C181" s="621" t="s">
        <v>324</v>
      </c>
      <c r="D181" s="621" t="s">
        <v>502</v>
      </c>
      <c r="E181" s="622">
        <f>F181</f>
        <v>0</v>
      </c>
      <c r="F181" s="630"/>
      <c r="G181" s="631"/>
      <c r="H181" s="631"/>
      <c r="I181" s="630"/>
      <c r="J181" s="622">
        <f>K181+N181</f>
        <v>294000</v>
      </c>
      <c r="K181" s="630"/>
      <c r="L181" s="631"/>
      <c r="M181" s="631"/>
      <c r="N181" s="630">
        <f>O181</f>
        <v>294000</v>
      </c>
      <c r="O181" s="631">
        <f>((1000000+200000)-700000)-206000</f>
        <v>294000</v>
      </c>
      <c r="P181" s="622">
        <f>E181+J181</f>
        <v>294000</v>
      </c>
    </row>
    <row r="182" spans="1:18" ht="91.5" x14ac:dyDescent="0.2">
      <c r="A182" s="621" t="s">
        <v>500</v>
      </c>
      <c r="B182" s="621" t="s">
        <v>501</v>
      </c>
      <c r="C182" s="621" t="s">
        <v>499</v>
      </c>
      <c r="D182" s="621" t="s">
        <v>498</v>
      </c>
      <c r="E182" s="622">
        <f t="shared" ref="E182:E185" si="84">F182</f>
        <v>2200000</v>
      </c>
      <c r="F182" s="630">
        <f>(1500000)+700000</f>
        <v>2200000</v>
      </c>
      <c r="G182" s="631"/>
      <c r="H182" s="631"/>
      <c r="I182" s="630"/>
      <c r="J182" s="622">
        <f t="shared" ref="J182:J185" si="85">K182+N182</f>
        <v>0</v>
      </c>
      <c r="K182" s="630"/>
      <c r="L182" s="631"/>
      <c r="M182" s="631"/>
      <c r="N182" s="630">
        <f t="shared" ref="N182:N185" si="86">O182</f>
        <v>0</v>
      </c>
      <c r="O182" s="631"/>
      <c r="P182" s="622">
        <f t="shared" ref="P182:P185" si="87">E182+J182</f>
        <v>2200000</v>
      </c>
    </row>
    <row r="183" spans="1:18" ht="137.25" x14ac:dyDescent="0.2">
      <c r="A183" s="621" t="s">
        <v>491</v>
      </c>
      <c r="B183" s="621" t="s">
        <v>493</v>
      </c>
      <c r="C183" s="621" t="s">
        <v>404</v>
      </c>
      <c r="D183" s="621" t="s">
        <v>492</v>
      </c>
      <c r="E183" s="622">
        <f t="shared" si="84"/>
        <v>455000</v>
      </c>
      <c r="F183" s="630">
        <f>(475000)-20000</f>
        <v>455000</v>
      </c>
      <c r="G183" s="631"/>
      <c r="H183" s="631"/>
      <c r="I183" s="630"/>
      <c r="J183" s="622">
        <f t="shared" si="85"/>
        <v>20000</v>
      </c>
      <c r="K183" s="630"/>
      <c r="L183" s="631"/>
      <c r="M183" s="631"/>
      <c r="N183" s="630">
        <f t="shared" si="86"/>
        <v>20000</v>
      </c>
      <c r="O183" s="631">
        <v>20000</v>
      </c>
      <c r="P183" s="622">
        <f t="shared" si="87"/>
        <v>475000</v>
      </c>
    </row>
    <row r="184" spans="1:18" ht="46.5" x14ac:dyDescent="0.2">
      <c r="A184" s="621" t="s">
        <v>495</v>
      </c>
      <c r="B184" s="621" t="s">
        <v>449</v>
      </c>
      <c r="C184" s="621" t="s">
        <v>324</v>
      </c>
      <c r="D184" s="621" t="s">
        <v>447</v>
      </c>
      <c r="E184" s="622">
        <f t="shared" si="84"/>
        <v>2183801.6</v>
      </c>
      <c r="F184" s="630">
        <f>SUM(F185:F185)</f>
        <v>2183801.6</v>
      </c>
      <c r="G184" s="631"/>
      <c r="H184" s="631"/>
      <c r="I184" s="630"/>
      <c r="J184" s="622">
        <f t="shared" si="85"/>
        <v>595350</v>
      </c>
      <c r="K184" s="630">
        <f>SUM(K185:K185)</f>
        <v>0</v>
      </c>
      <c r="L184" s="631"/>
      <c r="M184" s="631"/>
      <c r="N184" s="630">
        <f t="shared" si="86"/>
        <v>595350</v>
      </c>
      <c r="O184" s="631">
        <f>SUM(O185:O185)</f>
        <v>595350</v>
      </c>
      <c r="P184" s="622">
        <f t="shared" si="87"/>
        <v>2779151.6</v>
      </c>
    </row>
    <row r="185" spans="1:18" ht="91.5" x14ac:dyDescent="0.2">
      <c r="A185" s="629" t="s">
        <v>496</v>
      </c>
      <c r="B185" s="629" t="s">
        <v>497</v>
      </c>
      <c r="C185" s="629" t="s">
        <v>324</v>
      </c>
      <c r="D185" s="629" t="s">
        <v>494</v>
      </c>
      <c r="E185" s="630">
        <f t="shared" si="84"/>
        <v>2183801.6</v>
      </c>
      <c r="F185" s="630">
        <f>((4195800-1965302-34698)+100000)-111998.4</f>
        <v>2183801.6</v>
      </c>
      <c r="G185" s="630"/>
      <c r="H185" s="630"/>
      <c r="I185" s="630"/>
      <c r="J185" s="630">
        <f t="shared" si="85"/>
        <v>595350</v>
      </c>
      <c r="K185" s="630"/>
      <c r="L185" s="630"/>
      <c r="M185" s="630"/>
      <c r="N185" s="630">
        <f t="shared" si="86"/>
        <v>595350</v>
      </c>
      <c r="O185" s="630">
        <f>((0)+400000)+195350</f>
        <v>595350</v>
      </c>
      <c r="P185" s="630">
        <f t="shared" si="87"/>
        <v>2779151.6</v>
      </c>
    </row>
    <row r="186" spans="1:18" ht="180" x14ac:dyDescent="0.2">
      <c r="A186" s="277" t="s">
        <v>318</v>
      </c>
      <c r="B186" s="277"/>
      <c r="C186" s="277"/>
      <c r="D186" s="277" t="s">
        <v>72</v>
      </c>
      <c r="E186" s="243">
        <f>E187</f>
        <v>0</v>
      </c>
      <c r="F186" s="243">
        <f t="shared" ref="F186:P186" si="88">F187</f>
        <v>0</v>
      </c>
      <c r="G186" s="243">
        <f t="shared" si="88"/>
        <v>0</v>
      </c>
      <c r="H186" s="243">
        <f t="shared" si="88"/>
        <v>0</v>
      </c>
      <c r="I186" s="243">
        <f t="shared" si="88"/>
        <v>0</v>
      </c>
      <c r="J186" s="243">
        <f t="shared" si="88"/>
        <v>1271148.6600000001</v>
      </c>
      <c r="K186" s="243">
        <f t="shared" si="88"/>
        <v>0</v>
      </c>
      <c r="L186" s="243">
        <f t="shared" si="88"/>
        <v>0</v>
      </c>
      <c r="M186" s="243">
        <f t="shared" si="88"/>
        <v>0</v>
      </c>
      <c r="N186" s="243">
        <f t="shared" si="88"/>
        <v>1271148.6600000001</v>
      </c>
      <c r="O186" s="244">
        <f t="shared" si="88"/>
        <v>0</v>
      </c>
      <c r="P186" s="243">
        <f t="shared" si="88"/>
        <v>1271148.6600000001</v>
      </c>
    </row>
    <row r="187" spans="1:18" ht="180" x14ac:dyDescent="0.2">
      <c r="A187" s="280" t="s">
        <v>319</v>
      </c>
      <c r="B187" s="280"/>
      <c r="C187" s="280"/>
      <c r="D187" s="280" t="s">
        <v>97</v>
      </c>
      <c r="E187" s="244">
        <v>0</v>
      </c>
      <c r="F187" s="243">
        <f>F191+F192+F188</f>
        <v>0</v>
      </c>
      <c r="G187" s="244">
        <f>G191+G192+G188</f>
        <v>0</v>
      </c>
      <c r="H187" s="244">
        <f>H191+H192+H188</f>
        <v>0</v>
      </c>
      <c r="I187" s="243">
        <f>I191+I192+I188</f>
        <v>0</v>
      </c>
      <c r="J187" s="244">
        <f>K187+N187</f>
        <v>1271148.6600000001</v>
      </c>
      <c r="K187" s="243">
        <f>K191+K192+K188</f>
        <v>0</v>
      </c>
      <c r="L187" s="244">
        <f>L191+L192+L188</f>
        <v>0</v>
      </c>
      <c r="M187" s="244">
        <f>M191+M192+M188</f>
        <v>0</v>
      </c>
      <c r="N187" s="243">
        <f>N191+N192+N188</f>
        <v>1271148.6600000001</v>
      </c>
      <c r="O187" s="244">
        <f>O191+O192+O188</f>
        <v>0</v>
      </c>
      <c r="P187" s="244">
        <f>E187+J187</f>
        <v>1271148.6600000001</v>
      </c>
      <c r="Q187" s="311" t="b">
        <f>P187=P189+P190+P191+P192</f>
        <v>1</v>
      </c>
      <c r="R187" s="325" t="b">
        <f>P187=[2]dod7!F18</f>
        <v>1</v>
      </c>
    </row>
    <row r="188" spans="1:18" ht="137.25" x14ac:dyDescent="0.2">
      <c r="A188" s="621" t="s">
        <v>583</v>
      </c>
      <c r="B188" s="621" t="s">
        <v>584</v>
      </c>
      <c r="C188" s="621"/>
      <c r="D188" s="621" t="s">
        <v>585</v>
      </c>
      <c r="E188" s="248">
        <f t="shared" ref="E188:E190" si="89">F188</f>
        <v>0</v>
      </c>
      <c r="F188" s="47">
        <f>F189+F190</f>
        <v>0</v>
      </c>
      <c r="G188" s="179">
        <f>G189+G190</f>
        <v>0</v>
      </c>
      <c r="H188" s="179">
        <f>H189+H190</f>
        <v>0</v>
      </c>
      <c r="I188" s="47">
        <f>I189+I190</f>
        <v>0</v>
      </c>
      <c r="J188" s="622">
        <f t="shared" ref="J188:J190" si="90">K188+N188</f>
        <v>937148.66</v>
      </c>
      <c r="K188" s="47">
        <f>K189+K190</f>
        <v>0</v>
      </c>
      <c r="L188" s="179">
        <f>L189+L190</f>
        <v>0</v>
      </c>
      <c r="M188" s="179">
        <f>M189+M190</f>
        <v>0</v>
      </c>
      <c r="N188" s="268">
        <f>N189+N190</f>
        <v>937148.66</v>
      </c>
      <c r="O188" s="47">
        <f>O189+O190</f>
        <v>0</v>
      </c>
      <c r="P188" s="622">
        <f t="shared" ref="P188:P190" si="91">E188+J188</f>
        <v>937148.66</v>
      </c>
    </row>
    <row r="189" spans="1:18" ht="137.25" x14ac:dyDescent="0.2">
      <c r="A189" s="629" t="s">
        <v>586</v>
      </c>
      <c r="B189" s="629" t="s">
        <v>587</v>
      </c>
      <c r="C189" s="629" t="s">
        <v>119</v>
      </c>
      <c r="D189" s="629" t="s">
        <v>120</v>
      </c>
      <c r="E189" s="630">
        <f t="shared" si="89"/>
        <v>0</v>
      </c>
      <c r="F189" s="630"/>
      <c r="G189" s="630"/>
      <c r="H189" s="630"/>
      <c r="I189" s="630"/>
      <c r="J189" s="630">
        <f t="shared" si="90"/>
        <v>629148.66</v>
      </c>
      <c r="K189" s="630"/>
      <c r="L189" s="630"/>
      <c r="M189" s="630"/>
      <c r="N189" s="630">
        <f>(O189+276000)+68148.66+285000</f>
        <v>629148.66</v>
      </c>
      <c r="O189" s="631"/>
      <c r="P189" s="630">
        <f t="shared" si="91"/>
        <v>629148.66</v>
      </c>
    </row>
    <row r="190" spans="1:18" ht="46.5" x14ac:dyDescent="0.2">
      <c r="A190" s="629" t="s">
        <v>588</v>
      </c>
      <c r="B190" s="629" t="s">
        <v>589</v>
      </c>
      <c r="C190" s="629" t="s">
        <v>121</v>
      </c>
      <c r="D190" s="629" t="s">
        <v>590</v>
      </c>
      <c r="E190" s="630">
        <f t="shared" si="89"/>
        <v>0</v>
      </c>
      <c r="F190" s="630"/>
      <c r="G190" s="630"/>
      <c r="H190" s="630"/>
      <c r="I190" s="630"/>
      <c r="J190" s="630">
        <f t="shared" si="90"/>
        <v>308000</v>
      </c>
      <c r="K190" s="630"/>
      <c r="L190" s="630"/>
      <c r="M190" s="630"/>
      <c r="N190" s="630">
        <f>(O190+70000)+238000</f>
        <v>308000</v>
      </c>
      <c r="O190" s="630"/>
      <c r="P190" s="630">
        <f t="shared" si="91"/>
        <v>308000</v>
      </c>
    </row>
    <row r="191" spans="1:18" ht="91.5" x14ac:dyDescent="0.2">
      <c r="A191" s="621" t="s">
        <v>591</v>
      </c>
      <c r="B191" s="621" t="s">
        <v>592</v>
      </c>
      <c r="C191" s="621" t="s">
        <v>123</v>
      </c>
      <c r="D191" s="621" t="s">
        <v>130</v>
      </c>
      <c r="E191" s="622">
        <v>0</v>
      </c>
      <c r="F191" s="630"/>
      <c r="G191" s="631"/>
      <c r="H191" s="631"/>
      <c r="I191" s="630"/>
      <c r="J191" s="622">
        <f>K191+N191</f>
        <v>125000</v>
      </c>
      <c r="K191" s="630"/>
      <c r="L191" s="631"/>
      <c r="M191" s="631"/>
      <c r="N191" s="268">
        <f>(O191+40000)+85000</f>
        <v>125000</v>
      </c>
      <c r="O191" s="631"/>
      <c r="P191" s="622">
        <f>E191+J191</f>
        <v>125000</v>
      </c>
    </row>
    <row r="192" spans="1:18" ht="137.25" x14ac:dyDescent="0.2">
      <c r="A192" s="621" t="s">
        <v>593</v>
      </c>
      <c r="B192" s="621" t="s">
        <v>594</v>
      </c>
      <c r="C192" s="621" t="s">
        <v>122</v>
      </c>
      <c r="D192" s="621" t="s">
        <v>595</v>
      </c>
      <c r="E192" s="622">
        <v>0</v>
      </c>
      <c r="F192" s="630"/>
      <c r="G192" s="631"/>
      <c r="H192" s="631"/>
      <c r="I192" s="630"/>
      <c r="J192" s="622">
        <f>K192+N192</f>
        <v>209000</v>
      </c>
      <c r="K192" s="630"/>
      <c r="L192" s="631"/>
      <c r="M192" s="631"/>
      <c r="N192" s="268">
        <f>(O192+179000)+30000</f>
        <v>209000</v>
      </c>
      <c r="O192" s="631"/>
      <c r="P192" s="622">
        <f>E192+J192</f>
        <v>209000</v>
      </c>
    </row>
    <row r="193" spans="1:18" ht="315" x14ac:dyDescent="0.2">
      <c r="A193" s="277" t="s">
        <v>316</v>
      </c>
      <c r="B193" s="277"/>
      <c r="C193" s="277"/>
      <c r="D193" s="277" t="s">
        <v>766</v>
      </c>
      <c r="E193" s="243">
        <f>E194</f>
        <v>0</v>
      </c>
      <c r="F193" s="243">
        <f t="shared" ref="F193:P193" si="92">F194</f>
        <v>0</v>
      </c>
      <c r="G193" s="243">
        <f t="shared" si="92"/>
        <v>0</v>
      </c>
      <c r="H193" s="243">
        <f t="shared" si="92"/>
        <v>0</v>
      </c>
      <c r="I193" s="243">
        <f t="shared" si="92"/>
        <v>0</v>
      </c>
      <c r="J193" s="243">
        <f t="shared" si="92"/>
        <v>300000</v>
      </c>
      <c r="K193" s="243">
        <f t="shared" si="92"/>
        <v>0</v>
      </c>
      <c r="L193" s="243">
        <f t="shared" si="92"/>
        <v>0</v>
      </c>
      <c r="M193" s="243">
        <f t="shared" si="92"/>
        <v>0</v>
      </c>
      <c r="N193" s="243">
        <f t="shared" si="92"/>
        <v>300000</v>
      </c>
      <c r="O193" s="244">
        <f t="shared" si="92"/>
        <v>300000</v>
      </c>
      <c r="P193" s="243">
        <f t="shared" si="92"/>
        <v>300000</v>
      </c>
    </row>
    <row r="194" spans="1:18" ht="315" x14ac:dyDescent="0.2">
      <c r="A194" s="280" t="s">
        <v>317</v>
      </c>
      <c r="B194" s="280"/>
      <c r="C194" s="280"/>
      <c r="D194" s="280" t="s">
        <v>767</v>
      </c>
      <c r="E194" s="244">
        <f>E195+E196</f>
        <v>0</v>
      </c>
      <c r="F194" s="243">
        <f>F195+F196</f>
        <v>0</v>
      </c>
      <c r="G194" s="244">
        <f>G195+G196</f>
        <v>0</v>
      </c>
      <c r="H194" s="244">
        <f>H195+H196</f>
        <v>0</v>
      </c>
      <c r="I194" s="243">
        <f>I195+I196</f>
        <v>0</v>
      </c>
      <c r="J194" s="244">
        <f>K194+N194</f>
        <v>300000</v>
      </c>
      <c r="K194" s="243">
        <f>K195+K196</f>
        <v>0</v>
      </c>
      <c r="L194" s="244">
        <f>L195+L196</f>
        <v>0</v>
      </c>
      <c r="M194" s="244">
        <f>M195+M196</f>
        <v>0</v>
      </c>
      <c r="N194" s="243">
        <f>O194</f>
        <v>300000</v>
      </c>
      <c r="O194" s="244">
        <f>O195+O196</f>
        <v>300000</v>
      </c>
      <c r="P194" s="244">
        <f>+J194+E194</f>
        <v>300000</v>
      </c>
      <c r="Q194" s="311" t="b">
        <f>P194=P195+P196</f>
        <v>1</v>
      </c>
      <c r="R194" s="325" t="b">
        <f>P194=[2]dod5!J253</f>
        <v>1</v>
      </c>
    </row>
    <row r="195" spans="1:18" ht="91.5" x14ac:dyDescent="0.2">
      <c r="A195" s="621" t="s">
        <v>577</v>
      </c>
      <c r="B195" s="621" t="s">
        <v>578</v>
      </c>
      <c r="C195" s="621" t="s">
        <v>579</v>
      </c>
      <c r="D195" s="621" t="s">
        <v>576</v>
      </c>
      <c r="E195" s="622">
        <f>F195</f>
        <v>0</v>
      </c>
      <c r="F195" s="630">
        <v>0</v>
      </c>
      <c r="G195" s="631"/>
      <c r="H195" s="631"/>
      <c r="I195" s="630"/>
      <c r="J195" s="622">
        <f>K195+N195</f>
        <v>248000</v>
      </c>
      <c r="K195" s="630"/>
      <c r="L195" s="631"/>
      <c r="M195" s="631"/>
      <c r="N195" s="630">
        <f>O195</f>
        <v>248000</v>
      </c>
      <c r="O195" s="631">
        <f>((300000)-52000+1405000)-1405000</f>
        <v>248000</v>
      </c>
      <c r="P195" s="622">
        <f>E195+J195</f>
        <v>248000</v>
      </c>
    </row>
    <row r="196" spans="1:18" ht="137.25" x14ac:dyDescent="0.2">
      <c r="A196" s="621" t="s">
        <v>839</v>
      </c>
      <c r="B196" s="621" t="s">
        <v>840</v>
      </c>
      <c r="C196" s="621" t="s">
        <v>324</v>
      </c>
      <c r="D196" s="621" t="s">
        <v>841</v>
      </c>
      <c r="E196" s="622">
        <f>F196</f>
        <v>0</v>
      </c>
      <c r="F196" s="630">
        <v>0</v>
      </c>
      <c r="G196" s="631"/>
      <c r="H196" s="631"/>
      <c r="I196" s="630"/>
      <c r="J196" s="622">
        <f>K196+N196</f>
        <v>52000</v>
      </c>
      <c r="K196" s="630"/>
      <c r="L196" s="631"/>
      <c r="M196" s="631"/>
      <c r="N196" s="630">
        <f>O196</f>
        <v>52000</v>
      </c>
      <c r="O196" s="631">
        <v>52000</v>
      </c>
      <c r="P196" s="622">
        <f>E196+J196</f>
        <v>52000</v>
      </c>
    </row>
    <row r="197" spans="1:18" ht="135" x14ac:dyDescent="0.2">
      <c r="A197" s="277" t="s">
        <v>322</v>
      </c>
      <c r="B197" s="277"/>
      <c r="C197" s="277"/>
      <c r="D197" s="277" t="s">
        <v>74</v>
      </c>
      <c r="E197" s="243">
        <f>E198</f>
        <v>30259414.259999998</v>
      </c>
      <c r="F197" s="243">
        <f t="shared" ref="F197:P197" si="93">F198</f>
        <v>30259414.259999998</v>
      </c>
      <c r="G197" s="243">
        <f t="shared" si="93"/>
        <v>0</v>
      </c>
      <c r="H197" s="243">
        <f t="shared" si="93"/>
        <v>0</v>
      </c>
      <c r="I197" s="243">
        <f t="shared" si="93"/>
        <v>0</v>
      </c>
      <c r="J197" s="243">
        <f t="shared" si="93"/>
        <v>0</v>
      </c>
      <c r="K197" s="243">
        <f t="shared" si="93"/>
        <v>0</v>
      </c>
      <c r="L197" s="243">
        <f t="shared" si="93"/>
        <v>0</v>
      </c>
      <c r="M197" s="243">
        <f t="shared" si="93"/>
        <v>0</v>
      </c>
      <c r="N197" s="243">
        <f t="shared" si="93"/>
        <v>0</v>
      </c>
      <c r="O197" s="244">
        <f t="shared" si="93"/>
        <v>0</v>
      </c>
      <c r="P197" s="243">
        <f t="shared" si="93"/>
        <v>30259414.259999998</v>
      </c>
    </row>
    <row r="198" spans="1:18" ht="135" x14ac:dyDescent="0.2">
      <c r="A198" s="280" t="s">
        <v>323</v>
      </c>
      <c r="B198" s="280"/>
      <c r="C198" s="280"/>
      <c r="D198" s="280" t="s">
        <v>98</v>
      </c>
      <c r="E198" s="244">
        <f>E200+E199+E201</f>
        <v>30259414.259999998</v>
      </c>
      <c r="F198" s="243">
        <f>F200+F199+F201</f>
        <v>30259414.259999998</v>
      </c>
      <c r="G198" s="244">
        <f>SUM(G199:G201)</f>
        <v>0</v>
      </c>
      <c r="H198" s="244">
        <f>SUM(H199:H201)</f>
        <v>0</v>
      </c>
      <c r="I198" s="243">
        <v>0</v>
      </c>
      <c r="J198" s="244">
        <f>K198+N198</f>
        <v>0</v>
      </c>
      <c r="K198" s="243">
        <f>SUM(K199:K199)</f>
        <v>0</v>
      </c>
      <c r="L198" s="244">
        <f>SUM(L199:L201)</f>
        <v>0</v>
      </c>
      <c r="M198" s="244">
        <f>SUM(M199:M201)</f>
        <v>0</v>
      </c>
      <c r="N198" s="243">
        <f>SUM(N199:N199)</f>
        <v>0</v>
      </c>
      <c r="O198" s="244">
        <f>SUM(O199:O199)</f>
        <v>0</v>
      </c>
      <c r="P198" s="244">
        <f>E198+J198</f>
        <v>30259414.259999998</v>
      </c>
      <c r="Q198" s="311" t="b">
        <f>P198=P199+P200+P201</f>
        <v>1</v>
      </c>
      <c r="R198" s="325"/>
    </row>
    <row r="199" spans="1:18" ht="91.5" x14ac:dyDescent="0.2">
      <c r="A199" s="335">
        <v>3718600</v>
      </c>
      <c r="B199" s="335">
        <v>8600</v>
      </c>
      <c r="C199" s="621" t="s">
        <v>781</v>
      </c>
      <c r="D199" s="335" t="s">
        <v>782</v>
      </c>
      <c r="E199" s="622">
        <f>F199</f>
        <v>281515.26</v>
      </c>
      <c r="F199" s="630">
        <v>281515.26</v>
      </c>
      <c r="G199" s="631"/>
      <c r="H199" s="631"/>
      <c r="I199" s="630"/>
      <c r="J199" s="622">
        <f t="shared" ref="J199" si="94">K199+N199</f>
        <v>0</v>
      </c>
      <c r="K199" s="630"/>
      <c r="L199" s="631"/>
      <c r="M199" s="631"/>
      <c r="N199" s="630"/>
      <c r="O199" s="631"/>
      <c r="P199" s="622">
        <f>E199+J199</f>
        <v>281515.26</v>
      </c>
    </row>
    <row r="200" spans="1:18" ht="69" customHeight="1" x14ac:dyDescent="0.2">
      <c r="A200" s="335">
        <v>3718700</v>
      </c>
      <c r="B200" s="335">
        <v>8700</v>
      </c>
      <c r="C200" s="621" t="s">
        <v>102</v>
      </c>
      <c r="D200" s="309" t="s">
        <v>100</v>
      </c>
      <c r="E200" s="622">
        <f>F200</f>
        <v>1870999</v>
      </c>
      <c r="F200" s="630">
        <f>(3000000+1200000+1500000-700000-1969600-1109401)-50000</f>
        <v>1870999</v>
      </c>
      <c r="G200" s="631"/>
      <c r="H200" s="631"/>
      <c r="I200" s="630"/>
      <c r="J200" s="622">
        <f>K200+N200</f>
        <v>0</v>
      </c>
      <c r="K200" s="630"/>
      <c r="L200" s="631"/>
      <c r="M200" s="631"/>
      <c r="N200" s="630"/>
      <c r="O200" s="631"/>
      <c r="P200" s="622">
        <f>E200+J200</f>
        <v>1870999</v>
      </c>
    </row>
    <row r="201" spans="1:18" ht="65.25" customHeight="1" x14ac:dyDescent="0.2">
      <c r="A201" s="335">
        <v>3719110</v>
      </c>
      <c r="B201" s="335">
        <v>9110</v>
      </c>
      <c r="C201" s="621" t="s">
        <v>103</v>
      </c>
      <c r="D201" s="309" t="s">
        <v>101</v>
      </c>
      <c r="E201" s="622">
        <f>F201</f>
        <v>28106900</v>
      </c>
      <c r="F201" s="630">
        <v>28106900</v>
      </c>
      <c r="G201" s="631"/>
      <c r="H201" s="631"/>
      <c r="I201" s="630"/>
      <c r="J201" s="622">
        <f>K201+N201</f>
        <v>0</v>
      </c>
      <c r="K201" s="630"/>
      <c r="L201" s="631"/>
      <c r="M201" s="631"/>
      <c r="N201" s="630"/>
      <c r="O201" s="631"/>
      <c r="P201" s="622">
        <f>E201+J201</f>
        <v>28106900</v>
      </c>
    </row>
    <row r="202" spans="1:18" s="5" customFormat="1" ht="81.75" customHeight="1" x14ac:dyDescent="0.55000000000000004">
      <c r="A202" s="731" t="s">
        <v>8</v>
      </c>
      <c r="B202" s="731"/>
      <c r="C202" s="731"/>
      <c r="D202" s="731"/>
      <c r="E202" s="249">
        <f>E13+E31+E123+E44+E59+E111+E148+E170+E177+E198+E180+E187+E194</f>
        <v>2717585787.1300001</v>
      </c>
      <c r="F202" s="250">
        <f>F13+F31+F123+F44+F58+F111+F148+F170+F177+F198+F180+F187+F194</f>
        <v>2717585787.1300001</v>
      </c>
      <c r="G202" s="249">
        <f t="shared" ref="G202:O202" si="95">G13+G31+G123+G44+G59+G111+G148+G170+G177+G198+G180+G187+G194</f>
        <v>749295648</v>
      </c>
      <c r="H202" s="249">
        <f t="shared" si="95"/>
        <v>98035865</v>
      </c>
      <c r="I202" s="250">
        <f t="shared" si="95"/>
        <v>0</v>
      </c>
      <c r="J202" s="249">
        <f t="shared" si="95"/>
        <v>592983949.44999993</v>
      </c>
      <c r="K202" s="250">
        <f t="shared" si="95"/>
        <v>116467038.62</v>
      </c>
      <c r="L202" s="249">
        <f t="shared" si="95"/>
        <v>27971604</v>
      </c>
      <c r="M202" s="249">
        <f t="shared" si="95"/>
        <v>8018934</v>
      </c>
      <c r="N202" s="250">
        <f t="shared" si="95"/>
        <v>476516910.82999998</v>
      </c>
      <c r="O202" s="249">
        <f t="shared" si="95"/>
        <v>472369590.07999998</v>
      </c>
      <c r="P202" s="249">
        <f>P13+P31+P123+P44+P58+P111+P148+P170+P177+P198+P180+P187+P194</f>
        <v>3310569736.5799994</v>
      </c>
      <c r="Q202" s="182" t="b">
        <f>O202=[2]dod5!J260</f>
        <v>1</v>
      </c>
    </row>
    <row r="203" spans="1:18" ht="31.5" customHeight="1" x14ac:dyDescent="0.2">
      <c r="A203" s="732" t="s">
        <v>574</v>
      </c>
      <c r="B203" s="733"/>
      <c r="C203" s="733"/>
      <c r="D203" s="733"/>
      <c r="E203" s="733"/>
      <c r="F203" s="733"/>
      <c r="G203" s="733"/>
      <c r="H203" s="733"/>
      <c r="I203" s="733"/>
      <c r="J203" s="733"/>
      <c r="K203" s="733"/>
      <c r="L203" s="733"/>
      <c r="M203" s="733"/>
      <c r="N203" s="733"/>
      <c r="O203" s="733"/>
      <c r="P203" s="733"/>
      <c r="Q203" s="24"/>
    </row>
    <row r="204" spans="1:18" ht="31.5" customHeight="1" x14ac:dyDescent="0.2">
      <c r="A204" s="198"/>
      <c r="B204" s="199"/>
      <c r="C204" s="199"/>
      <c r="D204" s="199"/>
      <c r="E204" s="199"/>
      <c r="F204" s="200"/>
      <c r="G204" s="199"/>
      <c r="H204" s="199"/>
      <c r="I204" s="200"/>
      <c r="J204" s="199"/>
      <c r="K204" s="200"/>
      <c r="L204" s="199"/>
      <c r="M204" s="199"/>
      <c r="N204" s="200"/>
      <c r="O204" s="199"/>
      <c r="P204" s="199"/>
      <c r="Q204" s="24"/>
    </row>
    <row r="205" spans="1:18" ht="61.5" customHeight="1" x14ac:dyDescent="0.65">
      <c r="A205" s="624"/>
      <c r="B205" s="624"/>
      <c r="C205" s="624"/>
      <c r="D205" s="734" t="s">
        <v>1035</v>
      </c>
      <c r="E205" s="734"/>
      <c r="F205" s="734"/>
      <c r="G205" s="734"/>
      <c r="H205" s="734"/>
      <c r="I205" s="734"/>
      <c r="J205" s="734"/>
      <c r="K205" s="734"/>
      <c r="L205" s="734"/>
      <c r="M205" s="734"/>
      <c r="N205" s="734"/>
      <c r="O205" s="734"/>
      <c r="P205" s="734"/>
      <c r="Q205" s="25"/>
    </row>
    <row r="206" spans="1:18" ht="45.75" x14ac:dyDescent="0.2">
      <c r="E206" s="57"/>
      <c r="F206" s="12"/>
      <c r="J206" s="10"/>
      <c r="N206" s="52"/>
      <c r="O206" s="56"/>
      <c r="P206" s="48"/>
    </row>
    <row r="207" spans="1:18" ht="45.75" x14ac:dyDescent="0.65">
      <c r="D207" s="734" t="s">
        <v>290</v>
      </c>
      <c r="E207" s="734"/>
      <c r="F207" s="734"/>
      <c r="G207" s="734"/>
      <c r="H207" s="734"/>
      <c r="I207" s="734"/>
      <c r="J207" s="734"/>
      <c r="K207" s="734"/>
      <c r="L207" s="734"/>
      <c r="M207" s="734"/>
      <c r="N207" s="734"/>
      <c r="O207" s="734"/>
      <c r="P207" s="734"/>
      <c r="Q207" s="26"/>
    </row>
    <row r="208" spans="1:18" x14ac:dyDescent="0.2">
      <c r="E208" s="8"/>
      <c r="F208" s="12"/>
      <c r="J208" s="8"/>
      <c r="O208" s="6"/>
    </row>
    <row r="209" spans="1:18" x14ac:dyDescent="0.2">
      <c r="E209" s="8"/>
      <c r="F209" s="12"/>
      <c r="J209" s="8"/>
    </row>
    <row r="210" spans="1:18" ht="45.75" x14ac:dyDescent="0.55000000000000004">
      <c r="E210" s="48"/>
      <c r="F210" s="50"/>
      <c r="G210" s="6"/>
      <c r="I210" s="202"/>
      <c r="J210" s="187"/>
      <c r="K210" s="202"/>
      <c r="L210" s="186"/>
      <c r="M210" s="186"/>
      <c r="N210" s="206"/>
      <c r="O210" s="188"/>
      <c r="P210" s="182" t="b">
        <f>E202+J202=P202</f>
        <v>1</v>
      </c>
    </row>
    <row r="211" spans="1:18" ht="13.5" x14ac:dyDescent="0.2">
      <c r="E211" s="11"/>
      <c r="F211" s="14"/>
      <c r="G211" s="4"/>
      <c r="H211" s="4"/>
      <c r="I211" s="4"/>
      <c r="J211" s="8"/>
    </row>
    <row r="212" spans="1:18" ht="45.75" x14ac:dyDescent="0.2">
      <c r="A212"/>
      <c r="B212"/>
      <c r="C212"/>
      <c r="D212" s="266" t="s">
        <v>943</v>
      </c>
      <c r="E212" s="267" t="b">
        <f>E202=F202</f>
        <v>1</v>
      </c>
      <c r="F212" s="52">
        <f>F200/P202*100</f>
        <v>5.6515921695485707E-2</v>
      </c>
      <c r="G212" s="218" t="s">
        <v>650</v>
      </c>
      <c r="I212" s="266"/>
      <c r="J212" s="267"/>
      <c r="K212" s="203"/>
      <c r="L212"/>
      <c r="M212"/>
      <c r="N212" s="203"/>
      <c r="O212"/>
      <c r="P212"/>
    </row>
    <row r="213" spans="1:18" ht="60.75" x14ac:dyDescent="0.2">
      <c r="D213" s="266" t="s">
        <v>944</v>
      </c>
      <c r="E213" s="267" t="b">
        <f>G202=839900+735946698</f>
        <v>0</v>
      </c>
      <c r="G213" s="55"/>
      <c r="I213" s="266" t="s">
        <v>944</v>
      </c>
      <c r="J213" s="267" t="b">
        <f>L202=0+27261672</f>
        <v>0</v>
      </c>
      <c r="O213" s="218"/>
      <c r="P213" s="196">
        <v>61777260</v>
      </c>
      <c r="Q213" s="197"/>
      <c r="R213" s="196">
        <v>103276575.63</v>
      </c>
    </row>
    <row r="214" spans="1:18" ht="60.75" x14ac:dyDescent="0.2">
      <c r="A214"/>
      <c r="B214"/>
      <c r="C214"/>
      <c r="D214" s="266" t="s">
        <v>945</v>
      </c>
      <c r="E214" s="267" t="b">
        <f>H202=97533765+11500</f>
        <v>0</v>
      </c>
      <c r="F214" s="52"/>
      <c r="G214" s="6"/>
      <c r="I214" s="266" t="s">
        <v>945</v>
      </c>
      <c r="J214" s="267" t="b">
        <f>M202=0+7617512</f>
        <v>0</v>
      </c>
      <c r="K214" s="203"/>
      <c r="L214"/>
      <c r="M214"/>
      <c r="N214" s="203"/>
      <c r="O214" s="196"/>
      <c r="P214" s="196">
        <f>P202-'[2]dod3 Квітень+Комісії+Сесія'!P195</f>
        <v>61777259.999999523</v>
      </c>
      <c r="Q214" s="197"/>
      <c r="R214" s="196" t="s">
        <v>963</v>
      </c>
    </row>
    <row r="215" spans="1:18" ht="60.75" x14ac:dyDescent="0.2">
      <c r="D215" s="266"/>
      <c r="E215" s="267"/>
      <c r="F215" s="54"/>
      <c r="O215" s="218"/>
      <c r="P215" s="196" t="b">
        <f>P213=P214</f>
        <v>0</v>
      </c>
    </row>
    <row r="216" spans="1:18" ht="60.75" x14ac:dyDescent="0.75">
      <c r="A216"/>
      <c r="B216"/>
      <c r="C216"/>
      <c r="D216" s="266"/>
      <c r="E216" s="267"/>
      <c r="F216" s="52"/>
      <c r="G216" s="6"/>
      <c r="J216" s="8"/>
      <c r="K216" s="203"/>
      <c r="L216"/>
      <c r="M216"/>
      <c r="N216" s="203"/>
      <c r="O216" s="361"/>
      <c r="P216" s="196" t="b">
        <f>IF(P213=P214,TRUE,FALSE)</f>
        <v>0</v>
      </c>
    </row>
    <row r="217" spans="1:18" ht="62.25" x14ac:dyDescent="0.8">
      <c r="A217"/>
      <c r="B217"/>
      <c r="C217"/>
      <c r="D217"/>
      <c r="E217" s="51"/>
      <c r="F217" s="52"/>
      <c r="J217" s="8"/>
      <c r="K217" s="203"/>
      <c r="L217"/>
      <c r="M217"/>
      <c r="N217" s="203"/>
      <c r="O217"/>
      <c r="P217" s="360"/>
    </row>
    <row r="218" spans="1:18" ht="45.75" x14ac:dyDescent="0.2">
      <c r="E218" s="53"/>
      <c r="F218" s="54"/>
    </row>
    <row r="219" spans="1:18" ht="45.75" x14ac:dyDescent="0.2">
      <c r="A219"/>
      <c r="B219"/>
      <c r="C219"/>
      <c r="D219"/>
      <c r="E219" s="51"/>
      <c r="F219" s="52"/>
      <c r="K219" s="203"/>
      <c r="L219"/>
      <c r="M219"/>
      <c r="N219" s="203"/>
      <c r="O219"/>
      <c r="P219"/>
    </row>
    <row r="220" spans="1:18" ht="45.75" x14ac:dyDescent="0.2">
      <c r="E220" s="53"/>
      <c r="F220" s="54"/>
    </row>
    <row r="221" spans="1:18" ht="45.75" x14ac:dyDescent="0.2">
      <c r="E221" s="53"/>
      <c r="F221" s="54"/>
    </row>
    <row r="222" spans="1:18" ht="45.75" x14ac:dyDescent="0.2">
      <c r="E222" s="53"/>
      <c r="F222" s="54"/>
    </row>
    <row r="223" spans="1:18" ht="45.75" x14ac:dyDescent="0.2">
      <c r="A223"/>
      <c r="B223"/>
      <c r="C223"/>
      <c r="D223"/>
      <c r="E223" s="53"/>
      <c r="F223" s="54"/>
      <c r="G223"/>
      <c r="H223"/>
      <c r="I223" s="203"/>
      <c r="J223"/>
      <c r="K223" s="203"/>
      <c r="L223"/>
      <c r="M223"/>
      <c r="N223" s="203"/>
      <c r="O223"/>
      <c r="P223"/>
    </row>
    <row r="224" spans="1:18" ht="45.75" x14ac:dyDescent="0.2">
      <c r="A224"/>
      <c r="B224"/>
      <c r="C224"/>
      <c r="D224"/>
      <c r="E224" s="53"/>
      <c r="F224" s="54"/>
      <c r="G224"/>
      <c r="H224"/>
      <c r="I224" s="203"/>
      <c r="J224"/>
      <c r="K224" s="203"/>
      <c r="L224"/>
      <c r="M224"/>
      <c r="N224" s="203"/>
      <c r="O224"/>
      <c r="P224"/>
    </row>
    <row r="225" spans="1:16" ht="45.75" x14ac:dyDescent="0.2">
      <c r="A225"/>
      <c r="B225"/>
      <c r="C225"/>
      <c r="D225"/>
      <c r="E225" s="53"/>
      <c r="F225" s="54"/>
      <c r="G225"/>
      <c r="H225"/>
      <c r="I225" s="203"/>
      <c r="J225"/>
      <c r="K225" s="203"/>
      <c r="L225"/>
      <c r="M225"/>
      <c r="N225" s="203"/>
      <c r="O225"/>
      <c r="P225"/>
    </row>
    <row r="226" spans="1:16" ht="45.75" x14ac:dyDescent="0.2">
      <c r="A226"/>
      <c r="B226"/>
      <c r="C226"/>
      <c r="D226"/>
      <c r="E226" s="53"/>
      <c r="F226" s="54"/>
      <c r="G226"/>
      <c r="H226"/>
      <c r="I226" s="203"/>
      <c r="J226"/>
      <c r="K226" s="203"/>
      <c r="L226"/>
      <c r="M226"/>
      <c r="N226" s="203"/>
      <c r="O226"/>
      <c r="P226"/>
    </row>
  </sheetData>
  <mergeCells count="84">
    <mergeCell ref="A8:A10"/>
    <mergeCell ref="B8:B10"/>
    <mergeCell ref="C8:C10"/>
    <mergeCell ref="D8:D10"/>
    <mergeCell ref="E8:I8"/>
    <mergeCell ref="N1:P1"/>
    <mergeCell ref="N2:P2"/>
    <mergeCell ref="N3:P3"/>
    <mergeCell ref="A5:P5"/>
    <mergeCell ref="A6:P6"/>
    <mergeCell ref="G24:G25"/>
    <mergeCell ref="J8:N8"/>
    <mergeCell ref="P8:P10"/>
    <mergeCell ref="E9:E10"/>
    <mergeCell ref="F9:F10"/>
    <mergeCell ref="G9:H9"/>
    <mergeCell ref="I9:I10"/>
    <mergeCell ref="J9:J10"/>
    <mergeCell ref="K9:K10"/>
    <mergeCell ref="L9:M9"/>
    <mergeCell ref="N9:N10"/>
    <mergeCell ref="A24:A25"/>
    <mergeCell ref="B24:B25"/>
    <mergeCell ref="C24:C25"/>
    <mergeCell ref="E24:E25"/>
    <mergeCell ref="F24:F25"/>
    <mergeCell ref="N24:N25"/>
    <mergeCell ref="O24:O25"/>
    <mergeCell ref="P24:P25"/>
    <mergeCell ref="A81:A82"/>
    <mergeCell ref="B81:B82"/>
    <mergeCell ref="C81:C82"/>
    <mergeCell ref="E81:E82"/>
    <mergeCell ref="F81:F82"/>
    <mergeCell ref="G81:G82"/>
    <mergeCell ref="H81:H82"/>
    <mergeCell ref="H24:H25"/>
    <mergeCell ref="I24:I25"/>
    <mergeCell ref="J24:J25"/>
    <mergeCell ref="K24:K25"/>
    <mergeCell ref="L24:L25"/>
    <mergeCell ref="M24:M25"/>
    <mergeCell ref="O81:O82"/>
    <mergeCell ref="P81:P82"/>
    <mergeCell ref="A100:A102"/>
    <mergeCell ref="B100:B102"/>
    <mergeCell ref="C100:C102"/>
    <mergeCell ref="E100:E102"/>
    <mergeCell ref="F100:F102"/>
    <mergeCell ref="G100:G102"/>
    <mergeCell ref="H100:H102"/>
    <mergeCell ref="I100:I102"/>
    <mergeCell ref="I81:I82"/>
    <mergeCell ref="J81:J82"/>
    <mergeCell ref="K81:K82"/>
    <mergeCell ref="L81:L82"/>
    <mergeCell ref="M81:M82"/>
    <mergeCell ref="N81:N82"/>
    <mergeCell ref="P100:P102"/>
    <mergeCell ref="A103:A104"/>
    <mergeCell ref="B103:B104"/>
    <mergeCell ref="C103:C104"/>
    <mergeCell ref="E103:E104"/>
    <mergeCell ref="F103:F104"/>
    <mergeCell ref="G103:G104"/>
    <mergeCell ref="H103:H104"/>
    <mergeCell ref="I103:I104"/>
    <mergeCell ref="J103:J104"/>
    <mergeCell ref="J100:J102"/>
    <mergeCell ref="K100:K102"/>
    <mergeCell ref="L100:L102"/>
    <mergeCell ref="M100:M102"/>
    <mergeCell ref="N100:N102"/>
    <mergeCell ref="O100:O102"/>
    <mergeCell ref="A202:D202"/>
    <mergeCell ref="A203:P203"/>
    <mergeCell ref="D205:P205"/>
    <mergeCell ref="D207:P207"/>
    <mergeCell ref="K103:K104"/>
    <mergeCell ref="L103:L104"/>
    <mergeCell ref="M103:M104"/>
    <mergeCell ref="N103:N104"/>
    <mergeCell ref="O103:O104"/>
    <mergeCell ref="P103:P104"/>
  </mergeCells>
  <conditionalFormatting sqref="Q177:R177">
    <cfRule type="iconSet" priority="5">
      <iconSet iconSet="3Arrows">
        <cfvo type="percent" val="0"/>
        <cfvo type="percent" val="33"/>
        <cfvo type="percent" val="67"/>
      </iconSet>
    </cfRule>
  </conditionalFormatting>
  <conditionalFormatting sqref="Q180:R180">
    <cfRule type="iconSet" priority="4">
      <iconSet iconSet="3Arrows">
        <cfvo type="percent" val="0"/>
        <cfvo type="percent" val="33"/>
        <cfvo type="percent" val="67"/>
      </iconSet>
    </cfRule>
  </conditionalFormatting>
  <conditionalFormatting sqref="Q187:R187">
    <cfRule type="iconSet" priority="3">
      <iconSet iconSet="3Arrows">
        <cfvo type="percent" val="0"/>
        <cfvo type="percent" val="33"/>
        <cfvo type="percent" val="67"/>
      </iconSet>
    </cfRule>
  </conditionalFormatting>
  <conditionalFormatting sqref="Q198:R198">
    <cfRule type="iconSet" priority="2">
      <iconSet iconSet="3Arrows">
        <cfvo type="percent" val="0"/>
        <cfvo type="percent" val="33"/>
        <cfvo type="percent" val="67"/>
      </iconSet>
    </cfRule>
  </conditionalFormatting>
  <conditionalFormatting sqref="Q194:R19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7" manualBreakCount="7">
    <brk id="28" max="15" man="1"/>
    <brk id="50" max="15" man="1"/>
    <brk id="68" max="15" man="1"/>
    <brk id="87" max="15" man="1"/>
    <brk id="101" max="15" man="1"/>
    <brk id="125" max="15" man="1"/>
    <brk id="148"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A28A7-9242-43EF-8D4F-D81560A1649E}">
  <sheetPr>
    <tabColor rgb="FFFF99FF"/>
  </sheetPr>
  <dimension ref="A1:V226"/>
  <sheetViews>
    <sheetView tabSelected="1" view="pageBreakPreview" zoomScale="25" zoomScaleNormal="25" zoomScaleSheetLayoutView="25" zoomScalePageLayoutView="10" workbookViewId="0">
      <pane ySplit="11" topLeftCell="A193" activePane="bottomLeft" state="frozen"/>
      <selection pane="bottomLeft" activeCell="I9" sqref="I9:I10"/>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66.42578125" bestFit="1" customWidth="1"/>
    <col min="20" max="20" width="24.7109375" bestFit="1" customWidth="1"/>
  </cols>
  <sheetData>
    <row r="1" spans="1:18" ht="45.75" x14ac:dyDescent="0.2">
      <c r="D1" s="624"/>
      <c r="E1" s="625"/>
      <c r="F1" s="17"/>
      <c r="G1" s="18"/>
      <c r="H1" s="18"/>
      <c r="I1" s="18"/>
      <c r="J1" s="625"/>
      <c r="K1" s="18"/>
      <c r="L1" s="18"/>
      <c r="M1" s="18"/>
      <c r="N1" s="711"/>
      <c r="O1" s="711"/>
      <c r="P1" s="711"/>
    </row>
    <row r="2" spans="1:18" ht="45.75" x14ac:dyDescent="0.2">
      <c r="A2" s="624"/>
      <c r="B2" s="624"/>
      <c r="C2" s="624"/>
      <c r="D2" s="624"/>
      <c r="E2" s="625"/>
      <c r="F2" s="17"/>
      <c r="G2" s="18"/>
      <c r="H2" s="18"/>
      <c r="I2" s="18"/>
      <c r="J2" s="625"/>
      <c r="K2" s="18"/>
      <c r="L2" s="18"/>
      <c r="M2" s="18"/>
      <c r="N2" s="711"/>
      <c r="O2" s="712"/>
      <c r="P2" s="712"/>
    </row>
    <row r="3" spans="1:18" ht="40.5" customHeight="1" x14ac:dyDescent="0.2">
      <c r="A3" s="624"/>
      <c r="B3" s="624"/>
      <c r="C3" s="624"/>
      <c r="D3" s="624"/>
      <c r="E3" s="625"/>
      <c r="F3" s="17"/>
      <c r="G3" s="18"/>
      <c r="H3" s="18"/>
      <c r="I3" s="18"/>
      <c r="J3" s="625"/>
      <c r="K3" s="18"/>
      <c r="L3" s="18"/>
      <c r="M3" s="18"/>
      <c r="N3" s="711"/>
      <c r="O3" s="712"/>
      <c r="P3" s="712"/>
    </row>
    <row r="4" spans="1:18" ht="45.75" hidden="1" x14ac:dyDescent="0.2">
      <c r="A4" s="624"/>
      <c r="B4" s="624"/>
      <c r="C4" s="624"/>
      <c r="D4" s="624"/>
      <c r="E4" s="625"/>
      <c r="F4" s="17"/>
      <c r="G4" s="18"/>
      <c r="H4" s="18"/>
      <c r="I4" s="18"/>
      <c r="J4" s="625"/>
      <c r="K4" s="18"/>
      <c r="L4" s="18"/>
      <c r="M4" s="18"/>
      <c r="N4" s="204"/>
      <c r="O4" s="624"/>
      <c r="P4" s="623"/>
    </row>
    <row r="5" spans="1:18" ht="45" x14ac:dyDescent="0.2">
      <c r="A5" s="713" t="s">
        <v>1040</v>
      </c>
      <c r="B5" s="713"/>
      <c r="C5" s="713"/>
      <c r="D5" s="713"/>
      <c r="E5" s="713"/>
      <c r="F5" s="713"/>
      <c r="G5" s="713"/>
      <c r="H5" s="713"/>
      <c r="I5" s="713"/>
      <c r="J5" s="713"/>
      <c r="K5" s="713"/>
      <c r="L5" s="713"/>
      <c r="M5" s="713"/>
      <c r="N5" s="713"/>
      <c r="O5" s="713"/>
      <c r="P5" s="713"/>
    </row>
    <row r="6" spans="1:18" ht="45" x14ac:dyDescent="0.2">
      <c r="A6" s="713"/>
      <c r="B6" s="713"/>
      <c r="C6" s="713"/>
      <c r="D6" s="713"/>
      <c r="E6" s="713"/>
      <c r="F6" s="713"/>
      <c r="G6" s="713"/>
      <c r="H6" s="713"/>
      <c r="I6" s="713"/>
      <c r="J6" s="713"/>
      <c r="K6" s="713"/>
      <c r="L6" s="713"/>
      <c r="M6" s="713"/>
      <c r="N6" s="713"/>
      <c r="O6" s="713"/>
      <c r="P6" s="713"/>
    </row>
    <row r="7" spans="1:18" ht="53.25" customHeight="1" x14ac:dyDescent="0.2">
      <c r="A7" s="625"/>
      <c r="B7" s="625"/>
      <c r="C7" s="625"/>
      <c r="D7" s="625"/>
      <c r="E7" s="625"/>
      <c r="F7" s="17"/>
      <c r="G7" s="625"/>
      <c r="H7" s="625"/>
      <c r="I7" s="18"/>
      <c r="J7" s="625"/>
      <c r="K7" s="18"/>
      <c r="L7" s="625"/>
      <c r="M7" s="625"/>
      <c r="N7" s="18"/>
      <c r="O7" s="625"/>
      <c r="P7" s="20" t="s">
        <v>134</v>
      </c>
    </row>
    <row r="8" spans="1:18" ht="62.25" customHeight="1" x14ac:dyDescent="0.2">
      <c r="A8" s="705" t="s">
        <v>41</v>
      </c>
      <c r="B8" s="705" t="s">
        <v>42</v>
      </c>
      <c r="C8" s="709" t="s">
        <v>43</v>
      </c>
      <c r="D8" s="705" t="s">
        <v>45</v>
      </c>
      <c r="E8" s="710" t="s">
        <v>36</v>
      </c>
      <c r="F8" s="710"/>
      <c r="G8" s="710"/>
      <c r="H8" s="710"/>
      <c r="I8" s="710"/>
      <c r="J8" s="710" t="s">
        <v>124</v>
      </c>
      <c r="K8" s="710"/>
      <c r="L8" s="710"/>
      <c r="M8" s="710"/>
      <c r="N8" s="710"/>
      <c r="O8" s="21"/>
      <c r="P8" s="710" t="s">
        <v>35</v>
      </c>
    </row>
    <row r="9" spans="1:18" ht="255" customHeight="1" x14ac:dyDescent="0.2">
      <c r="A9" s="706"/>
      <c r="B9" s="708"/>
      <c r="C9" s="708"/>
      <c r="D9" s="706"/>
      <c r="E9" s="716" t="s">
        <v>7</v>
      </c>
      <c r="F9" s="717" t="s">
        <v>125</v>
      </c>
      <c r="G9" s="716" t="s">
        <v>37</v>
      </c>
      <c r="H9" s="716"/>
      <c r="I9" s="717" t="s">
        <v>127</v>
      </c>
      <c r="J9" s="716" t="s">
        <v>7</v>
      </c>
      <c r="K9" s="717" t="s">
        <v>125</v>
      </c>
      <c r="L9" s="716" t="s">
        <v>37</v>
      </c>
      <c r="M9" s="716"/>
      <c r="N9" s="717" t="s">
        <v>127</v>
      </c>
      <c r="O9" s="626" t="s">
        <v>37</v>
      </c>
      <c r="P9" s="710"/>
    </row>
    <row r="10" spans="1:18" ht="137.25" x14ac:dyDescent="0.2">
      <c r="A10" s="707"/>
      <c r="B10" s="707"/>
      <c r="C10" s="707"/>
      <c r="D10" s="707"/>
      <c r="E10" s="716"/>
      <c r="F10" s="717"/>
      <c r="G10" s="626" t="s">
        <v>126</v>
      </c>
      <c r="H10" s="626" t="s">
        <v>40</v>
      </c>
      <c r="I10" s="717"/>
      <c r="J10" s="716"/>
      <c r="K10" s="717"/>
      <c r="L10" s="626" t="s">
        <v>126</v>
      </c>
      <c r="M10" s="626" t="s">
        <v>40</v>
      </c>
      <c r="N10" s="717"/>
      <c r="O10" s="626" t="s">
        <v>32</v>
      </c>
      <c r="P10" s="710"/>
    </row>
    <row r="11" spans="1:18" s="3" customFormat="1" ht="45.75" x14ac:dyDescent="0.2">
      <c r="A11" s="22" t="s">
        <v>9</v>
      </c>
      <c r="B11" s="22" t="s">
        <v>10</v>
      </c>
      <c r="C11" s="22" t="s">
        <v>39</v>
      </c>
      <c r="D11" s="22" t="s">
        <v>12</v>
      </c>
      <c r="E11" s="23">
        <v>5</v>
      </c>
      <c r="F11" s="627">
        <v>6</v>
      </c>
      <c r="G11" s="23">
        <v>7</v>
      </c>
      <c r="H11" s="23">
        <v>8</v>
      </c>
      <c r="I11" s="201">
        <v>9</v>
      </c>
      <c r="J11" s="23">
        <v>10</v>
      </c>
      <c r="K11" s="201">
        <v>11</v>
      </c>
      <c r="L11" s="23">
        <v>12</v>
      </c>
      <c r="M11" s="23">
        <v>13</v>
      </c>
      <c r="N11" s="201">
        <v>14</v>
      </c>
      <c r="O11" s="23">
        <v>15</v>
      </c>
      <c r="P11" s="23">
        <v>16</v>
      </c>
    </row>
    <row r="12" spans="1:18" s="3" customFormat="1" ht="135" x14ac:dyDescent="0.2">
      <c r="A12" s="277" t="s">
        <v>302</v>
      </c>
      <c r="B12" s="277"/>
      <c r="C12" s="277"/>
      <c r="D12" s="278" t="s">
        <v>304</v>
      </c>
      <c r="E12" s="245">
        <f>E13</f>
        <v>0</v>
      </c>
      <c r="F12" s="245">
        <f t="shared" ref="F12:P12" si="0">F13</f>
        <v>0</v>
      </c>
      <c r="G12" s="245">
        <f t="shared" si="0"/>
        <v>0</v>
      </c>
      <c r="H12" s="245">
        <f t="shared" si="0"/>
        <v>0</v>
      </c>
      <c r="I12" s="245">
        <f t="shared" si="0"/>
        <v>0</v>
      </c>
      <c r="J12" s="245">
        <f t="shared" si="0"/>
        <v>0</v>
      </c>
      <c r="K12" s="245">
        <f t="shared" si="0"/>
        <v>0</v>
      </c>
      <c r="L12" s="245">
        <f t="shared" si="0"/>
        <v>0</v>
      </c>
      <c r="M12" s="245">
        <f t="shared" si="0"/>
        <v>0</v>
      </c>
      <c r="N12" s="245">
        <f t="shared" si="0"/>
        <v>0</v>
      </c>
      <c r="O12" s="279">
        <f t="shared" si="0"/>
        <v>0</v>
      </c>
      <c r="P12" s="245">
        <f t="shared" si="0"/>
        <v>0</v>
      </c>
    </row>
    <row r="13" spans="1:18" s="3" customFormat="1" ht="135" x14ac:dyDescent="0.2">
      <c r="A13" s="280" t="s">
        <v>303</v>
      </c>
      <c r="B13" s="280"/>
      <c r="C13" s="280"/>
      <c r="D13" s="281" t="s">
        <v>305</v>
      </c>
      <c r="E13" s="244">
        <f>F13</f>
        <v>0</v>
      </c>
      <c r="F13" s="243">
        <f>F14+F15+F26+F20+F27+F16+F22+F21+F29+F17+F28</f>
        <v>0</v>
      </c>
      <c r="G13" s="243">
        <f t="shared" ref="G13:H13" si="1">G14+G15+G26+G20+G27+G16+G22+G21+G29+G17</f>
        <v>0</v>
      </c>
      <c r="H13" s="243">
        <f t="shared" si="1"/>
        <v>0</v>
      </c>
      <c r="I13" s="243">
        <v>0</v>
      </c>
      <c r="J13" s="246">
        <f t="shared" ref="J13" si="2">K13+N13</f>
        <v>0</v>
      </c>
      <c r="K13" s="243">
        <f>K14+K15+K26+K20+K27+K16+K23+K21+K29+K17+K18+K28</f>
        <v>0</v>
      </c>
      <c r="L13" s="243">
        <f>L14+L15+L26+L20+L27+L16</f>
        <v>0</v>
      </c>
      <c r="M13" s="243">
        <f>M14+M15+M26+M20+M27+M16</f>
        <v>0</v>
      </c>
      <c r="N13" s="243">
        <f>N14+N15+N26+N20+N27+N16+N23+N21+N29+N18+N28</f>
        <v>0</v>
      </c>
      <c r="O13" s="243">
        <f>O14+O15+O26+O20+O27+O16+O23+O21+O29+O18+O28</f>
        <v>0</v>
      </c>
      <c r="P13" s="244">
        <f>J13+E13</f>
        <v>0</v>
      </c>
      <c r="Q13" s="240"/>
      <c r="R13" s="240"/>
    </row>
    <row r="14" spans="1:18" ht="320.25" x14ac:dyDescent="0.2">
      <c r="A14" s="621" t="s">
        <v>428</v>
      </c>
      <c r="B14" s="621" t="s">
        <v>429</v>
      </c>
      <c r="C14" s="621" t="s">
        <v>430</v>
      </c>
      <c r="D14" s="621" t="s">
        <v>427</v>
      </c>
      <c r="E14" s="631">
        <f>'dod3'!E14-'dod3 до МВК'!E14</f>
        <v>0</v>
      </c>
      <c r="F14" s="631">
        <f>'dod3'!F14-'dod3 до МВК'!F14</f>
        <v>0</v>
      </c>
      <c r="G14" s="631">
        <f>'dod3'!G14-'dod3 до МВК'!G14</f>
        <v>0</v>
      </c>
      <c r="H14" s="631">
        <f>'dod3'!H14-'dod3 до МВК'!H14</f>
        <v>0</v>
      </c>
      <c r="I14" s="631">
        <f>'dod3'!I14-'dod3 до МВК'!I14</f>
        <v>0</v>
      </c>
      <c r="J14" s="631">
        <f>'dod3'!J14-'dod3 до МВК'!J14</f>
        <v>0</v>
      </c>
      <c r="K14" s="631">
        <f>'dod3'!K14-'dod3 до МВК'!K14</f>
        <v>0</v>
      </c>
      <c r="L14" s="631">
        <f>'dod3'!L14-'dod3 до МВК'!L14</f>
        <v>0</v>
      </c>
      <c r="M14" s="631">
        <f>'dod3'!M14-'dod3 до МВК'!M14</f>
        <v>0</v>
      </c>
      <c r="N14" s="631">
        <f>'dod3'!N14-'dod3 до МВК'!N14</f>
        <v>0</v>
      </c>
      <c r="O14" s="631">
        <f>'dod3'!O14-'dod3 до МВК'!O14</f>
        <v>0</v>
      </c>
      <c r="P14" s="631">
        <f>'dod3'!P14-'dod3 до МВК'!P14</f>
        <v>0</v>
      </c>
    </row>
    <row r="15" spans="1:18" ht="228.75" x14ac:dyDescent="0.2">
      <c r="A15" s="621" t="s">
        <v>432</v>
      </c>
      <c r="B15" s="621" t="s">
        <v>433</v>
      </c>
      <c r="C15" s="621" t="s">
        <v>430</v>
      </c>
      <c r="D15" s="621" t="s">
        <v>431</v>
      </c>
      <c r="E15" s="631">
        <f>'dod3'!E15-'dod3 до МВК'!E15</f>
        <v>0</v>
      </c>
      <c r="F15" s="631">
        <f>'dod3'!F15-'dod3 до МВК'!F15</f>
        <v>0</v>
      </c>
      <c r="G15" s="631">
        <f>'dod3'!G15-'dod3 до МВК'!G15</f>
        <v>0</v>
      </c>
      <c r="H15" s="631">
        <f>'dod3'!H15-'dod3 до МВК'!H15</f>
        <v>0</v>
      </c>
      <c r="I15" s="631">
        <f>'dod3'!I15-'dod3 до МВК'!I15</f>
        <v>0</v>
      </c>
      <c r="J15" s="631">
        <f>'dod3'!J15-'dod3 до МВК'!J15</f>
        <v>0</v>
      </c>
      <c r="K15" s="631">
        <f>'dod3'!K15-'dod3 до МВК'!K15</f>
        <v>0</v>
      </c>
      <c r="L15" s="631">
        <f>'dod3'!L15-'dod3 до МВК'!L15</f>
        <v>0</v>
      </c>
      <c r="M15" s="631">
        <f>'dod3'!M15-'dod3 до МВК'!M15</f>
        <v>0</v>
      </c>
      <c r="N15" s="631">
        <f>'dod3'!N15-'dod3 до МВК'!N15</f>
        <v>0</v>
      </c>
      <c r="O15" s="631">
        <f>'dod3'!O15-'dod3 до МВК'!O15</f>
        <v>0</v>
      </c>
      <c r="P15" s="631">
        <f>'dod3'!P15-'dod3 до МВК'!P15</f>
        <v>0</v>
      </c>
    </row>
    <row r="16" spans="1:18" ht="91.5" x14ac:dyDescent="0.2">
      <c r="A16" s="621" t="s">
        <v>445</v>
      </c>
      <c r="B16" s="621" t="s">
        <v>103</v>
      </c>
      <c r="C16" s="621" t="s">
        <v>102</v>
      </c>
      <c r="D16" s="621" t="s">
        <v>446</v>
      </c>
      <c r="E16" s="631">
        <f>'dod3'!E16-'dod3 до МВК'!E16</f>
        <v>0</v>
      </c>
      <c r="F16" s="631">
        <f>'dod3'!F16-'dod3 до МВК'!F16</f>
        <v>0</v>
      </c>
      <c r="G16" s="631">
        <f>'dod3'!G16-'dod3 до МВК'!G16</f>
        <v>0</v>
      </c>
      <c r="H16" s="631">
        <f>'dod3'!H16-'dod3 до МВК'!H16</f>
        <v>0</v>
      </c>
      <c r="I16" s="631">
        <f>'dod3'!I16-'dod3 до МВК'!I16</f>
        <v>0</v>
      </c>
      <c r="J16" s="631">
        <f>'dod3'!J16-'dod3 до МВК'!J16</f>
        <v>0</v>
      </c>
      <c r="K16" s="631">
        <f>'dod3'!K16-'dod3 до МВК'!K16</f>
        <v>0</v>
      </c>
      <c r="L16" s="631">
        <f>'dod3'!L16-'dod3 до МВК'!L16</f>
        <v>0</v>
      </c>
      <c r="M16" s="631">
        <f>'dod3'!M16-'dod3 до МВК'!M16</f>
        <v>0</v>
      </c>
      <c r="N16" s="631">
        <f>'dod3'!N16-'dod3 до МВК'!N16</f>
        <v>0</v>
      </c>
      <c r="O16" s="631">
        <f>'dod3'!O16-'dod3 до МВК'!O16</f>
        <v>0</v>
      </c>
      <c r="P16" s="631">
        <f>'dod3'!P16-'dod3 до МВК'!P16</f>
        <v>0</v>
      </c>
    </row>
    <row r="17" spans="1:18" ht="91.5" x14ac:dyDescent="0.2">
      <c r="A17" s="621" t="s">
        <v>929</v>
      </c>
      <c r="B17" s="621" t="s">
        <v>930</v>
      </c>
      <c r="C17" s="621" t="s">
        <v>931</v>
      </c>
      <c r="D17" s="621" t="s">
        <v>928</v>
      </c>
      <c r="E17" s="631">
        <f>'dod3'!E17-'dod3 до МВК'!E17</f>
        <v>0</v>
      </c>
      <c r="F17" s="631">
        <f>'dod3'!F17-'dod3 до МВК'!F17</f>
        <v>0</v>
      </c>
      <c r="G17" s="631">
        <f>'dod3'!G17-'dod3 до МВК'!G17</f>
        <v>0</v>
      </c>
      <c r="H17" s="631">
        <f>'dod3'!H17-'dod3 до МВК'!H17</f>
        <v>0</v>
      </c>
      <c r="I17" s="631">
        <f>'dod3'!I17-'dod3 до МВК'!I17</f>
        <v>0</v>
      </c>
      <c r="J17" s="631">
        <f>'dod3'!J17-'dod3 до МВК'!J17</f>
        <v>0</v>
      </c>
      <c r="K17" s="631">
        <f>'dod3'!K17-'dod3 до МВК'!K17</f>
        <v>0</v>
      </c>
      <c r="L17" s="631">
        <f>'dod3'!L17-'dod3 до МВК'!L17</f>
        <v>0</v>
      </c>
      <c r="M17" s="631">
        <f>'dod3'!M17-'dod3 до МВК'!M17</f>
        <v>0</v>
      </c>
      <c r="N17" s="631">
        <f>'dod3'!N17-'dod3 до МВК'!N17</f>
        <v>0</v>
      </c>
      <c r="O17" s="631">
        <f>'dod3'!O17-'dod3 до МВК'!O17</f>
        <v>0</v>
      </c>
      <c r="P17" s="631">
        <f>'dod3'!P17-'dod3 до МВК'!P17</f>
        <v>0</v>
      </c>
    </row>
    <row r="18" spans="1:18" ht="91.5" x14ac:dyDescent="0.2">
      <c r="A18" s="621" t="s">
        <v>942</v>
      </c>
      <c r="B18" s="621" t="s">
        <v>706</v>
      </c>
      <c r="C18" s="621"/>
      <c r="D18" s="621" t="s">
        <v>833</v>
      </c>
      <c r="E18" s="631">
        <f>'dod3'!E18-'dod3 до МВК'!E18</f>
        <v>0</v>
      </c>
      <c r="F18" s="631">
        <f>'dod3'!F18-'dod3 до МВК'!F18</f>
        <v>0</v>
      </c>
      <c r="G18" s="631">
        <f>'dod3'!G18-'dod3 до МВК'!G18</f>
        <v>0</v>
      </c>
      <c r="H18" s="631">
        <f>'dod3'!H18-'dod3 до МВК'!H18</f>
        <v>0</v>
      </c>
      <c r="I18" s="631">
        <f>'dod3'!I18-'dod3 до МВК'!I18</f>
        <v>0</v>
      </c>
      <c r="J18" s="631">
        <f>'dod3'!J18-'dod3 до МВК'!J18</f>
        <v>0</v>
      </c>
      <c r="K18" s="631">
        <f>'dod3'!K18-'dod3 до МВК'!K18</f>
        <v>0</v>
      </c>
      <c r="L18" s="631">
        <f>'dod3'!L18-'dod3 до МВК'!L18</f>
        <v>0</v>
      </c>
      <c r="M18" s="631">
        <f>'dod3'!M18-'dod3 до МВК'!M18</f>
        <v>0</v>
      </c>
      <c r="N18" s="631">
        <f>'dod3'!N18-'dod3 до МВК'!N18</f>
        <v>0</v>
      </c>
      <c r="O18" s="631">
        <f>'dod3'!O18-'dod3 до МВК'!O18</f>
        <v>0</v>
      </c>
      <c r="P18" s="631">
        <f>'dod3'!P18-'dod3 до МВК'!P18</f>
        <v>0</v>
      </c>
    </row>
    <row r="19" spans="1:18" ht="366" x14ac:dyDescent="0.2">
      <c r="A19" s="629" t="s">
        <v>939</v>
      </c>
      <c r="B19" s="629" t="s">
        <v>940</v>
      </c>
      <c r="C19" s="629" t="s">
        <v>708</v>
      </c>
      <c r="D19" s="629" t="s">
        <v>941</v>
      </c>
      <c r="E19" s="631">
        <f>'dod3'!E19-'dod3 до МВК'!E19</f>
        <v>0</v>
      </c>
      <c r="F19" s="631">
        <f>'dod3'!F19-'dod3 до МВК'!F19</f>
        <v>0</v>
      </c>
      <c r="G19" s="631">
        <f>'dod3'!G19-'dod3 до МВК'!G19</f>
        <v>0</v>
      </c>
      <c r="H19" s="631">
        <f>'dod3'!H19-'dod3 до МВК'!H19</f>
        <v>0</v>
      </c>
      <c r="I19" s="631">
        <f>'dod3'!I19-'dod3 до МВК'!I19</f>
        <v>0</v>
      </c>
      <c r="J19" s="631">
        <f>'dod3'!J19-'dod3 до МВК'!J19</f>
        <v>0</v>
      </c>
      <c r="K19" s="631">
        <f>'dod3'!K19-'dod3 до МВК'!K19</f>
        <v>0</v>
      </c>
      <c r="L19" s="631">
        <f>'dod3'!L19-'dod3 до МВК'!L19</f>
        <v>0</v>
      </c>
      <c r="M19" s="631">
        <f>'dod3'!M19-'dod3 до МВК'!M19</f>
        <v>0</v>
      </c>
      <c r="N19" s="631">
        <f>'dod3'!N19-'dod3 до МВК'!N19</f>
        <v>0</v>
      </c>
      <c r="O19" s="631">
        <f>'dod3'!O19-'dod3 до МВК'!O19</f>
        <v>0</v>
      </c>
      <c r="P19" s="631">
        <f>'dod3'!P19-'dod3 до МВК'!P19</f>
        <v>0</v>
      </c>
    </row>
    <row r="20" spans="1:18" ht="91.5" x14ac:dyDescent="0.2">
      <c r="A20" s="621" t="s">
        <v>435</v>
      </c>
      <c r="B20" s="621" t="s">
        <v>436</v>
      </c>
      <c r="C20" s="621" t="s">
        <v>437</v>
      </c>
      <c r="D20" s="621" t="s">
        <v>434</v>
      </c>
      <c r="E20" s="631">
        <f>'dod3'!E20-'dod3 до МВК'!E20</f>
        <v>0</v>
      </c>
      <c r="F20" s="631">
        <f>'dod3'!F20-'dod3 до МВК'!F20</f>
        <v>0</v>
      </c>
      <c r="G20" s="631">
        <f>'dod3'!G20-'dod3 до МВК'!G20</f>
        <v>0</v>
      </c>
      <c r="H20" s="631">
        <f>'dod3'!H20-'dod3 до МВК'!H20</f>
        <v>0</v>
      </c>
      <c r="I20" s="631">
        <f>'dod3'!I20-'dod3 до МВК'!I20</f>
        <v>0</v>
      </c>
      <c r="J20" s="631">
        <f>'dod3'!J20-'dod3 до МВК'!J20</f>
        <v>0</v>
      </c>
      <c r="K20" s="631">
        <f>'dod3'!K20-'dod3 до МВК'!K20</f>
        <v>0</v>
      </c>
      <c r="L20" s="631">
        <f>'dod3'!L20-'dod3 до МВК'!L20</f>
        <v>0</v>
      </c>
      <c r="M20" s="631">
        <f>'dod3'!M20-'dod3 до МВК'!M20</f>
        <v>0</v>
      </c>
      <c r="N20" s="631">
        <f>'dod3'!N20-'dod3 до МВК'!N20</f>
        <v>0</v>
      </c>
      <c r="O20" s="631">
        <f>'dod3'!O20-'dod3 до МВК'!O20</f>
        <v>0</v>
      </c>
      <c r="P20" s="631">
        <f>'dod3'!P20-'dod3 до МВК'!P20</f>
        <v>0</v>
      </c>
    </row>
    <row r="21" spans="1:18" ht="91.5" x14ac:dyDescent="0.2">
      <c r="A21" s="621" t="s">
        <v>646</v>
      </c>
      <c r="B21" s="272" t="s">
        <v>373</v>
      </c>
      <c r="C21" s="272" t="s">
        <v>324</v>
      </c>
      <c r="D21" s="621" t="s">
        <v>89</v>
      </c>
      <c r="E21" s="631">
        <f>'dod3'!E21-'dod3 до МВК'!E21</f>
        <v>0</v>
      </c>
      <c r="F21" s="631">
        <f>'dod3'!F21-'dod3 до МВК'!F21</f>
        <v>0</v>
      </c>
      <c r="G21" s="631">
        <f>'dod3'!G21-'dod3 до МВК'!G21</f>
        <v>0</v>
      </c>
      <c r="H21" s="631">
        <f>'dod3'!H21-'dod3 до МВК'!H21</f>
        <v>0</v>
      </c>
      <c r="I21" s="631">
        <f>'dod3'!I21-'dod3 до МВК'!I21</f>
        <v>0</v>
      </c>
      <c r="J21" s="631">
        <f>'dod3'!J21-'dod3 до МВК'!J21</f>
        <v>0</v>
      </c>
      <c r="K21" s="631">
        <f>'dod3'!K21-'dod3 до МВК'!K21</f>
        <v>0</v>
      </c>
      <c r="L21" s="631">
        <f>'dod3'!L21-'dod3 до МВК'!L21</f>
        <v>0</v>
      </c>
      <c r="M21" s="631">
        <f>'dod3'!M21-'dod3 до МВК'!M21</f>
        <v>0</v>
      </c>
      <c r="N21" s="631">
        <f>'dod3'!N21-'dod3 до МВК'!N21</f>
        <v>0</v>
      </c>
      <c r="O21" s="631">
        <f>'dod3'!O21-'dod3 до МВК'!O21</f>
        <v>0</v>
      </c>
      <c r="P21" s="631">
        <f>'dod3'!P21-'dod3 до МВК'!P21</f>
        <v>0</v>
      </c>
    </row>
    <row r="22" spans="1:18" ht="137.25" x14ac:dyDescent="0.2">
      <c r="A22" s="621" t="s">
        <v>565</v>
      </c>
      <c r="B22" s="621" t="s">
        <v>566</v>
      </c>
      <c r="C22" s="621" t="s">
        <v>324</v>
      </c>
      <c r="D22" s="620" t="s">
        <v>564</v>
      </c>
      <c r="E22" s="631">
        <f>'dod3'!E22-'dod3 до МВК'!E22</f>
        <v>0</v>
      </c>
      <c r="F22" s="631">
        <f>'dod3'!F22-'dod3 до МВК'!F22</f>
        <v>0</v>
      </c>
      <c r="G22" s="631">
        <f>'dod3'!G22-'dod3 до МВК'!G22</f>
        <v>0</v>
      </c>
      <c r="H22" s="631">
        <f>'dod3'!H22-'dod3 до МВК'!H22</f>
        <v>0</v>
      </c>
      <c r="I22" s="631">
        <f>'dod3'!I22-'dod3 до МВК'!I22</f>
        <v>0</v>
      </c>
      <c r="J22" s="631">
        <f>'dod3'!J22-'dod3 до МВК'!J22</f>
        <v>0</v>
      </c>
      <c r="K22" s="631">
        <f>'dod3'!K22-'dod3 до МВК'!K22</f>
        <v>0</v>
      </c>
      <c r="L22" s="631">
        <f>'dod3'!L22-'dod3 до МВК'!L22</f>
        <v>0</v>
      </c>
      <c r="M22" s="631">
        <f>'dod3'!M22-'dod3 до МВК'!M22</f>
        <v>0</v>
      </c>
      <c r="N22" s="631">
        <f>'dod3'!N22-'dod3 до МВК'!N22</f>
        <v>0</v>
      </c>
      <c r="O22" s="631">
        <f>'dod3'!O22-'dod3 до МВК'!O22</f>
        <v>0</v>
      </c>
      <c r="P22" s="631">
        <f>'dod3'!P22-'dod3 до МВК'!P22</f>
        <v>0</v>
      </c>
    </row>
    <row r="23" spans="1:18" ht="46.5" x14ac:dyDescent="0.2">
      <c r="A23" s="621" t="s">
        <v>448</v>
      </c>
      <c r="B23" s="621" t="s">
        <v>449</v>
      </c>
      <c r="C23" s="621"/>
      <c r="D23" s="274" t="s">
        <v>447</v>
      </c>
      <c r="E23" s="631">
        <f>'dod3'!E23-'dod3 до МВК'!E23</f>
        <v>0</v>
      </c>
      <c r="F23" s="631">
        <f>'dod3'!F23-'dod3 до МВК'!F23</f>
        <v>0</v>
      </c>
      <c r="G23" s="631">
        <f>'dod3'!G23-'dod3 до МВК'!G23</f>
        <v>0</v>
      </c>
      <c r="H23" s="631">
        <f>'dod3'!H23-'dod3 до МВК'!H23</f>
        <v>0</v>
      </c>
      <c r="I23" s="631">
        <f>'dod3'!I23-'dod3 до МВК'!I23</f>
        <v>0</v>
      </c>
      <c r="J23" s="631">
        <f>'dod3'!J23-'dod3 до МВК'!J23</f>
        <v>0</v>
      </c>
      <c r="K23" s="631">
        <f>'dod3'!K23-'dod3 до МВК'!K23</f>
        <v>0</v>
      </c>
      <c r="L23" s="631">
        <f>'dod3'!L23-'dod3 до МВК'!L23</f>
        <v>0</v>
      </c>
      <c r="M23" s="631">
        <f>'dod3'!M23-'dod3 до МВК'!M23</f>
        <v>0</v>
      </c>
      <c r="N23" s="631">
        <f>'dod3'!N23-'dod3 до МВК'!N23</f>
        <v>0</v>
      </c>
      <c r="O23" s="631">
        <f>'dod3'!O23-'dod3 до МВК'!O23</f>
        <v>0</v>
      </c>
      <c r="P23" s="631">
        <f>'dod3'!P23-'dod3 до МВК'!P23</f>
        <v>0</v>
      </c>
    </row>
    <row r="24" spans="1:18" s="203" customFormat="1" ht="409.5" x14ac:dyDescent="0.2">
      <c r="A24" s="718" t="s">
        <v>700</v>
      </c>
      <c r="B24" s="718" t="s">
        <v>699</v>
      </c>
      <c r="C24" s="718" t="s">
        <v>324</v>
      </c>
      <c r="D24" s="275" t="s">
        <v>728</v>
      </c>
      <c r="E24" s="714">
        <f>'dod3'!E24:E25-'dod3 до МВК'!E24:E25</f>
        <v>0</v>
      </c>
      <c r="F24" s="714">
        <f>'dod3'!F24:F25-'dod3 до МВК'!F24:F25</f>
        <v>0</v>
      </c>
      <c r="G24" s="714">
        <f>'dod3'!G24:G25-'dod3 до МВК'!G24:G25</f>
        <v>0</v>
      </c>
      <c r="H24" s="714">
        <f>'dod3'!H24:H25-'dod3 до МВК'!H24:H25</f>
        <v>0</v>
      </c>
      <c r="I24" s="714">
        <f>'dod3'!I24:I25-'dod3 до МВК'!I24:I25</f>
        <v>0</v>
      </c>
      <c r="J24" s="714">
        <f>'dod3'!J24:J25-'dod3 до МВК'!J24:J25</f>
        <v>0</v>
      </c>
      <c r="K24" s="714">
        <f>'dod3'!K24:K25-'dod3 до МВК'!K24:K25</f>
        <v>0</v>
      </c>
      <c r="L24" s="714">
        <f>'dod3'!L24:L25-'dod3 до МВК'!L24:L25</f>
        <v>0</v>
      </c>
      <c r="M24" s="714">
        <f>'dod3'!M24:M25-'dod3 до МВК'!M24:M25</f>
        <v>0</v>
      </c>
      <c r="N24" s="714">
        <f>'dod3'!N24:N25-'dod3 до МВК'!N24:N25</f>
        <v>0</v>
      </c>
      <c r="O24" s="714">
        <f>'dod3'!O24:O25-'dod3 до МВК'!O24:O25</f>
        <v>0</v>
      </c>
      <c r="P24" s="714">
        <f>'dod3'!P24:P25-'dod3 до МВК'!P24:P25</f>
        <v>0</v>
      </c>
    </row>
    <row r="25" spans="1:18" s="203" customFormat="1" ht="137.25" x14ac:dyDescent="0.2">
      <c r="A25" s="719"/>
      <c r="B25" s="719"/>
      <c r="C25" s="719"/>
      <c r="D25" s="276" t="s">
        <v>729</v>
      </c>
      <c r="E25" s="715"/>
      <c r="F25" s="715"/>
      <c r="G25" s="715"/>
      <c r="H25" s="715"/>
      <c r="I25" s="715"/>
      <c r="J25" s="715"/>
      <c r="K25" s="715"/>
      <c r="L25" s="715"/>
      <c r="M25" s="715"/>
      <c r="N25" s="715"/>
      <c r="O25" s="715"/>
      <c r="P25" s="715"/>
    </row>
    <row r="26" spans="1:18" ht="91.5" x14ac:dyDescent="0.2">
      <c r="A26" s="621" t="s">
        <v>438</v>
      </c>
      <c r="B26" s="621" t="s">
        <v>439</v>
      </c>
      <c r="C26" s="621" t="s">
        <v>440</v>
      </c>
      <c r="D26" s="620" t="s">
        <v>441</v>
      </c>
      <c r="E26" s="631">
        <f>'dod3'!E26-'dod3 до МВК'!E26</f>
        <v>0</v>
      </c>
      <c r="F26" s="631">
        <f>'dod3'!F26-'dod3 до МВК'!F26</f>
        <v>0</v>
      </c>
      <c r="G26" s="631">
        <f>'dod3'!G26-'dod3 до МВК'!G26</f>
        <v>0</v>
      </c>
      <c r="H26" s="631">
        <f>'dod3'!H26-'dod3 до МВК'!H26</f>
        <v>0</v>
      </c>
      <c r="I26" s="631">
        <f>'dod3'!I26-'dod3 до МВК'!I26</f>
        <v>0</v>
      </c>
      <c r="J26" s="631">
        <f>'dod3'!J26-'dod3 до МВК'!J26</f>
        <v>0</v>
      </c>
      <c r="K26" s="631">
        <f>'dod3'!K26-'dod3 до МВК'!K26</f>
        <v>0</v>
      </c>
      <c r="L26" s="631">
        <f>'dod3'!L26-'dod3 до МВК'!L26</f>
        <v>0</v>
      </c>
      <c r="M26" s="631">
        <f>'dod3'!M26-'dod3 до МВК'!M26</f>
        <v>0</v>
      </c>
      <c r="N26" s="631">
        <f>'dod3'!N26-'dod3 до МВК'!N26</f>
        <v>0</v>
      </c>
      <c r="O26" s="631">
        <f>'dod3'!O26-'dod3 до МВК'!O26</f>
        <v>0</v>
      </c>
      <c r="P26" s="631">
        <f>'dod3'!P26-'dod3 до МВК'!P26</f>
        <v>0</v>
      </c>
    </row>
    <row r="27" spans="1:18" ht="274.5" x14ac:dyDescent="0.2">
      <c r="A27" s="621" t="s">
        <v>442</v>
      </c>
      <c r="B27" s="621" t="s">
        <v>443</v>
      </c>
      <c r="C27" s="621" t="s">
        <v>103</v>
      </c>
      <c r="D27" s="621" t="s">
        <v>444</v>
      </c>
      <c r="E27" s="631">
        <f>'dod3'!E27-'dod3 до МВК'!E27</f>
        <v>0</v>
      </c>
      <c r="F27" s="631">
        <f>'dod3'!F27-'dod3 до МВК'!F27</f>
        <v>0</v>
      </c>
      <c r="G27" s="631">
        <f>'dod3'!G27-'dod3 до МВК'!G27</f>
        <v>0</v>
      </c>
      <c r="H27" s="631">
        <f>'dod3'!H27-'dod3 до МВК'!H27</f>
        <v>0</v>
      </c>
      <c r="I27" s="631">
        <f>'dod3'!I27-'dod3 до МВК'!I27</f>
        <v>0</v>
      </c>
      <c r="J27" s="631">
        <f>'dod3'!J27-'dod3 до МВК'!J27</f>
        <v>0</v>
      </c>
      <c r="K27" s="631">
        <f>'dod3'!K27-'dod3 до МВК'!K27</f>
        <v>0</v>
      </c>
      <c r="L27" s="631">
        <f>'dod3'!L27-'dod3 до МВК'!L27</f>
        <v>0</v>
      </c>
      <c r="M27" s="631">
        <f>'dod3'!M27-'dod3 до МВК'!M27</f>
        <v>0</v>
      </c>
      <c r="N27" s="631">
        <f>'dod3'!N27-'dod3 до МВК'!N27</f>
        <v>0</v>
      </c>
      <c r="O27" s="631">
        <f>'dod3'!O27-'dod3 до МВК'!O27</f>
        <v>0</v>
      </c>
      <c r="P27" s="631">
        <f>'dod3'!P27-'dod3 до МВК'!P27</f>
        <v>0</v>
      </c>
    </row>
    <row r="28" spans="1:18" ht="91.5" x14ac:dyDescent="0.2">
      <c r="A28" s="621" t="s">
        <v>966</v>
      </c>
      <c r="B28" s="621" t="s">
        <v>800</v>
      </c>
      <c r="C28" s="621" t="s">
        <v>103</v>
      </c>
      <c r="D28" s="621" t="s">
        <v>801</v>
      </c>
      <c r="E28" s="631">
        <f>'dod3'!E28-'dod3 до МВК'!E28</f>
        <v>0</v>
      </c>
      <c r="F28" s="631">
        <f>'dod3'!F28-'dod3 до МВК'!F28</f>
        <v>0</v>
      </c>
      <c r="G28" s="631">
        <f>'dod3'!G28-'dod3 до МВК'!G28</f>
        <v>0</v>
      </c>
      <c r="H28" s="631">
        <f>'dod3'!H28-'dod3 до МВК'!H28</f>
        <v>0</v>
      </c>
      <c r="I28" s="631">
        <f>'dod3'!I28-'dod3 до МВК'!I28</f>
        <v>0</v>
      </c>
      <c r="J28" s="631">
        <f>'dod3'!J28-'dod3 до МВК'!J28</f>
        <v>0</v>
      </c>
      <c r="K28" s="631">
        <f>'dod3'!K28-'dod3 до МВК'!K28</f>
        <v>0</v>
      </c>
      <c r="L28" s="631">
        <f>'dod3'!L28-'dod3 до МВК'!L28</f>
        <v>0</v>
      </c>
      <c r="M28" s="631">
        <f>'dod3'!M28-'dod3 до МВК'!M28</f>
        <v>0</v>
      </c>
      <c r="N28" s="631">
        <f>'dod3'!N28-'dod3 до МВК'!N28</f>
        <v>0</v>
      </c>
      <c r="O28" s="631">
        <f>'dod3'!O28-'dod3 до МВК'!O28</f>
        <v>0</v>
      </c>
      <c r="P28" s="631">
        <f>'dod3'!P28-'dod3 до МВК'!P28</f>
        <v>0</v>
      </c>
    </row>
    <row r="29" spans="1:18" ht="183" x14ac:dyDescent="0.2">
      <c r="A29" s="621" t="s">
        <v>822</v>
      </c>
      <c r="B29" s="621" t="s">
        <v>823</v>
      </c>
      <c r="C29" s="621" t="s">
        <v>103</v>
      </c>
      <c r="D29" s="621" t="s">
        <v>824</v>
      </c>
      <c r="E29" s="631">
        <f>'dod3'!E29-'dod3 до МВК'!E29</f>
        <v>0</v>
      </c>
      <c r="F29" s="631">
        <f>'dod3'!F29-'dod3 до МВК'!F29</f>
        <v>0</v>
      </c>
      <c r="G29" s="631">
        <f>'dod3'!G29-'dod3 до МВК'!G29</f>
        <v>0</v>
      </c>
      <c r="H29" s="631">
        <f>'dod3'!H29-'dod3 до МВК'!H29</f>
        <v>0</v>
      </c>
      <c r="I29" s="631">
        <f>'dod3'!I29-'dod3 до МВК'!I29</f>
        <v>0</v>
      </c>
      <c r="J29" s="631">
        <f>'dod3'!J29-'dod3 до МВК'!J29</f>
        <v>0</v>
      </c>
      <c r="K29" s="631">
        <f>'dod3'!K29-'dod3 до МВК'!K29</f>
        <v>0</v>
      </c>
      <c r="L29" s="631">
        <f>'dod3'!L29-'dod3 до МВК'!L29</f>
        <v>0</v>
      </c>
      <c r="M29" s="631">
        <f>'dod3'!M29-'dod3 до МВК'!M29</f>
        <v>0</v>
      </c>
      <c r="N29" s="631">
        <f>'dod3'!N29-'dod3 до МВК'!N29</f>
        <v>0</v>
      </c>
      <c r="O29" s="631">
        <f>'dod3'!O29-'dod3 до МВК'!O29</f>
        <v>0</v>
      </c>
      <c r="P29" s="631">
        <f>'dod3'!P29-'dod3 до МВК'!P29</f>
        <v>0</v>
      </c>
    </row>
    <row r="30" spans="1:18" ht="135" x14ac:dyDescent="0.2">
      <c r="A30" s="277" t="s">
        <v>306</v>
      </c>
      <c r="B30" s="277"/>
      <c r="C30" s="277"/>
      <c r="D30" s="278" t="s">
        <v>1</v>
      </c>
      <c r="E30" s="243">
        <f>E31</f>
        <v>0</v>
      </c>
      <c r="F30" s="243">
        <f t="shared" ref="F30:P30" si="3">F31</f>
        <v>0</v>
      </c>
      <c r="G30" s="243">
        <f t="shared" si="3"/>
        <v>0</v>
      </c>
      <c r="H30" s="243">
        <f t="shared" si="3"/>
        <v>0</v>
      </c>
      <c r="I30" s="243">
        <f t="shared" si="3"/>
        <v>0</v>
      </c>
      <c r="J30" s="243">
        <f t="shared" si="3"/>
        <v>0</v>
      </c>
      <c r="K30" s="243">
        <f t="shared" si="3"/>
        <v>0</v>
      </c>
      <c r="L30" s="243">
        <f t="shared" si="3"/>
        <v>0</v>
      </c>
      <c r="M30" s="243">
        <f t="shared" si="3"/>
        <v>0</v>
      </c>
      <c r="N30" s="243">
        <f t="shared" si="3"/>
        <v>0</v>
      </c>
      <c r="O30" s="244">
        <f t="shared" si="3"/>
        <v>0</v>
      </c>
      <c r="P30" s="243">
        <f t="shared" si="3"/>
        <v>0</v>
      </c>
    </row>
    <row r="31" spans="1:18" ht="135" x14ac:dyDescent="0.2">
      <c r="A31" s="280" t="s">
        <v>307</v>
      </c>
      <c r="B31" s="280"/>
      <c r="C31" s="280"/>
      <c r="D31" s="281" t="s">
        <v>2</v>
      </c>
      <c r="E31" s="244">
        <f>E32+E33+E34+E35+E36+E38+E39+E37+E42</f>
        <v>0</v>
      </c>
      <c r="F31" s="243">
        <f>F32+F33+F34+F35+F36+F38+F39+F37+F42+F400</f>
        <v>0</v>
      </c>
      <c r="G31" s="244">
        <f>G32+G33+G34+G35+G36+G38+G39+G37+G42</f>
        <v>0</v>
      </c>
      <c r="H31" s="244">
        <f>H32+H33+H34+H35+H36+H38+H39+H37+H42</f>
        <v>0</v>
      </c>
      <c r="I31" s="243">
        <f>I32+I33+I34+I35+I36+I38+I39+I37</f>
        <v>0</v>
      </c>
      <c r="J31" s="244">
        <f t="shared" ref="J31:O31" si="4">J32+J33+J34+J35+J36+J38+J39+J37+J42</f>
        <v>0</v>
      </c>
      <c r="K31" s="243">
        <f t="shared" si="4"/>
        <v>0</v>
      </c>
      <c r="L31" s="244">
        <f t="shared" si="4"/>
        <v>0</v>
      </c>
      <c r="M31" s="244">
        <f t="shared" si="4"/>
        <v>0</v>
      </c>
      <c r="N31" s="243">
        <f t="shared" si="4"/>
        <v>0</v>
      </c>
      <c r="O31" s="244">
        <f t="shared" si="4"/>
        <v>0</v>
      </c>
      <c r="P31" s="244">
        <f t="shared" ref="P31" si="5">E31+J31</f>
        <v>0</v>
      </c>
      <c r="Q31" s="240"/>
      <c r="R31" s="240"/>
    </row>
    <row r="32" spans="1:18" ht="67.5" customHeight="1" x14ac:dyDescent="0.55000000000000004">
      <c r="A32" s="621" t="s">
        <v>376</v>
      </c>
      <c r="B32" s="621" t="s">
        <v>377</v>
      </c>
      <c r="C32" s="621" t="s">
        <v>379</v>
      </c>
      <c r="D32" s="621" t="s">
        <v>380</v>
      </c>
      <c r="E32" s="631">
        <f>'dod3'!E32-'dod3 до МВК'!E32</f>
        <v>0</v>
      </c>
      <c r="F32" s="631">
        <f>'dod3'!F32-'dod3 до МВК'!F32</f>
        <v>0</v>
      </c>
      <c r="G32" s="631">
        <f>'dod3'!G32-'dod3 до МВК'!G32</f>
        <v>0</v>
      </c>
      <c r="H32" s="631">
        <f>'dod3'!H32-'dod3 до МВК'!H32</f>
        <v>0</v>
      </c>
      <c r="I32" s="631">
        <f>'dod3'!I32-'dod3 до МВК'!I32</f>
        <v>0</v>
      </c>
      <c r="J32" s="631">
        <f>'dod3'!J32-'dod3 до МВК'!J32</f>
        <v>0</v>
      </c>
      <c r="K32" s="631">
        <f>'dod3'!K32-'dod3 до МВК'!K32</f>
        <v>0</v>
      </c>
      <c r="L32" s="631">
        <f>'dod3'!L32-'dod3 до МВК'!L32</f>
        <v>0</v>
      </c>
      <c r="M32" s="631">
        <f>'dod3'!M32-'dod3 до МВК'!M32</f>
        <v>0</v>
      </c>
      <c r="N32" s="631">
        <f>'dod3'!N32-'dod3 до МВК'!N32</f>
        <v>0</v>
      </c>
      <c r="O32" s="631">
        <f>'dod3'!O32-'dod3 до МВК'!O32</f>
        <v>0</v>
      </c>
      <c r="P32" s="631">
        <f>'dod3'!P32-'dod3 до МВК'!P32</f>
        <v>0</v>
      </c>
      <c r="Q32" s="26"/>
      <c r="R32" s="26"/>
    </row>
    <row r="33" spans="1:20" ht="389.25" customHeight="1" x14ac:dyDescent="0.55000000000000004">
      <c r="A33" s="621" t="s">
        <v>382</v>
      </c>
      <c r="B33" s="621" t="s">
        <v>378</v>
      </c>
      <c r="C33" s="621" t="s">
        <v>383</v>
      </c>
      <c r="D33" s="621" t="s">
        <v>914</v>
      </c>
      <c r="E33" s="631">
        <f>'dod3'!E33-'dod3 до МВК'!E33</f>
        <v>0</v>
      </c>
      <c r="F33" s="631">
        <f>'dod3'!F33-'dod3 до МВК'!F33</f>
        <v>0</v>
      </c>
      <c r="G33" s="631">
        <f>'dod3'!G33-'dod3 до МВК'!G33</f>
        <v>0</v>
      </c>
      <c r="H33" s="631">
        <f>'dod3'!H33-'dod3 до МВК'!H33</f>
        <v>0</v>
      </c>
      <c r="I33" s="631">
        <f>'dod3'!I33-'dod3 до МВК'!I33</f>
        <v>0</v>
      </c>
      <c r="J33" s="631">
        <f>'dod3'!J33-'dod3 до МВК'!J33</f>
        <v>0</v>
      </c>
      <c r="K33" s="631">
        <f>'dod3'!K33-'dod3 до МВК'!K33</f>
        <v>0</v>
      </c>
      <c r="L33" s="631">
        <f>'dod3'!L33-'dod3 до МВК'!L33</f>
        <v>0</v>
      </c>
      <c r="M33" s="631">
        <f>'dod3'!M33-'dod3 до МВК'!M33</f>
        <v>0</v>
      </c>
      <c r="N33" s="631">
        <f>'dod3'!N33-'dod3 до МВК'!N33</f>
        <v>0</v>
      </c>
      <c r="O33" s="631">
        <f>'dod3'!O33-'dod3 до МВК'!O33</f>
        <v>0</v>
      </c>
      <c r="P33" s="631">
        <f>'dod3'!P33-'dod3 до МВК'!P33</f>
        <v>0</v>
      </c>
      <c r="Q33" s="26"/>
      <c r="R33" s="26"/>
      <c r="T33" s="181"/>
    </row>
    <row r="34" spans="1:20" ht="137.25" x14ac:dyDescent="0.2">
      <c r="A34" s="621" t="s">
        <v>384</v>
      </c>
      <c r="B34" s="621" t="s">
        <v>385</v>
      </c>
      <c r="C34" s="621" t="s">
        <v>383</v>
      </c>
      <c r="D34" s="621" t="s">
        <v>46</v>
      </c>
      <c r="E34" s="631">
        <f>'dod3'!E34-'dod3 до МВК'!E34</f>
        <v>0</v>
      </c>
      <c r="F34" s="631">
        <f>'dod3'!F34-'dod3 до МВК'!F34</f>
        <v>0</v>
      </c>
      <c r="G34" s="631">
        <f>'dod3'!G34-'dod3 до МВК'!G34</f>
        <v>0</v>
      </c>
      <c r="H34" s="631">
        <f>'dod3'!H34-'dod3 до МВК'!H34</f>
        <v>0</v>
      </c>
      <c r="I34" s="631">
        <f>'dod3'!I34-'dod3 до МВК'!I34</f>
        <v>0</v>
      </c>
      <c r="J34" s="631">
        <f>'dod3'!J34-'dod3 до МВК'!J34</f>
        <v>0</v>
      </c>
      <c r="K34" s="631">
        <f>'dod3'!K34-'dod3 до МВК'!K34</f>
        <v>0</v>
      </c>
      <c r="L34" s="631">
        <f>'dod3'!L34-'dod3 до МВК'!L34</f>
        <v>0</v>
      </c>
      <c r="M34" s="631">
        <f>'dod3'!M34-'dod3 до МВК'!M34</f>
        <v>0</v>
      </c>
      <c r="N34" s="631">
        <f>'dod3'!N34-'dod3 до МВК'!N34</f>
        <v>0</v>
      </c>
      <c r="O34" s="631">
        <f>'dod3'!O34-'dod3 до МВК'!O34</f>
        <v>0</v>
      </c>
      <c r="P34" s="631">
        <f>'dod3'!P34-'dod3 до МВК'!P34</f>
        <v>0</v>
      </c>
    </row>
    <row r="35" spans="1:20" ht="409.6" customHeight="1" x14ac:dyDescent="0.2">
      <c r="A35" s="621" t="s">
        <v>387</v>
      </c>
      <c r="B35" s="621" t="s">
        <v>386</v>
      </c>
      <c r="C35" s="621" t="s">
        <v>388</v>
      </c>
      <c r="D35" s="621" t="s">
        <v>47</v>
      </c>
      <c r="E35" s="631">
        <f>'dod3'!E35-'dod3 до МВК'!E35</f>
        <v>0</v>
      </c>
      <c r="F35" s="631">
        <f>'dod3'!F35-'dod3 до МВК'!F35</f>
        <v>0</v>
      </c>
      <c r="G35" s="631">
        <f>'dod3'!G35-'dod3 до МВК'!G35</f>
        <v>0</v>
      </c>
      <c r="H35" s="631">
        <f>'dod3'!H35-'dod3 до МВК'!H35</f>
        <v>0</v>
      </c>
      <c r="I35" s="631">
        <f>'dod3'!I35-'dod3 до МВК'!I35</f>
        <v>0</v>
      </c>
      <c r="J35" s="631">
        <f>'dod3'!J35-'dod3 до МВК'!J35</f>
        <v>0</v>
      </c>
      <c r="K35" s="631">
        <f>'dod3'!K35-'dod3 до МВК'!K35</f>
        <v>0</v>
      </c>
      <c r="L35" s="631">
        <f>'dod3'!L35-'dod3 до МВК'!L35</f>
        <v>0</v>
      </c>
      <c r="M35" s="631">
        <f>'dod3'!M35-'dod3 до МВК'!M35</f>
        <v>0</v>
      </c>
      <c r="N35" s="631">
        <f>'dod3'!N35-'dod3 до МВК'!N35</f>
        <v>0</v>
      </c>
      <c r="O35" s="631">
        <f>'dod3'!O35-'dod3 до МВК'!O35</f>
        <v>0</v>
      </c>
      <c r="P35" s="631">
        <f>'dod3'!P35-'dod3 до МВК'!P35</f>
        <v>0</v>
      </c>
    </row>
    <row r="36" spans="1:20" ht="183" x14ac:dyDescent="0.2">
      <c r="A36" s="621" t="s">
        <v>389</v>
      </c>
      <c r="B36" s="621" t="s">
        <v>363</v>
      </c>
      <c r="C36" s="621" t="s">
        <v>344</v>
      </c>
      <c r="D36" s="621" t="s">
        <v>48</v>
      </c>
      <c r="E36" s="631">
        <f>'dod3'!E36-'dod3 до МВК'!E36</f>
        <v>0</v>
      </c>
      <c r="F36" s="631">
        <f>'dod3'!F36-'dod3 до МВК'!F36</f>
        <v>0</v>
      </c>
      <c r="G36" s="631">
        <f>'dod3'!G36-'dod3 до МВК'!G36</f>
        <v>0</v>
      </c>
      <c r="H36" s="631">
        <f>'dod3'!H36-'dod3 до МВК'!H36</f>
        <v>0</v>
      </c>
      <c r="I36" s="631">
        <f>'dod3'!I36-'dod3 до МВК'!I36</f>
        <v>0</v>
      </c>
      <c r="J36" s="631">
        <f>'dod3'!J36-'dod3 до МВК'!J36</f>
        <v>0</v>
      </c>
      <c r="K36" s="631">
        <f>'dod3'!K36-'dod3 до МВК'!K36</f>
        <v>0</v>
      </c>
      <c r="L36" s="631">
        <f>'dod3'!L36-'dod3 до МВК'!L36</f>
        <v>0</v>
      </c>
      <c r="M36" s="631">
        <f>'dod3'!M36-'dod3 до МВК'!M36</f>
        <v>0</v>
      </c>
      <c r="N36" s="631">
        <f>'dod3'!N36-'dod3 до МВК'!N36</f>
        <v>0</v>
      </c>
      <c r="O36" s="631">
        <f>'dod3'!O36-'dod3 до МВК'!O36</f>
        <v>0</v>
      </c>
      <c r="P36" s="631">
        <f>'dod3'!P36-'dod3 до МВК'!P36</f>
        <v>0</v>
      </c>
    </row>
    <row r="37" spans="1:20" ht="155.25" customHeight="1" x14ac:dyDescent="0.2">
      <c r="A37" s="621" t="s">
        <v>390</v>
      </c>
      <c r="B37" s="621" t="s">
        <v>391</v>
      </c>
      <c r="C37" s="621" t="s">
        <v>392</v>
      </c>
      <c r="D37" s="621" t="s">
        <v>393</v>
      </c>
      <c r="E37" s="631">
        <f>'dod3'!E37-'dod3 до МВК'!E37</f>
        <v>0</v>
      </c>
      <c r="F37" s="631">
        <f>'dod3'!F37-'dod3 до МВК'!F37</f>
        <v>0</v>
      </c>
      <c r="G37" s="631">
        <f>'dod3'!G37-'dod3 до МВК'!G37</f>
        <v>0</v>
      </c>
      <c r="H37" s="631">
        <f>'dod3'!H37-'dod3 до МВК'!H37</f>
        <v>0</v>
      </c>
      <c r="I37" s="631">
        <f>'dod3'!I37-'dod3 до МВК'!I37</f>
        <v>0</v>
      </c>
      <c r="J37" s="631">
        <f>'dod3'!J37-'dod3 до МВК'!J37</f>
        <v>0</v>
      </c>
      <c r="K37" s="631">
        <f>'dod3'!K37-'dod3 до МВК'!K37</f>
        <v>0</v>
      </c>
      <c r="L37" s="631">
        <f>'dod3'!L37-'dod3 до МВК'!L37</f>
        <v>0</v>
      </c>
      <c r="M37" s="631">
        <f>'dod3'!M37-'dod3 до МВК'!M37</f>
        <v>0</v>
      </c>
      <c r="N37" s="631">
        <f>'dod3'!N37-'dod3 до МВК'!N37</f>
        <v>0</v>
      </c>
      <c r="O37" s="631">
        <f>'dod3'!O37-'dod3 до МВК'!O37</f>
        <v>0</v>
      </c>
      <c r="P37" s="631">
        <f>'dod3'!P37-'dod3 до МВК'!P37</f>
        <v>0</v>
      </c>
    </row>
    <row r="38" spans="1:20" ht="130.5" customHeight="1" x14ac:dyDescent="0.2">
      <c r="A38" s="621" t="s">
        <v>395</v>
      </c>
      <c r="B38" s="621" t="s">
        <v>396</v>
      </c>
      <c r="C38" s="621" t="s">
        <v>397</v>
      </c>
      <c r="D38" s="621" t="s">
        <v>394</v>
      </c>
      <c r="E38" s="631">
        <f>'dod3'!E38-'dod3 до МВК'!E38</f>
        <v>0</v>
      </c>
      <c r="F38" s="631">
        <f>'dod3'!F38-'dod3 до МВК'!F38</f>
        <v>0</v>
      </c>
      <c r="G38" s="631">
        <f>'dod3'!G38-'dod3 до МВК'!G38</f>
        <v>0</v>
      </c>
      <c r="H38" s="631">
        <f>'dod3'!H38-'dod3 до МВК'!H38</f>
        <v>0</v>
      </c>
      <c r="I38" s="631">
        <f>'dod3'!I38-'dod3 до МВК'!I38</f>
        <v>0</v>
      </c>
      <c r="J38" s="631">
        <f>'dod3'!J38-'dod3 до МВК'!J38</f>
        <v>0</v>
      </c>
      <c r="K38" s="631">
        <f>'dod3'!K38-'dod3 до МВК'!K38</f>
        <v>0</v>
      </c>
      <c r="L38" s="631">
        <f>'dod3'!L38-'dod3 до МВК'!L38</f>
        <v>0</v>
      </c>
      <c r="M38" s="631">
        <f>'dod3'!M38-'dod3 до МВК'!M38</f>
        <v>0</v>
      </c>
      <c r="N38" s="631">
        <f>'dod3'!N38-'dod3 до МВК'!N38</f>
        <v>0</v>
      </c>
      <c r="O38" s="631">
        <f>'dod3'!O38-'dod3 до МВК'!O38</f>
        <v>0</v>
      </c>
      <c r="P38" s="631">
        <f>'dod3'!P38-'dod3 до МВК'!P38</f>
        <v>0</v>
      </c>
    </row>
    <row r="39" spans="1:20" ht="112.5" customHeight="1" x14ac:dyDescent="0.2">
      <c r="A39" s="621" t="s">
        <v>399</v>
      </c>
      <c r="B39" s="621" t="s">
        <v>400</v>
      </c>
      <c r="C39" s="621"/>
      <c r="D39" s="620" t="s">
        <v>398</v>
      </c>
      <c r="E39" s="631">
        <f>'dod3'!E39-'dod3 до МВК'!E39</f>
        <v>0</v>
      </c>
      <c r="F39" s="631">
        <f>'dod3'!F39-'dod3 до МВК'!F39</f>
        <v>0</v>
      </c>
      <c r="G39" s="631">
        <f>'dod3'!G39-'dod3 до МВК'!G39</f>
        <v>0</v>
      </c>
      <c r="H39" s="631">
        <f>'dod3'!H39-'dod3 до МВК'!H39</f>
        <v>0</v>
      </c>
      <c r="I39" s="631">
        <f>'dod3'!I39-'dod3 до МВК'!I39</f>
        <v>0</v>
      </c>
      <c r="J39" s="631">
        <f>'dod3'!J39-'dod3 до МВК'!J39</f>
        <v>0</v>
      </c>
      <c r="K39" s="631">
        <f>'dod3'!K39-'dod3 до МВК'!K39</f>
        <v>0</v>
      </c>
      <c r="L39" s="631">
        <f>'dod3'!L39-'dod3 до МВК'!L39</f>
        <v>0</v>
      </c>
      <c r="M39" s="631">
        <f>'dod3'!M39-'dod3 до МВК'!M39</f>
        <v>0</v>
      </c>
      <c r="N39" s="631">
        <f>'dod3'!N39-'dod3 до МВК'!N39</f>
        <v>0</v>
      </c>
      <c r="O39" s="631">
        <f>'dod3'!O39-'dod3 до МВК'!O39</f>
        <v>0</v>
      </c>
      <c r="P39" s="631">
        <f>'dod3'!P39-'dod3 до МВК'!P39</f>
        <v>0</v>
      </c>
    </row>
    <row r="40" spans="1:20" s="203" customFormat="1" ht="139.5" customHeight="1" x14ac:dyDescent="0.2">
      <c r="A40" s="628" t="s">
        <v>656</v>
      </c>
      <c r="B40" s="628" t="s">
        <v>657</v>
      </c>
      <c r="C40" s="628" t="s">
        <v>397</v>
      </c>
      <c r="D40" s="628" t="s">
        <v>655</v>
      </c>
      <c r="E40" s="631">
        <f>'dod3'!E40-'dod3 до МВК'!E40</f>
        <v>0</v>
      </c>
      <c r="F40" s="631">
        <f>'dod3'!F40-'dod3 до МВК'!F40</f>
        <v>0</v>
      </c>
      <c r="G40" s="631">
        <f>'dod3'!G40-'dod3 до МВК'!G40</f>
        <v>0</v>
      </c>
      <c r="H40" s="631">
        <f>'dod3'!H40-'dod3 до МВК'!H40</f>
        <v>0</v>
      </c>
      <c r="I40" s="631">
        <f>'dod3'!I40-'dod3 до МВК'!I40</f>
        <v>0</v>
      </c>
      <c r="J40" s="631">
        <f>'dod3'!J40-'dod3 до МВК'!J40</f>
        <v>0</v>
      </c>
      <c r="K40" s="631">
        <f>'dod3'!K40-'dod3 до МВК'!K40</f>
        <v>0</v>
      </c>
      <c r="L40" s="631">
        <f>'dod3'!L40-'dod3 до МВК'!L40</f>
        <v>0</v>
      </c>
      <c r="M40" s="631">
        <f>'dod3'!M40-'dod3 до МВК'!M40</f>
        <v>0</v>
      </c>
      <c r="N40" s="631">
        <f>'dod3'!N40-'dod3 до МВК'!N40</f>
        <v>0</v>
      </c>
      <c r="O40" s="631">
        <f>'dod3'!O40-'dod3 до МВК'!O40</f>
        <v>0</v>
      </c>
      <c r="P40" s="631">
        <f>'dod3'!P40-'dod3 до МВК'!P40</f>
        <v>0</v>
      </c>
    </row>
    <row r="41" spans="1:20" s="203" customFormat="1" ht="124.5" customHeight="1" x14ac:dyDescent="0.2">
      <c r="A41" s="628" t="s">
        <v>697</v>
      </c>
      <c r="B41" s="628" t="s">
        <v>698</v>
      </c>
      <c r="C41" s="628" t="s">
        <v>397</v>
      </c>
      <c r="D41" s="629" t="s">
        <v>696</v>
      </c>
      <c r="E41" s="631">
        <f>'dod3'!E41-'dod3 до МВК'!E41</f>
        <v>0</v>
      </c>
      <c r="F41" s="631">
        <f>'dod3'!F41-'dod3 до МВК'!F41</f>
        <v>0</v>
      </c>
      <c r="G41" s="631">
        <f>'dod3'!G41-'dod3 до МВК'!G41</f>
        <v>0</v>
      </c>
      <c r="H41" s="631">
        <f>'dod3'!H41-'dod3 до МВК'!H41</f>
        <v>0</v>
      </c>
      <c r="I41" s="631">
        <f>'dod3'!I41-'dod3 до МВК'!I41</f>
        <v>0</v>
      </c>
      <c r="J41" s="631">
        <f>'dod3'!J41-'dod3 до МВК'!J41</f>
        <v>0</v>
      </c>
      <c r="K41" s="631">
        <f>'dod3'!K41-'dod3 до МВК'!K41</f>
        <v>0</v>
      </c>
      <c r="L41" s="631">
        <f>'dod3'!L41-'dod3 до МВК'!L41</f>
        <v>0</v>
      </c>
      <c r="M41" s="631">
        <f>'dod3'!M41-'dod3 до МВК'!M41</f>
        <v>0</v>
      </c>
      <c r="N41" s="631">
        <f>'dod3'!N41-'dod3 до МВК'!N41</f>
        <v>0</v>
      </c>
      <c r="O41" s="631">
        <f>'dod3'!O41-'dod3 до МВК'!O41</f>
        <v>0</v>
      </c>
      <c r="P41" s="631">
        <f>'dod3'!P41-'dod3 до МВК'!P41</f>
        <v>0</v>
      </c>
    </row>
    <row r="42" spans="1:20" ht="46.5" x14ac:dyDescent="0.2">
      <c r="A42" s="621" t="s">
        <v>402</v>
      </c>
      <c r="B42" s="621" t="s">
        <v>403</v>
      </c>
      <c r="C42" s="621" t="s">
        <v>404</v>
      </c>
      <c r="D42" s="621" t="s">
        <v>99</v>
      </c>
      <c r="E42" s="631">
        <f>'dod3'!E42-'dod3 до МВК'!E42</f>
        <v>0</v>
      </c>
      <c r="F42" s="631">
        <f>'dod3'!F42-'dod3 до МВК'!F42</f>
        <v>0</v>
      </c>
      <c r="G42" s="631">
        <f>'dod3'!G42-'dod3 до МВК'!G42</f>
        <v>0</v>
      </c>
      <c r="H42" s="631">
        <f>'dod3'!H42-'dod3 до МВК'!H42</f>
        <v>0</v>
      </c>
      <c r="I42" s="631">
        <f>'dod3'!I42-'dod3 до МВК'!I42</f>
        <v>0</v>
      </c>
      <c r="J42" s="631">
        <f>'dod3'!J42-'dod3 до МВК'!J42</f>
        <v>0</v>
      </c>
      <c r="K42" s="631">
        <f>'dod3'!K42-'dod3 до МВК'!K42</f>
        <v>0</v>
      </c>
      <c r="L42" s="631">
        <f>'dod3'!L42-'dod3 до МВК'!L42</f>
        <v>0</v>
      </c>
      <c r="M42" s="631">
        <f>'dod3'!M42-'dod3 до МВК'!M42</f>
        <v>0</v>
      </c>
      <c r="N42" s="631">
        <f>'dod3'!N42-'dod3 до МВК'!N42</f>
        <v>0</v>
      </c>
      <c r="O42" s="631">
        <f>'dod3'!O42-'dod3 до МВК'!O42</f>
        <v>0</v>
      </c>
      <c r="P42" s="631">
        <f>'dod3'!P42-'dod3 до МВК'!P42</f>
        <v>0</v>
      </c>
    </row>
    <row r="43" spans="1:20" ht="135" x14ac:dyDescent="0.2">
      <c r="A43" s="299" t="s">
        <v>308</v>
      </c>
      <c r="B43" s="300"/>
      <c r="C43" s="300"/>
      <c r="D43" s="278" t="s">
        <v>53</v>
      </c>
      <c r="E43" s="246">
        <f>E44</f>
        <v>19000</v>
      </c>
      <c r="F43" s="247">
        <f t="shared" ref="F43:P43" si="6">F44</f>
        <v>19000</v>
      </c>
      <c r="G43" s="246">
        <f t="shared" si="6"/>
        <v>0</v>
      </c>
      <c r="H43" s="246">
        <f t="shared" si="6"/>
        <v>0</v>
      </c>
      <c r="I43" s="247">
        <f t="shared" si="6"/>
        <v>0</v>
      </c>
      <c r="J43" s="246">
        <f t="shared" si="6"/>
        <v>167637</v>
      </c>
      <c r="K43" s="247">
        <f t="shared" si="6"/>
        <v>0</v>
      </c>
      <c r="L43" s="246">
        <f t="shared" si="6"/>
        <v>0</v>
      </c>
      <c r="M43" s="246">
        <f t="shared" si="6"/>
        <v>0</v>
      </c>
      <c r="N43" s="247">
        <f t="shared" si="6"/>
        <v>167637</v>
      </c>
      <c r="O43" s="246">
        <f t="shared" si="6"/>
        <v>167637</v>
      </c>
      <c r="P43" s="246">
        <f t="shared" si="6"/>
        <v>186637</v>
      </c>
    </row>
    <row r="44" spans="1:20" ht="135" x14ac:dyDescent="0.2">
      <c r="A44" s="277" t="s">
        <v>309</v>
      </c>
      <c r="B44" s="277"/>
      <c r="C44" s="277"/>
      <c r="D44" s="281" t="s">
        <v>91</v>
      </c>
      <c r="E44" s="244">
        <f>E45+E46+E47+E48+E54+E49+E51+E57</f>
        <v>19000</v>
      </c>
      <c r="F44" s="243">
        <f>F45+F46+F47+F48+F54+F49+F51+F57</f>
        <v>19000</v>
      </c>
      <c r="G44" s="244">
        <f>G45+G46+G47+G48+G54+G49+G51</f>
        <v>0</v>
      </c>
      <c r="H44" s="244">
        <f>H45+H46+H47+H48+H54+H49+H51</f>
        <v>0</v>
      </c>
      <c r="I44" s="243">
        <v>0</v>
      </c>
      <c r="J44" s="244">
        <f t="shared" ref="J44" si="7">K44+N44</f>
        <v>167637</v>
      </c>
      <c r="K44" s="243">
        <f>K45+K46+K47+K48+K54+K49+K51+K57</f>
        <v>0</v>
      </c>
      <c r="L44" s="244">
        <f>L45+L46+L47+L48+L54+L49+L51</f>
        <v>0</v>
      </c>
      <c r="M44" s="244">
        <f>M45+M46+M47+M48+M54+M49+M51</f>
        <v>0</v>
      </c>
      <c r="N44" s="243">
        <f>N45+N46+N47+N48+N54+N49+N51+N57</f>
        <v>167637</v>
      </c>
      <c r="O44" s="244">
        <f>O45+O46+O47+O48+O54+O49+O57</f>
        <v>167637</v>
      </c>
      <c r="P44" s="244">
        <f t="shared" ref="P44" si="8">E44+J44</f>
        <v>186637</v>
      </c>
      <c r="Q44" s="240"/>
      <c r="R44" s="240"/>
    </row>
    <row r="45" spans="1:20" ht="91.5" x14ac:dyDescent="0.2">
      <c r="A45" s="621" t="s">
        <v>405</v>
      </c>
      <c r="B45" s="621" t="s">
        <v>401</v>
      </c>
      <c r="C45" s="621" t="s">
        <v>406</v>
      </c>
      <c r="D45" s="621" t="s">
        <v>55</v>
      </c>
      <c r="E45" s="631">
        <f>'dod3'!E45-'dod3 до МВК'!E45</f>
        <v>19000</v>
      </c>
      <c r="F45" s="631">
        <f>'dod3'!F45-'dod3 до МВК'!F45</f>
        <v>19000</v>
      </c>
      <c r="G45" s="631">
        <f>'dod3'!G45-'dod3 до МВК'!G45</f>
        <v>0</v>
      </c>
      <c r="H45" s="631">
        <f>'dod3'!H45-'dod3 до МВК'!H45</f>
        <v>0</v>
      </c>
      <c r="I45" s="631">
        <f>'dod3'!I45-'dod3 до МВК'!I45</f>
        <v>0</v>
      </c>
      <c r="J45" s="631">
        <f>'dod3'!J45-'dod3 до МВК'!J45</f>
        <v>119000</v>
      </c>
      <c r="K45" s="631">
        <f>'dod3'!K45-'dod3 до МВК'!K45</f>
        <v>0</v>
      </c>
      <c r="L45" s="631">
        <f>'dod3'!L45-'dod3 до МВК'!L45</f>
        <v>0</v>
      </c>
      <c r="M45" s="631">
        <f>'dod3'!M45-'dod3 до МВК'!M45</f>
        <v>0</v>
      </c>
      <c r="N45" s="631">
        <f>'dod3'!N45-'dod3 до МВК'!N45</f>
        <v>119000</v>
      </c>
      <c r="O45" s="631">
        <f>'dod3'!O45-'dod3 до МВК'!O45</f>
        <v>119000</v>
      </c>
      <c r="P45" s="631">
        <f>'dod3'!P45-'dod3 до МВК'!P45</f>
        <v>138000</v>
      </c>
    </row>
    <row r="46" spans="1:20" ht="137.25" x14ac:dyDescent="0.2">
      <c r="A46" s="621" t="s">
        <v>407</v>
      </c>
      <c r="B46" s="621" t="s">
        <v>408</v>
      </c>
      <c r="C46" s="621" t="s">
        <v>409</v>
      </c>
      <c r="D46" s="621" t="s">
        <v>410</v>
      </c>
      <c r="E46" s="631">
        <f>'dod3'!E46-'dod3 до МВК'!E46</f>
        <v>0</v>
      </c>
      <c r="F46" s="631">
        <f>'dod3'!F46-'dod3 до МВК'!F46</f>
        <v>0</v>
      </c>
      <c r="G46" s="631">
        <f>'dod3'!G46-'dod3 до МВК'!G46</f>
        <v>0</v>
      </c>
      <c r="H46" s="631">
        <f>'dod3'!H46-'dod3 до МВК'!H46</f>
        <v>0</v>
      </c>
      <c r="I46" s="631">
        <f>'dod3'!I46-'dod3 до МВК'!I46</f>
        <v>0</v>
      </c>
      <c r="J46" s="631">
        <f>'dod3'!J46-'dod3 до МВК'!J46</f>
        <v>0</v>
      </c>
      <c r="K46" s="631">
        <f>'dod3'!K46-'dod3 до МВК'!K46</f>
        <v>0</v>
      </c>
      <c r="L46" s="631">
        <f>'dod3'!L46-'dod3 до МВК'!L46</f>
        <v>0</v>
      </c>
      <c r="M46" s="631">
        <f>'dod3'!M46-'dod3 до МВК'!M46</f>
        <v>0</v>
      </c>
      <c r="N46" s="631">
        <f>'dod3'!N46-'dod3 до МВК'!N46</f>
        <v>0</v>
      </c>
      <c r="O46" s="631">
        <f>'dod3'!O46-'dod3 до МВК'!O46</f>
        <v>0</v>
      </c>
      <c r="P46" s="631">
        <f>'dod3'!P46-'dod3 до МВК'!P46</f>
        <v>0</v>
      </c>
    </row>
    <row r="47" spans="1:20" ht="137.25" x14ac:dyDescent="0.2">
      <c r="A47" s="621" t="s">
        <v>411</v>
      </c>
      <c r="B47" s="621" t="s">
        <v>412</v>
      </c>
      <c r="C47" s="621" t="s">
        <v>413</v>
      </c>
      <c r="D47" s="621" t="s">
        <v>730</v>
      </c>
      <c r="E47" s="631">
        <f>'dod3'!E47-'dod3 до МВК'!E47</f>
        <v>0</v>
      </c>
      <c r="F47" s="631">
        <f>'dod3'!F47-'dod3 до МВК'!F47</f>
        <v>0</v>
      </c>
      <c r="G47" s="631">
        <f>'dod3'!G47-'dod3 до МВК'!G47</f>
        <v>0</v>
      </c>
      <c r="H47" s="631">
        <f>'dod3'!H47-'dod3 до МВК'!H47</f>
        <v>0</v>
      </c>
      <c r="I47" s="631">
        <f>'dod3'!I47-'dod3 до МВК'!I47</f>
        <v>0</v>
      </c>
      <c r="J47" s="631">
        <f>'dod3'!J47-'dod3 до МВК'!J47</f>
        <v>0</v>
      </c>
      <c r="K47" s="631">
        <f>'dod3'!K47-'dod3 до МВК'!K47</f>
        <v>0</v>
      </c>
      <c r="L47" s="631">
        <f>'dod3'!L47-'dod3 до МВК'!L47</f>
        <v>0</v>
      </c>
      <c r="M47" s="631">
        <f>'dod3'!M47-'dod3 до МВК'!M47</f>
        <v>0</v>
      </c>
      <c r="N47" s="631">
        <f>'dod3'!N47-'dod3 до МВК'!N47</f>
        <v>0</v>
      </c>
      <c r="O47" s="631">
        <f>'dod3'!O47-'dod3 до МВК'!O47</f>
        <v>0</v>
      </c>
      <c r="P47" s="631">
        <f>'dod3'!P47-'dod3 до МВК'!P47</f>
        <v>0</v>
      </c>
    </row>
    <row r="48" spans="1:20" ht="91.5" x14ac:dyDescent="0.2">
      <c r="A48" s="621" t="s">
        <v>414</v>
      </c>
      <c r="B48" s="621" t="s">
        <v>415</v>
      </c>
      <c r="C48" s="621" t="s">
        <v>416</v>
      </c>
      <c r="D48" s="621" t="s">
        <v>417</v>
      </c>
      <c r="E48" s="631">
        <f>'dod3'!E48-'dod3 до МВК'!E48</f>
        <v>0</v>
      </c>
      <c r="F48" s="631">
        <f>'dod3'!F48-'dod3 до МВК'!F48</f>
        <v>0</v>
      </c>
      <c r="G48" s="631">
        <f>'dod3'!G48-'dod3 до МВК'!G48</f>
        <v>0</v>
      </c>
      <c r="H48" s="631">
        <f>'dod3'!H48-'dod3 до МВК'!H48</f>
        <v>0</v>
      </c>
      <c r="I48" s="631">
        <f>'dod3'!I48-'dod3 до МВК'!I48</f>
        <v>0</v>
      </c>
      <c r="J48" s="631">
        <f>'dod3'!J48-'dod3 до МВК'!J48</f>
        <v>0</v>
      </c>
      <c r="K48" s="631">
        <f>'dod3'!K48-'dod3 до МВК'!K48</f>
        <v>0</v>
      </c>
      <c r="L48" s="631">
        <f>'dod3'!L48-'dod3 до МВК'!L48</f>
        <v>0</v>
      </c>
      <c r="M48" s="631">
        <f>'dod3'!M48-'dod3 до МВК'!M48</f>
        <v>0</v>
      </c>
      <c r="N48" s="631">
        <f>'dod3'!N48-'dod3 до МВК'!N48</f>
        <v>0</v>
      </c>
      <c r="O48" s="631">
        <f>'dod3'!O48-'dod3 до МВК'!O48</f>
        <v>0</v>
      </c>
      <c r="P48" s="631">
        <f>'dod3'!P48-'dod3 до МВК'!P48</f>
        <v>0</v>
      </c>
    </row>
    <row r="49" spans="1:22" ht="91.5" x14ac:dyDescent="0.2">
      <c r="A49" s="621" t="s">
        <v>418</v>
      </c>
      <c r="B49" s="621" t="s">
        <v>419</v>
      </c>
      <c r="C49" s="621"/>
      <c r="D49" s="621" t="s">
        <v>731</v>
      </c>
      <c r="E49" s="631">
        <f>'dod3'!E49-'dod3 до МВК'!E49</f>
        <v>0</v>
      </c>
      <c r="F49" s="631">
        <f>'dod3'!F49-'dod3 до МВК'!F49</f>
        <v>0</v>
      </c>
      <c r="G49" s="631">
        <f>'dod3'!G49-'dod3 до МВК'!G49</f>
        <v>0</v>
      </c>
      <c r="H49" s="631">
        <f>'dod3'!H49-'dod3 до МВК'!H49</f>
        <v>0</v>
      </c>
      <c r="I49" s="631">
        <f>'dod3'!I49-'dod3 до МВК'!I49</f>
        <v>0</v>
      </c>
      <c r="J49" s="631">
        <f>'dod3'!J49-'dod3 до МВК'!J49</f>
        <v>0</v>
      </c>
      <c r="K49" s="631">
        <f>'dod3'!K49-'dod3 до МВК'!K49</f>
        <v>0</v>
      </c>
      <c r="L49" s="631">
        <f>'dod3'!L49-'dod3 до МВК'!L49</f>
        <v>0</v>
      </c>
      <c r="M49" s="631">
        <f>'dod3'!M49-'dod3 до МВК'!M49</f>
        <v>0</v>
      </c>
      <c r="N49" s="631">
        <f>'dod3'!N49-'dod3 до МВК'!N49</f>
        <v>0</v>
      </c>
      <c r="O49" s="631">
        <f>'dod3'!O49-'dod3 до МВК'!O49</f>
        <v>0</v>
      </c>
      <c r="P49" s="631">
        <f>'dod3'!P49-'dod3 до МВК'!P49</f>
        <v>0</v>
      </c>
    </row>
    <row r="50" spans="1:22" ht="183" x14ac:dyDescent="0.2">
      <c r="A50" s="629" t="s">
        <v>420</v>
      </c>
      <c r="B50" s="628" t="s">
        <v>421</v>
      </c>
      <c r="C50" s="628" t="s">
        <v>732</v>
      </c>
      <c r="D50" s="629" t="s">
        <v>422</v>
      </c>
      <c r="E50" s="631">
        <f>'dod3'!E50-'dod3 до МВК'!E50</f>
        <v>0</v>
      </c>
      <c r="F50" s="631">
        <f>'dod3'!F50-'dod3 до МВК'!F50</f>
        <v>0</v>
      </c>
      <c r="G50" s="631">
        <f>'dod3'!G50-'dod3 до МВК'!G50</f>
        <v>0</v>
      </c>
      <c r="H50" s="631">
        <f>'dod3'!H50-'dod3 до МВК'!H50</f>
        <v>0</v>
      </c>
      <c r="I50" s="631">
        <f>'dod3'!I50-'dod3 до МВК'!I50</f>
        <v>0</v>
      </c>
      <c r="J50" s="631">
        <f>'dod3'!J50-'dod3 до МВК'!J50</f>
        <v>0</v>
      </c>
      <c r="K50" s="631">
        <f>'dod3'!K50-'dod3 до МВК'!K50</f>
        <v>0</v>
      </c>
      <c r="L50" s="631">
        <f>'dod3'!L50-'dod3 до МВК'!L50</f>
        <v>0</v>
      </c>
      <c r="M50" s="631">
        <f>'dod3'!M50-'dod3 до МВК'!M50</f>
        <v>0</v>
      </c>
      <c r="N50" s="631">
        <f>'dod3'!N50-'dod3 до МВК'!N50</f>
        <v>0</v>
      </c>
      <c r="O50" s="631">
        <f>'dod3'!O50-'dod3 до МВК'!O50</f>
        <v>0</v>
      </c>
      <c r="P50" s="631">
        <f>'dod3'!P50-'dod3 до МВК'!P50</f>
        <v>0</v>
      </c>
    </row>
    <row r="51" spans="1:22" ht="137.25" x14ac:dyDescent="0.2">
      <c r="A51" s="621" t="s">
        <v>783</v>
      </c>
      <c r="B51" s="620" t="s">
        <v>784</v>
      </c>
      <c r="C51" s="620"/>
      <c r="D51" s="620" t="s">
        <v>785</v>
      </c>
      <c r="E51" s="631">
        <f>'dod3'!E51-'dod3 до МВК'!E51</f>
        <v>0</v>
      </c>
      <c r="F51" s="631">
        <f>'dod3'!F51-'dod3 до МВК'!F51</f>
        <v>0</v>
      </c>
      <c r="G51" s="631">
        <f>'dod3'!G51-'dod3 до МВК'!G51</f>
        <v>0</v>
      </c>
      <c r="H51" s="631">
        <f>'dod3'!H51-'dod3 до МВК'!H51</f>
        <v>0</v>
      </c>
      <c r="I51" s="631">
        <f>'dod3'!I51-'dod3 до МВК'!I51</f>
        <v>0</v>
      </c>
      <c r="J51" s="631">
        <f>'dod3'!J51-'dod3 до МВК'!J51</f>
        <v>0</v>
      </c>
      <c r="K51" s="631">
        <f>'dod3'!K51-'dod3 до МВК'!K51</f>
        <v>0</v>
      </c>
      <c r="L51" s="631">
        <f>'dod3'!L51-'dod3 до МВК'!L51</f>
        <v>0</v>
      </c>
      <c r="M51" s="631">
        <f>'dod3'!M51-'dod3 до МВК'!M51</f>
        <v>0</v>
      </c>
      <c r="N51" s="631">
        <f>'dod3'!N51-'dod3 до МВК'!N51</f>
        <v>0</v>
      </c>
      <c r="O51" s="631">
        <f>'dod3'!O51-'dod3 до МВК'!O51</f>
        <v>0</v>
      </c>
      <c r="P51" s="631">
        <f>'dod3'!P51-'dod3 до МВК'!P51</f>
        <v>0</v>
      </c>
    </row>
    <row r="52" spans="1:22" ht="183" x14ac:dyDescent="0.2">
      <c r="A52" s="629" t="s">
        <v>786</v>
      </c>
      <c r="B52" s="629" t="s">
        <v>787</v>
      </c>
      <c r="C52" s="620" t="s">
        <v>425</v>
      </c>
      <c r="D52" s="298" t="s">
        <v>788</v>
      </c>
      <c r="E52" s="631">
        <f>'dod3'!E52-'dod3 до МВК'!E52</f>
        <v>0</v>
      </c>
      <c r="F52" s="631">
        <f>'dod3'!F52-'dod3 до МВК'!F52</f>
        <v>0</v>
      </c>
      <c r="G52" s="631">
        <f>'dod3'!G52-'dod3 до МВК'!G52</f>
        <v>0</v>
      </c>
      <c r="H52" s="631">
        <f>'dod3'!H52-'dod3 до МВК'!H52</f>
        <v>0</v>
      </c>
      <c r="I52" s="631">
        <f>'dod3'!I52-'dod3 до МВК'!I52</f>
        <v>0</v>
      </c>
      <c r="J52" s="631">
        <f>'dod3'!J52-'dod3 до МВК'!J52</f>
        <v>0</v>
      </c>
      <c r="K52" s="631">
        <f>'dod3'!K52-'dod3 до МВК'!K52</f>
        <v>0</v>
      </c>
      <c r="L52" s="631">
        <f>'dod3'!L52-'dod3 до МВК'!L52</f>
        <v>0</v>
      </c>
      <c r="M52" s="631">
        <f>'dod3'!M52-'dod3 до МВК'!M52</f>
        <v>0</v>
      </c>
      <c r="N52" s="631">
        <f>'dod3'!N52-'dod3 до МВК'!N52</f>
        <v>0</v>
      </c>
      <c r="O52" s="631">
        <f>'dod3'!O52-'dod3 до МВК'!O52</f>
        <v>0</v>
      </c>
      <c r="P52" s="631">
        <f>'dod3'!P52-'dod3 до МВК'!P52</f>
        <v>0</v>
      </c>
    </row>
    <row r="53" spans="1:22" ht="183" x14ac:dyDescent="0.2">
      <c r="A53" s="629" t="s">
        <v>791</v>
      </c>
      <c r="B53" s="629" t="s">
        <v>790</v>
      </c>
      <c r="C53" s="620" t="s">
        <v>425</v>
      </c>
      <c r="D53" s="298" t="s">
        <v>789</v>
      </c>
      <c r="E53" s="631">
        <f>'dod3'!E53-'dod3 до МВК'!E53</f>
        <v>0</v>
      </c>
      <c r="F53" s="631">
        <f>'dod3'!F53-'dod3 до МВК'!F53</f>
        <v>0</v>
      </c>
      <c r="G53" s="631">
        <f>'dod3'!G53-'dod3 до МВК'!G53</f>
        <v>0</v>
      </c>
      <c r="H53" s="631">
        <f>'dod3'!H53-'dod3 до МВК'!H53</f>
        <v>0</v>
      </c>
      <c r="I53" s="631">
        <f>'dod3'!I53-'dod3 до МВК'!I53</f>
        <v>0</v>
      </c>
      <c r="J53" s="631">
        <f>'dod3'!J53-'dod3 до МВК'!J53</f>
        <v>0</v>
      </c>
      <c r="K53" s="631">
        <f>'dod3'!K53-'dod3 до МВК'!K53</f>
        <v>0</v>
      </c>
      <c r="L53" s="631">
        <f>'dod3'!L53-'dod3 до МВК'!L53</f>
        <v>0</v>
      </c>
      <c r="M53" s="631">
        <f>'dod3'!M53-'dod3 до МВК'!M53</f>
        <v>0</v>
      </c>
      <c r="N53" s="631">
        <f>'dod3'!N53-'dod3 до МВК'!N53</f>
        <v>0</v>
      </c>
      <c r="O53" s="631">
        <f>'dod3'!O53-'dod3 до МВК'!O53</f>
        <v>0</v>
      </c>
      <c r="P53" s="631">
        <f>'dod3'!P53-'dod3 до МВК'!P53</f>
        <v>0</v>
      </c>
    </row>
    <row r="54" spans="1:22" ht="91.5" customHeight="1" x14ac:dyDescent="0.2">
      <c r="A54" s="621" t="s">
        <v>423</v>
      </c>
      <c r="B54" s="620" t="s">
        <v>424</v>
      </c>
      <c r="C54" s="620"/>
      <c r="D54" s="620" t="s">
        <v>426</v>
      </c>
      <c r="E54" s="631">
        <f>'dod3'!E54-'dod3 до МВК'!E54</f>
        <v>0</v>
      </c>
      <c r="F54" s="631">
        <f>'dod3'!F54-'dod3 до МВК'!F54</f>
        <v>0</v>
      </c>
      <c r="G54" s="631">
        <f>'dod3'!G54-'dod3 до МВК'!G54</f>
        <v>0</v>
      </c>
      <c r="H54" s="631">
        <f>'dod3'!H54-'dod3 до МВК'!H54</f>
        <v>0</v>
      </c>
      <c r="I54" s="631">
        <f>'dod3'!I54-'dod3 до МВК'!I54</f>
        <v>0</v>
      </c>
      <c r="J54" s="631">
        <f>'dod3'!J54-'dod3 до МВК'!J54</f>
        <v>0</v>
      </c>
      <c r="K54" s="631">
        <f>'dod3'!K54-'dod3 до МВК'!K54</f>
        <v>0</v>
      </c>
      <c r="L54" s="631">
        <f>'dod3'!L54-'dod3 до МВК'!L54</f>
        <v>0</v>
      </c>
      <c r="M54" s="631">
        <f>'dod3'!M54-'dod3 до МВК'!M54</f>
        <v>0</v>
      </c>
      <c r="N54" s="631">
        <f>'dod3'!N54-'dod3 до МВК'!N54</f>
        <v>0</v>
      </c>
      <c r="O54" s="631">
        <f>'dod3'!O54-'dod3 до МВК'!O54</f>
        <v>0</v>
      </c>
      <c r="P54" s="631">
        <f>'dod3'!P54-'dod3 до МВК'!P54</f>
        <v>0</v>
      </c>
    </row>
    <row r="55" spans="1:22" s="203" customFormat="1" ht="137.25" x14ac:dyDescent="0.2">
      <c r="A55" s="629" t="s">
        <v>660</v>
      </c>
      <c r="B55" s="629" t="s">
        <v>662</v>
      </c>
      <c r="C55" s="628" t="s">
        <v>425</v>
      </c>
      <c r="D55" s="298" t="s">
        <v>658</v>
      </c>
      <c r="E55" s="631">
        <f>'dod3'!E55-'dod3 до МВК'!E55</f>
        <v>0</v>
      </c>
      <c r="F55" s="631">
        <f>'dod3'!F55-'dod3 до МВК'!F55</f>
        <v>0</v>
      </c>
      <c r="G55" s="631">
        <f>'dod3'!G55-'dod3 до МВК'!G55</f>
        <v>0</v>
      </c>
      <c r="H55" s="631">
        <f>'dod3'!H55-'dod3 до МВК'!H55</f>
        <v>0</v>
      </c>
      <c r="I55" s="631">
        <f>'dod3'!I55-'dod3 до МВК'!I55</f>
        <v>0</v>
      </c>
      <c r="J55" s="631">
        <f>'dod3'!J55-'dod3 до МВК'!J55</f>
        <v>0</v>
      </c>
      <c r="K55" s="631">
        <f>'dod3'!K55-'dod3 до МВК'!K55</f>
        <v>0</v>
      </c>
      <c r="L55" s="631">
        <f>'dod3'!L55-'dod3 до МВК'!L55</f>
        <v>0</v>
      </c>
      <c r="M55" s="631">
        <f>'dod3'!M55-'dod3 до МВК'!M55</f>
        <v>0</v>
      </c>
      <c r="N55" s="631">
        <f>'dod3'!N55-'dod3 до МВК'!N55</f>
        <v>0</v>
      </c>
      <c r="O55" s="631">
        <f>'dod3'!O55-'dod3 до МВК'!O55</f>
        <v>0</v>
      </c>
      <c r="P55" s="631">
        <f>'dod3'!P55-'dod3 до МВК'!P55</f>
        <v>0</v>
      </c>
    </row>
    <row r="56" spans="1:22" s="203" customFormat="1" ht="91.5" x14ac:dyDescent="0.2">
      <c r="A56" s="629" t="s">
        <v>661</v>
      </c>
      <c r="B56" s="629" t="s">
        <v>663</v>
      </c>
      <c r="C56" s="628" t="s">
        <v>425</v>
      </c>
      <c r="D56" s="298" t="s">
        <v>659</v>
      </c>
      <c r="E56" s="631">
        <f>'dod3'!E56-'dod3 до МВК'!E56</f>
        <v>0</v>
      </c>
      <c r="F56" s="631">
        <f>'dod3'!F56-'dod3 до МВК'!F56</f>
        <v>0</v>
      </c>
      <c r="G56" s="631">
        <f>'dod3'!G56-'dod3 до МВК'!G56</f>
        <v>0</v>
      </c>
      <c r="H56" s="631">
        <f>'dod3'!H56-'dod3 до МВК'!H56</f>
        <v>0</v>
      </c>
      <c r="I56" s="631">
        <f>'dod3'!I56-'dod3 до МВК'!I56</f>
        <v>0</v>
      </c>
      <c r="J56" s="631">
        <f>'dod3'!J56-'dod3 до МВК'!J56</f>
        <v>0</v>
      </c>
      <c r="K56" s="631">
        <f>'dod3'!K56-'dod3 до МВК'!K56</f>
        <v>0</v>
      </c>
      <c r="L56" s="631">
        <f>'dod3'!L56-'dod3 до МВК'!L56</f>
        <v>0</v>
      </c>
      <c r="M56" s="631">
        <f>'dod3'!M56-'dod3 до МВК'!M56</f>
        <v>0</v>
      </c>
      <c r="N56" s="631">
        <f>'dod3'!N56-'dod3 до МВК'!N56</f>
        <v>0</v>
      </c>
      <c r="O56" s="631">
        <f>'dod3'!O56-'dod3 до МВК'!O56</f>
        <v>0</v>
      </c>
      <c r="P56" s="631">
        <f>'dod3'!P56-'dod3 до МВК'!P56</f>
        <v>0</v>
      </c>
    </row>
    <row r="57" spans="1:22" ht="91.5" x14ac:dyDescent="0.2">
      <c r="A57" s="621" t="s">
        <v>799</v>
      </c>
      <c r="B57" s="620" t="s">
        <v>800</v>
      </c>
      <c r="C57" s="620" t="s">
        <v>103</v>
      </c>
      <c r="D57" s="620" t="s">
        <v>801</v>
      </c>
      <c r="E57" s="631">
        <f>'dod3'!E57-'dod3 до МВК'!E57</f>
        <v>0</v>
      </c>
      <c r="F57" s="631">
        <f>'dod3'!F57-'dod3 до МВК'!F57</f>
        <v>0</v>
      </c>
      <c r="G57" s="631">
        <f>'dod3'!G57-'dod3 до МВК'!G57</f>
        <v>0</v>
      </c>
      <c r="H57" s="631">
        <f>'dod3'!H57-'dod3 до МВК'!H57</f>
        <v>0</v>
      </c>
      <c r="I57" s="631">
        <f>'dod3'!I57-'dod3 до МВК'!I57</f>
        <v>0</v>
      </c>
      <c r="J57" s="631">
        <f>'dod3'!J57-'dod3 до МВК'!J57</f>
        <v>48637</v>
      </c>
      <c r="K57" s="631">
        <f>'dod3'!K57-'dod3 до МВК'!K57</f>
        <v>0</v>
      </c>
      <c r="L57" s="631">
        <f>'dod3'!L57-'dod3 до МВК'!L57</f>
        <v>0</v>
      </c>
      <c r="M57" s="631">
        <f>'dod3'!M57-'dod3 до МВК'!M57</f>
        <v>0</v>
      </c>
      <c r="N57" s="631">
        <f>'dod3'!N57-'dod3 до МВК'!N57</f>
        <v>48637</v>
      </c>
      <c r="O57" s="631">
        <f>'dod3'!O57-'dod3 до МВК'!O57</f>
        <v>48637</v>
      </c>
      <c r="P57" s="631">
        <f>'dod3'!P57-'dod3 до МВК'!P57</f>
        <v>48637</v>
      </c>
    </row>
    <row r="58" spans="1:22" ht="225" x14ac:dyDescent="0.2">
      <c r="A58" s="277" t="s">
        <v>310</v>
      </c>
      <c r="B58" s="277"/>
      <c r="C58" s="277"/>
      <c r="D58" s="278" t="s">
        <v>92</v>
      </c>
      <c r="E58" s="243">
        <f>E59</f>
        <v>0</v>
      </c>
      <c r="F58" s="243">
        <f>F59</f>
        <v>0</v>
      </c>
      <c r="G58" s="243">
        <f>G59</f>
        <v>0</v>
      </c>
      <c r="H58" s="243">
        <f t="shared" ref="H58:O58" si="9">H59</f>
        <v>0</v>
      </c>
      <c r="I58" s="243">
        <f t="shared" si="9"/>
        <v>0</v>
      </c>
      <c r="J58" s="243">
        <f t="shared" si="9"/>
        <v>0</v>
      </c>
      <c r="K58" s="243">
        <f t="shared" si="9"/>
        <v>0</v>
      </c>
      <c r="L58" s="243">
        <f t="shared" si="9"/>
        <v>0</v>
      </c>
      <c r="M58" s="243">
        <f t="shared" si="9"/>
        <v>0</v>
      </c>
      <c r="N58" s="243">
        <f t="shared" si="9"/>
        <v>0</v>
      </c>
      <c r="O58" s="244">
        <f t="shared" si="9"/>
        <v>0</v>
      </c>
      <c r="P58" s="244">
        <f>P59</f>
        <v>0</v>
      </c>
    </row>
    <row r="59" spans="1:22" ht="225" x14ac:dyDescent="0.2">
      <c r="A59" s="280" t="s">
        <v>311</v>
      </c>
      <c r="B59" s="280"/>
      <c r="C59" s="280"/>
      <c r="D59" s="281" t="s">
        <v>93</v>
      </c>
      <c r="E59" s="244">
        <f>E97+E89+E105+E92+E72+E81+E66+E60+E63+E103+E80+E88+E93+E96</f>
        <v>0</v>
      </c>
      <c r="F59" s="243">
        <f>F97+F89+F105+F92+F72+F81+F66+F60+F63+F103+F80+F88+F93+F96</f>
        <v>0</v>
      </c>
      <c r="G59" s="244">
        <f>G97+G89+G105+G92+G72+G81+G66+G60+G63+G103+G80+G88</f>
        <v>0</v>
      </c>
      <c r="H59" s="244">
        <f>H97+H89+H105+H92+H72+H81+H66+H60+H63+H103+H80+H88</f>
        <v>0</v>
      </c>
      <c r="I59" s="243">
        <v>0</v>
      </c>
      <c r="J59" s="244">
        <f t="shared" ref="J59" si="10">K59+N59</f>
        <v>0</v>
      </c>
      <c r="K59" s="243">
        <f>K97+K89+K105+K92+K72+K81+K66+K60+K63+K103+K80+K88+K108+K99</f>
        <v>0</v>
      </c>
      <c r="L59" s="244">
        <f>L97+L89+L105+L92+L72+L81+L66+L60+L63+L103+L80+L88</f>
        <v>0</v>
      </c>
      <c r="M59" s="244">
        <f>M97+M89+M105+M92+M72+M81+M66+M60+M63+M103+M80+M88</f>
        <v>0</v>
      </c>
      <c r="N59" s="243">
        <f>N97+N89+N105+N92+N72+N81+N66+N60+N63+N103+N80+N88+N108+N99</f>
        <v>0</v>
      </c>
      <c r="O59" s="244">
        <f>O97+O89+O105+O92+O72+O81+O66+O60+O63+O103+O80+O88+O108+O99</f>
        <v>0</v>
      </c>
      <c r="P59" s="244">
        <f t="shared" ref="P59" si="11">E59+J59</f>
        <v>0</v>
      </c>
      <c r="Q59" s="311"/>
      <c r="R59" s="325"/>
      <c r="S59" s="312"/>
      <c r="T59" s="311"/>
      <c r="U59" s="312"/>
      <c r="V59" s="312"/>
    </row>
    <row r="60" spans="1:22" ht="366" x14ac:dyDescent="0.2">
      <c r="A60" s="620" t="s">
        <v>451</v>
      </c>
      <c r="B60" s="620" t="s">
        <v>452</v>
      </c>
      <c r="C60" s="620"/>
      <c r="D60" s="620" t="s">
        <v>14</v>
      </c>
      <c r="E60" s="631">
        <f>'dod3'!E60-'dod3 до МВК'!E60</f>
        <v>0</v>
      </c>
      <c r="F60" s="631">
        <f>'dod3'!F60-'dod3 до МВК'!F60</f>
        <v>0</v>
      </c>
      <c r="G60" s="631">
        <f>'dod3'!G60-'dod3 до МВК'!G60</f>
        <v>0</v>
      </c>
      <c r="H60" s="631">
        <f>'dod3'!H60-'dod3 до МВК'!H60</f>
        <v>0</v>
      </c>
      <c r="I60" s="631">
        <f>'dod3'!I60-'dod3 до МВК'!I60</f>
        <v>0</v>
      </c>
      <c r="J60" s="631">
        <f>'dod3'!J60-'dod3 до МВК'!J60</f>
        <v>0</v>
      </c>
      <c r="K60" s="631">
        <f>'dod3'!K60-'dod3 до МВК'!K60</f>
        <v>0</v>
      </c>
      <c r="L60" s="631">
        <f>'dod3'!L60-'dod3 до МВК'!L60</f>
        <v>0</v>
      </c>
      <c r="M60" s="631">
        <f>'dod3'!M60-'dod3 до МВК'!M60</f>
        <v>0</v>
      </c>
      <c r="N60" s="631">
        <f>'dod3'!N60-'dod3 до МВК'!N60</f>
        <v>0</v>
      </c>
      <c r="O60" s="631">
        <f>'dod3'!O60-'dod3 до МВК'!O60</f>
        <v>0</v>
      </c>
      <c r="P60" s="631">
        <f>'dod3'!P60-'dod3 до МВК'!P60</f>
        <v>0</v>
      </c>
    </row>
    <row r="61" spans="1:22" ht="183" x14ac:dyDescent="0.2">
      <c r="A61" s="628" t="s">
        <v>453</v>
      </c>
      <c r="B61" s="628" t="s">
        <v>454</v>
      </c>
      <c r="C61" s="628" t="s">
        <v>385</v>
      </c>
      <c r="D61" s="301" t="s">
        <v>450</v>
      </c>
      <c r="E61" s="631">
        <f>'dod3'!E61-'dod3 до МВК'!E61</f>
        <v>0</v>
      </c>
      <c r="F61" s="631">
        <f>'dod3'!F61-'dod3 до МВК'!F61</f>
        <v>0</v>
      </c>
      <c r="G61" s="631">
        <f>'dod3'!G61-'dod3 до МВК'!G61</f>
        <v>0</v>
      </c>
      <c r="H61" s="631">
        <f>'dod3'!H61-'dod3 до МВК'!H61</f>
        <v>0</v>
      </c>
      <c r="I61" s="631">
        <f>'dod3'!I61-'dod3 до МВК'!I61</f>
        <v>0</v>
      </c>
      <c r="J61" s="631">
        <f>'dod3'!J61-'dod3 до МВК'!J61</f>
        <v>0</v>
      </c>
      <c r="K61" s="631">
        <f>'dod3'!K61-'dod3 до МВК'!K61</f>
        <v>0</v>
      </c>
      <c r="L61" s="631">
        <f>'dod3'!L61-'dod3 до МВК'!L61</f>
        <v>0</v>
      </c>
      <c r="M61" s="631">
        <f>'dod3'!M61-'dod3 до МВК'!M61</f>
        <v>0</v>
      </c>
      <c r="N61" s="631">
        <f>'dod3'!N61-'dod3 до МВК'!N61</f>
        <v>0</v>
      </c>
      <c r="O61" s="631">
        <f>'dod3'!O61-'dod3 до МВК'!O61</f>
        <v>0</v>
      </c>
      <c r="P61" s="631">
        <f>'dod3'!P61-'dod3 до МВК'!P61</f>
        <v>0</v>
      </c>
    </row>
    <row r="62" spans="1:22" ht="183" x14ac:dyDescent="0.2">
      <c r="A62" s="302" t="s">
        <v>476</v>
      </c>
      <c r="B62" s="628" t="s">
        <v>477</v>
      </c>
      <c r="C62" s="628" t="s">
        <v>117</v>
      </c>
      <c r="D62" s="629" t="s">
        <v>15</v>
      </c>
      <c r="E62" s="631">
        <f>'dod3'!E62-'dod3 до МВК'!E62</f>
        <v>0</v>
      </c>
      <c r="F62" s="631">
        <f>'dod3'!F62-'dod3 до МВК'!F62</f>
        <v>0</v>
      </c>
      <c r="G62" s="631">
        <f>'dod3'!G62-'dod3 до МВК'!G62</f>
        <v>0</v>
      </c>
      <c r="H62" s="631">
        <f>'dod3'!H62-'dod3 до МВК'!H62</f>
        <v>0</v>
      </c>
      <c r="I62" s="631">
        <f>'dod3'!I62-'dod3 до МВК'!I62</f>
        <v>0</v>
      </c>
      <c r="J62" s="631">
        <f>'dod3'!J62-'dod3 до МВК'!J62</f>
        <v>0</v>
      </c>
      <c r="K62" s="631">
        <f>'dod3'!K62-'dod3 до МВК'!K62</f>
        <v>0</v>
      </c>
      <c r="L62" s="631">
        <f>'dod3'!L62-'dod3 до МВК'!L62</f>
        <v>0</v>
      </c>
      <c r="M62" s="631">
        <f>'dod3'!M62-'dod3 до МВК'!M62</f>
        <v>0</v>
      </c>
      <c r="N62" s="631">
        <f>'dod3'!N62-'dod3 до МВК'!N62</f>
        <v>0</v>
      </c>
      <c r="O62" s="631">
        <f>'dod3'!O62-'dod3 до МВК'!O62</f>
        <v>0</v>
      </c>
      <c r="P62" s="631">
        <f>'dod3'!P62-'dod3 до МВК'!P62</f>
        <v>0</v>
      </c>
    </row>
    <row r="63" spans="1:22" ht="228.75" x14ac:dyDescent="0.2">
      <c r="A63" s="621" t="s">
        <v>478</v>
      </c>
      <c r="B63" s="621" t="s">
        <v>479</v>
      </c>
      <c r="C63" s="629"/>
      <c r="D63" s="621" t="s">
        <v>16</v>
      </c>
      <c r="E63" s="631">
        <f>'dod3'!E63-'dod3 до МВК'!E63</f>
        <v>0</v>
      </c>
      <c r="F63" s="631">
        <f>'dod3'!F63-'dod3 до МВК'!F63</f>
        <v>0</v>
      </c>
      <c r="G63" s="631">
        <f>'dod3'!G63-'dod3 до МВК'!G63</f>
        <v>0</v>
      </c>
      <c r="H63" s="631">
        <f>'dod3'!H63-'dod3 до МВК'!H63</f>
        <v>0</v>
      </c>
      <c r="I63" s="631">
        <f>'dod3'!I63-'dod3 до МВК'!I63</f>
        <v>0</v>
      </c>
      <c r="J63" s="631">
        <f>'dod3'!J63-'dod3 до МВК'!J63</f>
        <v>0</v>
      </c>
      <c r="K63" s="631">
        <f>'dod3'!K63-'dod3 до МВК'!K63</f>
        <v>0</v>
      </c>
      <c r="L63" s="631">
        <f>'dod3'!L63-'dod3 до МВК'!L63</f>
        <v>0</v>
      </c>
      <c r="M63" s="631">
        <f>'dod3'!M63-'dod3 до МВК'!M63</f>
        <v>0</v>
      </c>
      <c r="N63" s="631">
        <f>'dod3'!N63-'dod3 до МВК'!N63</f>
        <v>0</v>
      </c>
      <c r="O63" s="631">
        <f>'dod3'!O63-'dod3 до МВК'!O63</f>
        <v>0</v>
      </c>
      <c r="P63" s="631">
        <f>'dod3'!P63-'dod3 до МВК'!P63</f>
        <v>0</v>
      </c>
    </row>
    <row r="64" spans="1:22" ht="274.5" x14ac:dyDescent="0.2">
      <c r="A64" s="629" t="s">
        <v>481</v>
      </c>
      <c r="B64" s="629" t="s">
        <v>482</v>
      </c>
      <c r="C64" s="629" t="s">
        <v>385</v>
      </c>
      <c r="D64" s="303" t="s">
        <v>480</v>
      </c>
      <c r="E64" s="631">
        <f>'dod3'!E64-'dod3 до МВК'!E64</f>
        <v>0</v>
      </c>
      <c r="F64" s="631">
        <f>'dod3'!F64-'dod3 до МВК'!F64</f>
        <v>0</v>
      </c>
      <c r="G64" s="631">
        <f>'dod3'!G64-'dod3 до МВК'!G64</f>
        <v>0</v>
      </c>
      <c r="H64" s="631">
        <f>'dod3'!H64-'dod3 до МВК'!H64</f>
        <v>0</v>
      </c>
      <c r="I64" s="631">
        <f>'dod3'!I64-'dod3 до МВК'!I64</f>
        <v>0</v>
      </c>
      <c r="J64" s="631">
        <f>'dod3'!J64-'dod3 до МВК'!J64</f>
        <v>0</v>
      </c>
      <c r="K64" s="631">
        <f>'dod3'!K64-'dod3 до МВК'!K64</f>
        <v>0</v>
      </c>
      <c r="L64" s="631">
        <f>'dod3'!L64-'dod3 до МВК'!L64</f>
        <v>0</v>
      </c>
      <c r="M64" s="631">
        <f>'dod3'!M64-'dod3 до МВК'!M64</f>
        <v>0</v>
      </c>
      <c r="N64" s="631">
        <f>'dod3'!N64-'dod3 до МВК'!N64</f>
        <v>0</v>
      </c>
      <c r="O64" s="631">
        <f>'dod3'!O64-'dod3 до МВК'!O64</f>
        <v>0</v>
      </c>
      <c r="P64" s="631">
        <f>'dod3'!P64-'dod3 до МВК'!P64</f>
        <v>0</v>
      </c>
    </row>
    <row r="65" spans="1:16" ht="228.75" x14ac:dyDescent="0.2">
      <c r="A65" s="629" t="s">
        <v>483</v>
      </c>
      <c r="B65" s="629" t="s">
        <v>484</v>
      </c>
      <c r="C65" s="303">
        <v>1060</v>
      </c>
      <c r="D65" s="304" t="s">
        <v>27</v>
      </c>
      <c r="E65" s="631">
        <f>'dod3'!E65-'dod3 до МВК'!E65</f>
        <v>0</v>
      </c>
      <c r="F65" s="631">
        <f>'dod3'!F65-'dod3 до МВК'!F65</f>
        <v>0</v>
      </c>
      <c r="G65" s="631">
        <f>'dod3'!G65-'dod3 до МВК'!G65</f>
        <v>0</v>
      </c>
      <c r="H65" s="631">
        <f>'dod3'!H65-'dod3 до МВК'!H65</f>
        <v>0</v>
      </c>
      <c r="I65" s="631">
        <f>'dod3'!I65-'dod3 до МВК'!I65</f>
        <v>0</v>
      </c>
      <c r="J65" s="631">
        <f>'dod3'!J65-'dod3 до МВК'!J65</f>
        <v>0</v>
      </c>
      <c r="K65" s="631">
        <f>'dod3'!K65-'dod3 до МВК'!K65</f>
        <v>0</v>
      </c>
      <c r="L65" s="631">
        <f>'dod3'!L65-'dod3 до МВК'!L65</f>
        <v>0</v>
      </c>
      <c r="M65" s="631">
        <f>'dod3'!M65-'dod3 до МВК'!M65</f>
        <v>0</v>
      </c>
      <c r="N65" s="631">
        <f>'dod3'!N65-'dod3 до МВК'!N65</f>
        <v>0</v>
      </c>
      <c r="O65" s="631">
        <f>'dod3'!O65-'dod3 до МВК'!O65</f>
        <v>0</v>
      </c>
      <c r="P65" s="631">
        <f>'dod3'!P65-'dod3 до МВК'!P65</f>
        <v>0</v>
      </c>
    </row>
    <row r="66" spans="1:16" ht="274.5" x14ac:dyDescent="0.2">
      <c r="A66" s="620" t="s">
        <v>514</v>
      </c>
      <c r="B66" s="620" t="s">
        <v>515</v>
      </c>
      <c r="C66" s="620"/>
      <c r="D66" s="305" t="s">
        <v>513</v>
      </c>
      <c r="E66" s="631">
        <f>'dod3'!E66-'dod3 до МВК'!E66</f>
        <v>0</v>
      </c>
      <c r="F66" s="631">
        <f>'dod3'!F66-'dod3 до МВК'!F66</f>
        <v>0</v>
      </c>
      <c r="G66" s="631">
        <f>'dod3'!G66-'dod3 до МВК'!G66</f>
        <v>0</v>
      </c>
      <c r="H66" s="631">
        <f>'dod3'!H66-'dod3 до МВК'!H66</f>
        <v>0</v>
      </c>
      <c r="I66" s="631">
        <f>'dod3'!I66-'dod3 до МВК'!I66</f>
        <v>0</v>
      </c>
      <c r="J66" s="631">
        <f>'dod3'!J66-'dod3 до МВК'!J66</f>
        <v>0</v>
      </c>
      <c r="K66" s="631">
        <f>'dod3'!K66-'dod3 до МВК'!K66</f>
        <v>0</v>
      </c>
      <c r="L66" s="631">
        <f>'dod3'!L66-'dod3 до МВК'!L66</f>
        <v>0</v>
      </c>
      <c r="M66" s="631">
        <f>'dod3'!M66-'dod3 до МВК'!M66</f>
        <v>0</v>
      </c>
      <c r="N66" s="631">
        <f>'dod3'!N66-'dod3 до МВК'!N66</f>
        <v>0</v>
      </c>
      <c r="O66" s="631">
        <f>'dod3'!O66-'dod3 до МВК'!O66</f>
        <v>0</v>
      </c>
      <c r="P66" s="631">
        <f>'dod3'!P66-'dod3 до МВК'!P66</f>
        <v>0</v>
      </c>
    </row>
    <row r="67" spans="1:16" s="203" customFormat="1" ht="137.25" x14ac:dyDescent="0.2">
      <c r="A67" s="628" t="s">
        <v>516</v>
      </c>
      <c r="B67" s="628" t="s">
        <v>517</v>
      </c>
      <c r="C67" s="628" t="s">
        <v>385</v>
      </c>
      <c r="D67" s="306" t="s">
        <v>518</v>
      </c>
      <c r="E67" s="631">
        <f>'dod3'!E67-'dod3 до МВК'!E67</f>
        <v>0</v>
      </c>
      <c r="F67" s="631">
        <f>'dod3'!F67-'dod3 до МВК'!F67</f>
        <v>0</v>
      </c>
      <c r="G67" s="631">
        <f>'dod3'!G67-'dod3 до МВК'!G67</f>
        <v>0</v>
      </c>
      <c r="H67" s="631">
        <f>'dod3'!H67-'dod3 до МВК'!H67</f>
        <v>0</v>
      </c>
      <c r="I67" s="631">
        <f>'dod3'!I67-'dod3 до МВК'!I67</f>
        <v>0</v>
      </c>
      <c r="J67" s="631">
        <f>'dod3'!J67-'dod3 до МВК'!J67</f>
        <v>0</v>
      </c>
      <c r="K67" s="631">
        <f>'dod3'!K67-'dod3 до МВК'!K67</f>
        <v>0</v>
      </c>
      <c r="L67" s="631">
        <f>'dod3'!L67-'dod3 до МВК'!L67</f>
        <v>0</v>
      </c>
      <c r="M67" s="631">
        <f>'dod3'!M67-'dod3 до МВК'!M67</f>
        <v>0</v>
      </c>
      <c r="N67" s="631">
        <f>'dod3'!N67-'dod3 до МВК'!N67</f>
        <v>0</v>
      </c>
      <c r="O67" s="631">
        <f>'dod3'!O67-'dod3 до МВК'!O67</f>
        <v>0</v>
      </c>
      <c r="P67" s="631">
        <f>'dod3'!P67-'dod3 до МВК'!P67</f>
        <v>0</v>
      </c>
    </row>
    <row r="68" spans="1:16" s="203" customFormat="1" ht="137.25" x14ac:dyDescent="0.2">
      <c r="A68" s="629" t="s">
        <v>519</v>
      </c>
      <c r="B68" s="629" t="s">
        <v>520</v>
      </c>
      <c r="C68" s="629" t="s">
        <v>386</v>
      </c>
      <c r="D68" s="629" t="s">
        <v>24</v>
      </c>
      <c r="E68" s="631">
        <f>'dod3'!E68-'dod3 до МВК'!E68</f>
        <v>0</v>
      </c>
      <c r="F68" s="631">
        <f>'dod3'!F68-'dod3 до МВК'!F68</f>
        <v>0</v>
      </c>
      <c r="G68" s="631">
        <f>'dod3'!G68-'dod3 до МВК'!G68</f>
        <v>0</v>
      </c>
      <c r="H68" s="631">
        <f>'dod3'!H68-'dod3 до МВК'!H68</f>
        <v>0</v>
      </c>
      <c r="I68" s="631">
        <f>'dod3'!I68-'dod3 до МВК'!I68</f>
        <v>0</v>
      </c>
      <c r="J68" s="631">
        <f>'dod3'!J68-'dod3 до МВК'!J68</f>
        <v>0</v>
      </c>
      <c r="K68" s="631">
        <f>'dod3'!K68-'dod3 до МВК'!K68</f>
        <v>0</v>
      </c>
      <c r="L68" s="631">
        <f>'dod3'!L68-'dod3 до МВК'!L68</f>
        <v>0</v>
      </c>
      <c r="M68" s="631">
        <f>'dod3'!M68-'dod3 до МВК'!M68</f>
        <v>0</v>
      </c>
      <c r="N68" s="631">
        <f>'dod3'!N68-'dod3 до МВК'!N68</f>
        <v>0</v>
      </c>
      <c r="O68" s="631">
        <f>'dod3'!O68-'dod3 до МВК'!O68</f>
        <v>0</v>
      </c>
      <c r="P68" s="631">
        <f>'dod3'!P68-'dod3 до МВК'!P68</f>
        <v>0</v>
      </c>
    </row>
    <row r="69" spans="1:16" s="203" customFormat="1" ht="183" x14ac:dyDescent="0.2">
      <c r="A69" s="629" t="s">
        <v>522</v>
      </c>
      <c r="B69" s="629" t="s">
        <v>523</v>
      </c>
      <c r="C69" s="629" t="s">
        <v>386</v>
      </c>
      <c r="D69" s="628" t="s">
        <v>25</v>
      </c>
      <c r="E69" s="631">
        <f>'dod3'!E69-'dod3 до МВК'!E69</f>
        <v>0</v>
      </c>
      <c r="F69" s="631">
        <f>'dod3'!F69-'dod3 до МВК'!F69</f>
        <v>0</v>
      </c>
      <c r="G69" s="631">
        <f>'dod3'!G69-'dod3 до МВК'!G69</f>
        <v>0</v>
      </c>
      <c r="H69" s="631">
        <f>'dod3'!H69-'dod3 до МВК'!H69</f>
        <v>0</v>
      </c>
      <c r="I69" s="631">
        <f>'dod3'!I69-'dod3 до МВК'!I69</f>
        <v>0</v>
      </c>
      <c r="J69" s="631">
        <f>'dod3'!J69-'dod3 до МВК'!J69</f>
        <v>0</v>
      </c>
      <c r="K69" s="631">
        <f>'dod3'!K69-'dod3 до МВК'!K69</f>
        <v>0</v>
      </c>
      <c r="L69" s="631">
        <f>'dod3'!L69-'dod3 до МВК'!L69</f>
        <v>0</v>
      </c>
      <c r="M69" s="631">
        <f>'dod3'!M69-'dod3 до МВК'!M69</f>
        <v>0</v>
      </c>
      <c r="N69" s="631">
        <f>'dod3'!N69-'dod3 до МВК'!N69</f>
        <v>0</v>
      </c>
      <c r="O69" s="631">
        <f>'dod3'!O69-'dod3 до МВК'!O69</f>
        <v>0</v>
      </c>
      <c r="P69" s="631">
        <f>'dod3'!P69-'dod3 до МВК'!P69</f>
        <v>0</v>
      </c>
    </row>
    <row r="70" spans="1:16" s="203" customFormat="1" ht="183" x14ac:dyDescent="0.2">
      <c r="A70" s="628" t="s">
        <v>524</v>
      </c>
      <c r="B70" s="628" t="s">
        <v>521</v>
      </c>
      <c r="C70" s="628" t="s">
        <v>386</v>
      </c>
      <c r="D70" s="628" t="s">
        <v>26</v>
      </c>
      <c r="E70" s="631">
        <f>'dod3'!E70-'dod3 до МВК'!E70</f>
        <v>0</v>
      </c>
      <c r="F70" s="631">
        <f>'dod3'!F70-'dod3 до МВК'!F70</f>
        <v>0</v>
      </c>
      <c r="G70" s="631">
        <f>'dod3'!G70-'dod3 до МВК'!G70</f>
        <v>0</v>
      </c>
      <c r="H70" s="631">
        <f>'dod3'!H70-'dod3 до МВК'!H70</f>
        <v>0</v>
      </c>
      <c r="I70" s="631">
        <f>'dod3'!I70-'dod3 до МВК'!I70</f>
        <v>0</v>
      </c>
      <c r="J70" s="631">
        <f>'dod3'!J70-'dod3 до МВК'!J70</f>
        <v>0</v>
      </c>
      <c r="K70" s="631">
        <f>'dod3'!K70-'dod3 до МВК'!K70</f>
        <v>0</v>
      </c>
      <c r="L70" s="631">
        <f>'dod3'!L70-'dod3 до МВК'!L70</f>
        <v>0</v>
      </c>
      <c r="M70" s="631">
        <f>'dod3'!M70-'dod3 до МВК'!M70</f>
        <v>0</v>
      </c>
      <c r="N70" s="631">
        <f>'dod3'!N70-'dod3 до МВК'!N70</f>
        <v>0</v>
      </c>
      <c r="O70" s="631">
        <f>'dod3'!O70-'dod3 до МВК'!O70</f>
        <v>0</v>
      </c>
      <c r="P70" s="631">
        <f>'dod3'!P70-'dod3 до МВК'!P70</f>
        <v>0</v>
      </c>
    </row>
    <row r="71" spans="1:16" s="203" customFormat="1" ht="183" x14ac:dyDescent="0.2">
      <c r="A71" s="628" t="s">
        <v>525</v>
      </c>
      <c r="B71" s="628" t="s">
        <v>526</v>
      </c>
      <c r="C71" s="628" t="s">
        <v>386</v>
      </c>
      <c r="D71" s="628" t="s">
        <v>31</v>
      </c>
      <c r="E71" s="631">
        <f>'dod3'!E71-'dod3 до МВК'!E71</f>
        <v>0</v>
      </c>
      <c r="F71" s="631">
        <f>'dod3'!F71-'dod3 до МВК'!F71</f>
        <v>0</v>
      </c>
      <c r="G71" s="631">
        <f>'dod3'!G71-'dod3 до МВК'!G71</f>
        <v>0</v>
      </c>
      <c r="H71" s="631">
        <f>'dod3'!H71-'dod3 до МВК'!H71</f>
        <v>0</v>
      </c>
      <c r="I71" s="631">
        <f>'dod3'!I71-'dod3 до МВК'!I71</f>
        <v>0</v>
      </c>
      <c r="J71" s="631">
        <f>'dod3'!J71-'dod3 до МВК'!J71</f>
        <v>0</v>
      </c>
      <c r="K71" s="631">
        <f>'dod3'!K71-'dod3 до МВК'!K71</f>
        <v>0</v>
      </c>
      <c r="L71" s="631">
        <f>'dod3'!L71-'dod3 до МВК'!L71</f>
        <v>0</v>
      </c>
      <c r="M71" s="631">
        <f>'dod3'!M71-'dod3 до МВК'!M71</f>
        <v>0</v>
      </c>
      <c r="N71" s="631">
        <f>'dod3'!N71-'dod3 до МВК'!N71</f>
        <v>0</v>
      </c>
      <c r="O71" s="631">
        <f>'dod3'!O71-'dod3 до МВК'!O71</f>
        <v>0</v>
      </c>
      <c r="P71" s="631">
        <f>'dod3'!P71-'dod3 до МВК'!P71</f>
        <v>0</v>
      </c>
    </row>
    <row r="72" spans="1:16" ht="183" x14ac:dyDescent="0.2">
      <c r="A72" s="621" t="s">
        <v>455</v>
      </c>
      <c r="B72" s="621" t="s">
        <v>456</v>
      </c>
      <c r="C72" s="621"/>
      <c r="D72" s="621" t="s">
        <v>733</v>
      </c>
      <c r="E72" s="631">
        <f>'dod3'!E72-'dod3 до МВК'!E72</f>
        <v>0</v>
      </c>
      <c r="F72" s="631">
        <f>'dod3'!F72-'dod3 до МВК'!F72</f>
        <v>0</v>
      </c>
      <c r="G72" s="631">
        <f>'dod3'!G72-'dod3 до МВК'!G72</f>
        <v>0</v>
      </c>
      <c r="H72" s="631">
        <f>'dod3'!H72-'dod3 до МВК'!H72</f>
        <v>0</v>
      </c>
      <c r="I72" s="631">
        <f>'dod3'!I72-'dod3 до МВК'!I72</f>
        <v>0</v>
      </c>
      <c r="J72" s="631">
        <f>'dod3'!J72-'dod3 до МВК'!J72</f>
        <v>0</v>
      </c>
      <c r="K72" s="631">
        <f>'dod3'!K72-'dod3 до МВК'!K72</f>
        <v>0</v>
      </c>
      <c r="L72" s="631">
        <f>'dod3'!L72-'dod3 до МВК'!L72</f>
        <v>0</v>
      </c>
      <c r="M72" s="631">
        <f>'dod3'!M72-'dod3 до МВК'!M72</f>
        <v>0</v>
      </c>
      <c r="N72" s="631">
        <f>'dod3'!N72-'dod3 до МВК'!N72</f>
        <v>0</v>
      </c>
      <c r="O72" s="631">
        <f>'dod3'!O72-'dod3 до МВК'!O72</f>
        <v>0</v>
      </c>
      <c r="P72" s="631">
        <f>'dod3'!P72-'dod3 до МВК'!P72</f>
        <v>0</v>
      </c>
    </row>
    <row r="73" spans="1:16" s="203" customFormat="1" ht="91.5" x14ac:dyDescent="0.2">
      <c r="A73" s="629" t="s">
        <v>465</v>
      </c>
      <c r="B73" s="629" t="s">
        <v>457</v>
      </c>
      <c r="C73" s="629" t="s">
        <v>353</v>
      </c>
      <c r="D73" s="629" t="s">
        <v>18</v>
      </c>
      <c r="E73" s="631">
        <f>'dod3'!E73-'dod3 до МВК'!E73</f>
        <v>0</v>
      </c>
      <c r="F73" s="631">
        <f>'dod3'!F73-'dod3 до МВК'!F73</f>
        <v>0</v>
      </c>
      <c r="G73" s="631">
        <f>'dod3'!G73-'dod3 до МВК'!G73</f>
        <v>0</v>
      </c>
      <c r="H73" s="631">
        <f>'dod3'!H73-'dod3 до МВК'!H73</f>
        <v>0</v>
      </c>
      <c r="I73" s="631">
        <f>'dod3'!I73-'dod3 до МВК'!I73</f>
        <v>0</v>
      </c>
      <c r="J73" s="631">
        <f>'dod3'!J73-'dod3 до МВК'!J73</f>
        <v>0</v>
      </c>
      <c r="K73" s="631">
        <f>'dod3'!K73-'dod3 до МВК'!K73</f>
        <v>0</v>
      </c>
      <c r="L73" s="631">
        <f>'dod3'!L73-'dod3 до МВК'!L73</f>
        <v>0</v>
      </c>
      <c r="M73" s="631">
        <f>'dod3'!M73-'dod3 до МВК'!M73</f>
        <v>0</v>
      </c>
      <c r="N73" s="631">
        <f>'dod3'!N73-'dod3 до МВК'!N73</f>
        <v>0</v>
      </c>
      <c r="O73" s="631">
        <f>'dod3'!O73-'dod3 до МВК'!O73</f>
        <v>0</v>
      </c>
      <c r="P73" s="631">
        <f>'dod3'!P73-'dod3 до МВК'!P73</f>
        <v>0</v>
      </c>
    </row>
    <row r="74" spans="1:16" s="203" customFormat="1" ht="91.5" x14ac:dyDescent="0.2">
      <c r="A74" s="629" t="s">
        <v>466</v>
      </c>
      <c r="B74" s="629" t="s">
        <v>458</v>
      </c>
      <c r="C74" s="629" t="s">
        <v>353</v>
      </c>
      <c r="D74" s="629" t="s">
        <v>464</v>
      </c>
      <c r="E74" s="631">
        <f>'dod3'!E74-'dod3 до МВК'!E74</f>
        <v>0</v>
      </c>
      <c r="F74" s="631">
        <f>'dod3'!F74-'dod3 до МВК'!F74</f>
        <v>0</v>
      </c>
      <c r="G74" s="631">
        <f>'dod3'!G74-'dod3 до МВК'!G74</f>
        <v>0</v>
      </c>
      <c r="H74" s="631">
        <f>'dod3'!H74-'dod3 до МВК'!H74</f>
        <v>0</v>
      </c>
      <c r="I74" s="631">
        <f>'dod3'!I74-'dod3 до МВК'!I74</f>
        <v>0</v>
      </c>
      <c r="J74" s="631">
        <f>'dod3'!J74-'dod3 до МВК'!J74</f>
        <v>0</v>
      </c>
      <c r="K74" s="631">
        <f>'dod3'!K74-'dod3 до МВК'!K74</f>
        <v>0</v>
      </c>
      <c r="L74" s="631">
        <f>'dod3'!L74-'dod3 до МВК'!L74</f>
        <v>0</v>
      </c>
      <c r="M74" s="631">
        <f>'dod3'!M74-'dod3 до МВК'!M74</f>
        <v>0</v>
      </c>
      <c r="N74" s="631">
        <f>'dod3'!N74-'dod3 до МВК'!N74</f>
        <v>0</v>
      </c>
      <c r="O74" s="631">
        <f>'dod3'!O74-'dod3 до МВК'!O74</f>
        <v>0</v>
      </c>
      <c r="P74" s="631">
        <f>'dod3'!P74-'dod3 до МВК'!P74</f>
        <v>0</v>
      </c>
    </row>
    <row r="75" spans="1:16" s="203" customFormat="1" ht="91.5" x14ac:dyDescent="0.2">
      <c r="A75" s="629" t="s">
        <v>467</v>
      </c>
      <c r="B75" s="629" t="s">
        <v>459</v>
      </c>
      <c r="C75" s="629" t="s">
        <v>353</v>
      </c>
      <c r="D75" s="629" t="s">
        <v>19</v>
      </c>
      <c r="E75" s="631">
        <f>'dod3'!E75-'dod3 до МВК'!E75</f>
        <v>0</v>
      </c>
      <c r="F75" s="631">
        <f>'dod3'!F75-'dod3 до МВК'!F75</f>
        <v>0</v>
      </c>
      <c r="G75" s="631">
        <f>'dod3'!G75-'dod3 до МВК'!G75</f>
        <v>0</v>
      </c>
      <c r="H75" s="631">
        <f>'dod3'!H75-'dod3 до МВК'!H75</f>
        <v>0</v>
      </c>
      <c r="I75" s="631">
        <f>'dod3'!I75-'dod3 до МВК'!I75</f>
        <v>0</v>
      </c>
      <c r="J75" s="631">
        <f>'dod3'!J75-'dod3 до МВК'!J75</f>
        <v>0</v>
      </c>
      <c r="K75" s="631">
        <f>'dod3'!K75-'dod3 до МВК'!K75</f>
        <v>0</v>
      </c>
      <c r="L75" s="631">
        <f>'dod3'!L75-'dod3 до МВК'!L75</f>
        <v>0</v>
      </c>
      <c r="M75" s="631">
        <f>'dod3'!M75-'dod3 до МВК'!M75</f>
        <v>0</v>
      </c>
      <c r="N75" s="631">
        <f>'dod3'!N75-'dod3 до МВК'!N75</f>
        <v>0</v>
      </c>
      <c r="O75" s="631">
        <f>'dod3'!O75-'dod3 до МВК'!O75</f>
        <v>0</v>
      </c>
      <c r="P75" s="631">
        <f>'dod3'!P75-'dod3 до МВК'!P75</f>
        <v>0</v>
      </c>
    </row>
    <row r="76" spans="1:16" s="203" customFormat="1" ht="137.25" x14ac:dyDescent="0.2">
      <c r="A76" s="629" t="s">
        <v>468</v>
      </c>
      <c r="B76" s="629" t="s">
        <v>460</v>
      </c>
      <c r="C76" s="629" t="s">
        <v>353</v>
      </c>
      <c r="D76" s="629" t="s">
        <v>20</v>
      </c>
      <c r="E76" s="631">
        <f>'dod3'!E76-'dod3 до МВК'!E76</f>
        <v>0</v>
      </c>
      <c r="F76" s="631">
        <f>'dod3'!F76-'dod3 до МВК'!F76</f>
        <v>0</v>
      </c>
      <c r="G76" s="631">
        <f>'dod3'!G76-'dod3 до МВК'!G76</f>
        <v>0</v>
      </c>
      <c r="H76" s="631">
        <f>'dod3'!H76-'dod3 до МВК'!H76</f>
        <v>0</v>
      </c>
      <c r="I76" s="631">
        <f>'dod3'!I76-'dod3 до МВК'!I76</f>
        <v>0</v>
      </c>
      <c r="J76" s="631">
        <f>'dod3'!J76-'dod3 до МВК'!J76</f>
        <v>0</v>
      </c>
      <c r="K76" s="631">
        <f>'dod3'!K76-'dod3 до МВК'!K76</f>
        <v>0</v>
      </c>
      <c r="L76" s="631">
        <f>'dod3'!L76-'dod3 до МВК'!L76</f>
        <v>0</v>
      </c>
      <c r="M76" s="631">
        <f>'dod3'!M76-'dod3 до МВК'!M76</f>
        <v>0</v>
      </c>
      <c r="N76" s="631">
        <f>'dod3'!N76-'dod3 до МВК'!N76</f>
        <v>0</v>
      </c>
      <c r="O76" s="631">
        <f>'dod3'!O76-'dod3 до МВК'!O76</f>
        <v>0</v>
      </c>
      <c r="P76" s="631">
        <f>'dod3'!P76-'dod3 до МВК'!P76</f>
        <v>0</v>
      </c>
    </row>
    <row r="77" spans="1:16" s="203" customFormat="1" ht="91.5" x14ac:dyDescent="0.2">
      <c r="A77" s="629" t="s">
        <v>469</v>
      </c>
      <c r="B77" s="629" t="s">
        <v>461</v>
      </c>
      <c r="C77" s="629" t="s">
        <v>353</v>
      </c>
      <c r="D77" s="629" t="s">
        <v>21</v>
      </c>
      <c r="E77" s="631">
        <f>'dod3'!E77-'dod3 до МВК'!E77</f>
        <v>0</v>
      </c>
      <c r="F77" s="631">
        <f>'dod3'!F77-'dod3 до МВК'!F77</f>
        <v>0</v>
      </c>
      <c r="G77" s="631">
        <f>'dod3'!G77-'dod3 до МВК'!G77</f>
        <v>0</v>
      </c>
      <c r="H77" s="631">
        <f>'dod3'!H77-'dod3 до МВК'!H77</f>
        <v>0</v>
      </c>
      <c r="I77" s="631">
        <f>'dod3'!I77-'dod3 до МВК'!I77</f>
        <v>0</v>
      </c>
      <c r="J77" s="631">
        <f>'dod3'!J77-'dod3 до МВК'!J77</f>
        <v>0</v>
      </c>
      <c r="K77" s="631">
        <f>'dod3'!K77-'dod3 до МВК'!K77</f>
        <v>0</v>
      </c>
      <c r="L77" s="631">
        <f>'dod3'!L77-'dod3 до МВК'!L77</f>
        <v>0</v>
      </c>
      <c r="M77" s="631">
        <f>'dod3'!M77-'dod3 до МВК'!M77</f>
        <v>0</v>
      </c>
      <c r="N77" s="631">
        <f>'dod3'!N77-'dod3 до МВК'!N77</f>
        <v>0</v>
      </c>
      <c r="O77" s="631">
        <f>'dod3'!O77-'dod3 до МВК'!O77</f>
        <v>0</v>
      </c>
      <c r="P77" s="631">
        <f>'dod3'!P77-'dod3 до МВК'!P77</f>
        <v>0</v>
      </c>
    </row>
    <row r="78" spans="1:16" s="203" customFormat="1" ht="91.5" x14ac:dyDescent="0.2">
      <c r="A78" s="629" t="s">
        <v>470</v>
      </c>
      <c r="B78" s="629" t="s">
        <v>462</v>
      </c>
      <c r="C78" s="629" t="s">
        <v>353</v>
      </c>
      <c r="D78" s="629" t="s">
        <v>22</v>
      </c>
      <c r="E78" s="631">
        <f>'dod3'!E78-'dod3 до МВК'!E78</f>
        <v>0</v>
      </c>
      <c r="F78" s="631">
        <f>'dod3'!F78-'dod3 до МВК'!F78</f>
        <v>0</v>
      </c>
      <c r="G78" s="631">
        <f>'dod3'!G78-'dod3 до МВК'!G78</f>
        <v>0</v>
      </c>
      <c r="H78" s="631">
        <f>'dod3'!H78-'dod3 до МВК'!H78</f>
        <v>0</v>
      </c>
      <c r="I78" s="631">
        <f>'dod3'!I78-'dod3 до МВК'!I78</f>
        <v>0</v>
      </c>
      <c r="J78" s="631">
        <f>'dod3'!J78-'dod3 до МВК'!J78</f>
        <v>0</v>
      </c>
      <c r="K78" s="631">
        <f>'dod3'!K78-'dod3 до МВК'!K78</f>
        <v>0</v>
      </c>
      <c r="L78" s="631">
        <f>'dod3'!L78-'dod3 до МВК'!L78</f>
        <v>0</v>
      </c>
      <c r="M78" s="631">
        <f>'dod3'!M78-'dod3 до МВК'!M78</f>
        <v>0</v>
      </c>
      <c r="N78" s="631">
        <f>'dod3'!N78-'dod3 до МВК'!N78</f>
        <v>0</v>
      </c>
      <c r="O78" s="631">
        <f>'dod3'!O78-'dod3 до МВК'!O78</f>
        <v>0</v>
      </c>
      <c r="P78" s="631">
        <f>'dod3'!P78-'dod3 до МВК'!P78</f>
        <v>0</v>
      </c>
    </row>
    <row r="79" spans="1:16" s="203" customFormat="1" ht="137.25" x14ac:dyDescent="0.2">
      <c r="A79" s="629" t="s">
        <v>471</v>
      </c>
      <c r="B79" s="629" t="s">
        <v>463</v>
      </c>
      <c r="C79" s="629" t="s">
        <v>353</v>
      </c>
      <c r="D79" s="629" t="s">
        <v>23</v>
      </c>
      <c r="E79" s="631">
        <f>'dod3'!E79-'dod3 до МВК'!E79</f>
        <v>0</v>
      </c>
      <c r="F79" s="631">
        <f>'dod3'!F79-'dod3 до МВК'!F79</f>
        <v>0</v>
      </c>
      <c r="G79" s="631">
        <f>'dod3'!G79-'dod3 до МВК'!G79</f>
        <v>0</v>
      </c>
      <c r="H79" s="631">
        <f>'dod3'!H79-'dod3 до МВК'!H79</f>
        <v>0</v>
      </c>
      <c r="I79" s="631">
        <f>'dod3'!I79-'dod3 до МВК'!I79</f>
        <v>0</v>
      </c>
      <c r="J79" s="631">
        <f>'dod3'!J79-'dod3 до МВК'!J79</f>
        <v>0</v>
      </c>
      <c r="K79" s="631">
        <f>'dod3'!K79-'dod3 до МВК'!K79</f>
        <v>0</v>
      </c>
      <c r="L79" s="631">
        <f>'dod3'!L79-'dod3 до МВК'!L79</f>
        <v>0</v>
      </c>
      <c r="M79" s="631">
        <f>'dod3'!M79-'dod3 до МВК'!M79</f>
        <v>0</v>
      </c>
      <c r="N79" s="631">
        <f>'dod3'!N79-'dod3 до МВК'!N79</f>
        <v>0</v>
      </c>
      <c r="O79" s="631">
        <f>'dod3'!O79-'dod3 до МВК'!O79</f>
        <v>0</v>
      </c>
      <c r="P79" s="631">
        <f>'dod3'!P79-'dod3 до МВК'!P79</f>
        <v>0</v>
      </c>
    </row>
    <row r="80" spans="1:16" ht="183" x14ac:dyDescent="0.2">
      <c r="A80" s="621" t="s">
        <v>485</v>
      </c>
      <c r="B80" s="621" t="s">
        <v>472</v>
      </c>
      <c r="C80" s="621" t="s">
        <v>386</v>
      </c>
      <c r="D80" s="621" t="s">
        <v>17</v>
      </c>
      <c r="E80" s="631">
        <f>'dod3'!E80-'dod3 до МВК'!E80</f>
        <v>0</v>
      </c>
      <c r="F80" s="631">
        <f>'dod3'!F80-'dod3 до МВК'!F80</f>
        <v>0</v>
      </c>
      <c r="G80" s="631">
        <f>'dod3'!G80-'dod3 до МВК'!G80</f>
        <v>0</v>
      </c>
      <c r="H80" s="631">
        <f>'dod3'!H80-'dod3 до МВК'!H80</f>
        <v>0</v>
      </c>
      <c r="I80" s="631">
        <f>'dod3'!I80-'dod3 до МВК'!I80</f>
        <v>0</v>
      </c>
      <c r="J80" s="631">
        <f>'dod3'!J80-'dod3 до МВК'!J80</f>
        <v>0</v>
      </c>
      <c r="K80" s="631">
        <f>'dod3'!K80-'dod3 до МВК'!K80</f>
        <v>0</v>
      </c>
      <c r="L80" s="631">
        <f>'dod3'!L80-'dod3 до МВК'!L80</f>
        <v>0</v>
      </c>
      <c r="M80" s="631">
        <f>'dod3'!M80-'dod3 до МВК'!M80</f>
        <v>0</v>
      </c>
      <c r="N80" s="631">
        <f>'dod3'!N80-'dod3 до МВК'!N80</f>
        <v>0</v>
      </c>
      <c r="O80" s="631">
        <f>'dod3'!O80-'dod3 до МВК'!O80</f>
        <v>0</v>
      </c>
      <c r="P80" s="631">
        <f>'dod3'!P80-'dod3 до МВК'!P80</f>
        <v>0</v>
      </c>
    </row>
    <row r="81" spans="1:16" ht="361.5" customHeight="1" x14ac:dyDescent="0.2">
      <c r="A81" s="720" t="s">
        <v>475</v>
      </c>
      <c r="B81" s="721" t="s">
        <v>473</v>
      </c>
      <c r="C81" s="721"/>
      <c r="D81" s="307" t="s">
        <v>737</v>
      </c>
      <c r="E81" s="738">
        <f>'dod3'!E81-'dod3 до МВК'!E81</f>
        <v>0</v>
      </c>
      <c r="F81" s="738">
        <f>'dod3'!F81-'dod3 до МВК'!F81</f>
        <v>0</v>
      </c>
      <c r="G81" s="738">
        <f>'dod3'!G81-'dod3 до МВК'!G81</f>
        <v>0</v>
      </c>
      <c r="H81" s="738">
        <f>'dod3'!H81-'dod3 до МВК'!H81</f>
        <v>0</v>
      </c>
      <c r="I81" s="738">
        <f>'dod3'!I81-'dod3 до МВК'!I81</f>
        <v>0</v>
      </c>
      <c r="J81" s="738">
        <f>'dod3'!J81-'dod3 до МВК'!J81</f>
        <v>0</v>
      </c>
      <c r="K81" s="738">
        <f>'dod3'!K81-'dod3 до МВК'!K81</f>
        <v>0</v>
      </c>
      <c r="L81" s="738">
        <f>'dod3'!L81-'dod3 до МВК'!L81</f>
        <v>0</v>
      </c>
      <c r="M81" s="738">
        <f>'dod3'!M81-'dod3 до МВК'!M81</f>
        <v>0</v>
      </c>
      <c r="N81" s="738">
        <f>'dod3'!N81-'dod3 до МВК'!N81</f>
        <v>0</v>
      </c>
      <c r="O81" s="738">
        <f>'dod3'!O81-'dod3 до МВК'!O81</f>
        <v>0</v>
      </c>
      <c r="P81" s="738">
        <f>'dod3'!P81-'dod3 до МВК'!P81</f>
        <v>0</v>
      </c>
    </row>
    <row r="82" spans="1:16" ht="336" customHeight="1" x14ac:dyDescent="0.2">
      <c r="A82" s="694"/>
      <c r="B82" s="722"/>
      <c r="C82" s="722"/>
      <c r="D82" s="308" t="s">
        <v>738</v>
      </c>
      <c r="E82" s="743"/>
      <c r="F82" s="743"/>
      <c r="G82" s="743"/>
      <c r="H82" s="743"/>
      <c r="I82" s="743"/>
      <c r="J82" s="743"/>
      <c r="K82" s="743"/>
      <c r="L82" s="743"/>
      <c r="M82" s="743"/>
      <c r="N82" s="743"/>
      <c r="O82" s="743"/>
      <c r="P82" s="743"/>
    </row>
    <row r="83" spans="1:16" s="203" customFormat="1" ht="183" x14ac:dyDescent="0.2">
      <c r="A83" s="629" t="s">
        <v>739</v>
      </c>
      <c r="B83" s="629" t="s">
        <v>740</v>
      </c>
      <c r="C83" s="629" t="s">
        <v>377</v>
      </c>
      <c r="D83" s="629" t="s">
        <v>736</v>
      </c>
      <c r="E83" s="631">
        <f>'dod3'!E83-'dod3 до МВК'!E83</f>
        <v>0</v>
      </c>
      <c r="F83" s="631">
        <f>'dod3'!F83-'dod3 до МВК'!F83</f>
        <v>0</v>
      </c>
      <c r="G83" s="631">
        <f>'dod3'!G83-'dod3 до МВК'!G83</f>
        <v>0</v>
      </c>
      <c r="H83" s="631">
        <f>'dod3'!H83-'dod3 до МВК'!H83</f>
        <v>0</v>
      </c>
      <c r="I83" s="631">
        <f>'dod3'!I83-'dod3 до МВК'!I83</f>
        <v>0</v>
      </c>
      <c r="J83" s="631">
        <f>'dod3'!J83-'dod3 до МВК'!J83</f>
        <v>0</v>
      </c>
      <c r="K83" s="631">
        <f>'dod3'!K83-'dod3 до МВК'!K83</f>
        <v>0</v>
      </c>
      <c r="L83" s="631">
        <f>'dod3'!L83-'dod3 до МВК'!L83</f>
        <v>0</v>
      </c>
      <c r="M83" s="631">
        <f>'dod3'!M83-'dod3 до МВК'!M83</f>
        <v>0</v>
      </c>
      <c r="N83" s="631">
        <f>'dod3'!N83-'dod3 до МВК'!N83</f>
        <v>0</v>
      </c>
      <c r="O83" s="631">
        <f>'dod3'!O83-'dod3 до МВК'!O83</f>
        <v>0</v>
      </c>
      <c r="P83" s="631">
        <f>'dod3'!P83-'dod3 до МВК'!P83</f>
        <v>0</v>
      </c>
    </row>
    <row r="84" spans="1:16" s="203" customFormat="1" ht="274.5" x14ac:dyDescent="0.2">
      <c r="A84" s="629" t="s">
        <v>846</v>
      </c>
      <c r="B84" s="629" t="s">
        <v>847</v>
      </c>
      <c r="C84" s="629" t="s">
        <v>377</v>
      </c>
      <c r="D84" s="629" t="s">
        <v>848</v>
      </c>
      <c r="E84" s="631">
        <f>'dod3'!E84-'dod3 до МВК'!E84</f>
        <v>0</v>
      </c>
      <c r="F84" s="631">
        <f>'dod3'!F84-'dod3 до МВК'!F84</f>
        <v>0</v>
      </c>
      <c r="G84" s="631">
        <f>'dod3'!G84-'dod3 до МВК'!G84</f>
        <v>0</v>
      </c>
      <c r="H84" s="631">
        <f>'dod3'!H84-'dod3 до МВК'!H84</f>
        <v>0</v>
      </c>
      <c r="I84" s="631">
        <f>'dod3'!I84-'dod3 до МВК'!I84</f>
        <v>0</v>
      </c>
      <c r="J84" s="631">
        <f>'dod3'!J84-'dod3 до МВК'!J84</f>
        <v>0</v>
      </c>
      <c r="K84" s="631">
        <f>'dod3'!K84-'dod3 до МВК'!K84</f>
        <v>0</v>
      </c>
      <c r="L84" s="631">
        <f>'dod3'!L84-'dod3 до МВК'!L84</f>
        <v>0</v>
      </c>
      <c r="M84" s="631">
        <f>'dod3'!M84-'dod3 до МВК'!M84</f>
        <v>0</v>
      </c>
      <c r="N84" s="631">
        <f>'dod3'!N84-'dod3 до МВК'!N84</f>
        <v>0</v>
      </c>
      <c r="O84" s="631">
        <f>'dod3'!O84-'dod3 до МВК'!O84</f>
        <v>0</v>
      </c>
      <c r="P84" s="631">
        <f>'dod3'!P84-'dod3 до МВК'!P84</f>
        <v>0</v>
      </c>
    </row>
    <row r="85" spans="1:16" s="203" customFormat="1" ht="183" x14ac:dyDescent="0.2">
      <c r="A85" s="629" t="s">
        <v>734</v>
      </c>
      <c r="B85" s="629" t="s">
        <v>735</v>
      </c>
      <c r="C85" s="629" t="s">
        <v>377</v>
      </c>
      <c r="D85" s="629" t="s">
        <v>664</v>
      </c>
      <c r="E85" s="631">
        <f>'dod3'!E85-'dod3 до МВК'!E85</f>
        <v>0</v>
      </c>
      <c r="F85" s="631">
        <f>'dod3'!F85-'dod3 до МВК'!F85</f>
        <v>0</v>
      </c>
      <c r="G85" s="631">
        <f>'dod3'!G85-'dod3 до МВК'!G85</f>
        <v>0</v>
      </c>
      <c r="H85" s="631">
        <f>'dod3'!H85-'dod3 до МВК'!H85</f>
        <v>0</v>
      </c>
      <c r="I85" s="631">
        <f>'dod3'!I85-'dod3 до МВК'!I85</f>
        <v>0</v>
      </c>
      <c r="J85" s="631">
        <f>'dod3'!J85-'dod3 до МВК'!J85</f>
        <v>0</v>
      </c>
      <c r="K85" s="631">
        <f>'dod3'!K85-'dod3 до МВК'!K85</f>
        <v>0</v>
      </c>
      <c r="L85" s="631">
        <f>'dod3'!L85-'dod3 до МВК'!L85</f>
        <v>0</v>
      </c>
      <c r="M85" s="631">
        <f>'dod3'!M85-'dod3 до МВК'!M85</f>
        <v>0</v>
      </c>
      <c r="N85" s="631">
        <f>'dod3'!N85-'dod3 до МВК'!N85</f>
        <v>0</v>
      </c>
      <c r="O85" s="631">
        <f>'dod3'!O85-'dod3 до МВК'!O85</f>
        <v>0</v>
      </c>
      <c r="P85" s="631">
        <f>'dod3'!P85-'dod3 до МВК'!P85</f>
        <v>0</v>
      </c>
    </row>
    <row r="86" spans="1:16" s="203" customFormat="1" ht="274.5" x14ac:dyDescent="0.2">
      <c r="A86" s="629" t="s">
        <v>743</v>
      </c>
      <c r="B86" s="629" t="s">
        <v>744</v>
      </c>
      <c r="C86" s="629" t="s">
        <v>377</v>
      </c>
      <c r="D86" s="629" t="s">
        <v>745</v>
      </c>
      <c r="E86" s="631">
        <f>'dod3'!E86-'dod3 до МВК'!E86</f>
        <v>0</v>
      </c>
      <c r="F86" s="631">
        <f>'dod3'!F86-'dod3 до МВК'!F86</f>
        <v>0</v>
      </c>
      <c r="G86" s="631">
        <f>'dod3'!G86-'dod3 до МВК'!G86</f>
        <v>0</v>
      </c>
      <c r="H86" s="631">
        <f>'dod3'!H86-'dod3 до МВК'!H86</f>
        <v>0</v>
      </c>
      <c r="I86" s="631">
        <f>'dod3'!I86-'dod3 до МВК'!I86</f>
        <v>0</v>
      </c>
      <c r="J86" s="631">
        <f>'dod3'!J86-'dod3 до МВК'!J86</f>
        <v>0</v>
      </c>
      <c r="K86" s="631">
        <f>'dod3'!K86-'dod3 до МВК'!K86</f>
        <v>0</v>
      </c>
      <c r="L86" s="631">
        <f>'dod3'!L86-'dod3 до МВК'!L86</f>
        <v>0</v>
      </c>
      <c r="M86" s="631">
        <f>'dod3'!M86-'dod3 до МВК'!M86</f>
        <v>0</v>
      </c>
      <c r="N86" s="631">
        <f>'dod3'!N86-'dod3 до МВК'!N86</f>
        <v>0</v>
      </c>
      <c r="O86" s="631">
        <f>'dod3'!O86-'dod3 до МВК'!O86</f>
        <v>0</v>
      </c>
      <c r="P86" s="631">
        <f>'dod3'!P86-'dod3 до МВК'!P86</f>
        <v>0</v>
      </c>
    </row>
    <row r="87" spans="1:16" s="203" customFormat="1" ht="320.25" x14ac:dyDescent="0.2">
      <c r="A87" s="629" t="s">
        <v>741</v>
      </c>
      <c r="B87" s="629" t="s">
        <v>742</v>
      </c>
      <c r="C87" s="629" t="s">
        <v>377</v>
      </c>
      <c r="D87" s="629" t="s">
        <v>746</v>
      </c>
      <c r="E87" s="631">
        <f>'dod3'!E87-'dod3 до МВК'!E87</f>
        <v>0</v>
      </c>
      <c r="F87" s="631">
        <f>'dod3'!F87-'dod3 до МВК'!F87</f>
        <v>0</v>
      </c>
      <c r="G87" s="631">
        <f>'dod3'!G87-'dod3 до МВК'!G87</f>
        <v>0</v>
      </c>
      <c r="H87" s="631">
        <f>'dod3'!H87-'dod3 до МВК'!H87</f>
        <v>0</v>
      </c>
      <c r="I87" s="631">
        <f>'dod3'!I87-'dod3 до МВК'!I87</f>
        <v>0</v>
      </c>
      <c r="J87" s="631">
        <f>'dod3'!J87-'dod3 до МВК'!J87</f>
        <v>0</v>
      </c>
      <c r="K87" s="631">
        <f>'dod3'!K87-'dod3 до МВК'!K87</f>
        <v>0</v>
      </c>
      <c r="L87" s="631">
        <f>'dod3'!L87-'dod3 до МВК'!L87</f>
        <v>0</v>
      </c>
      <c r="M87" s="631">
        <f>'dod3'!M87-'dod3 до МВК'!M87</f>
        <v>0</v>
      </c>
      <c r="N87" s="631">
        <f>'dod3'!N87-'dod3 до МВК'!N87</f>
        <v>0</v>
      </c>
      <c r="O87" s="631">
        <f>'dod3'!O87-'dod3 до МВК'!O87</f>
        <v>0</v>
      </c>
      <c r="P87" s="631">
        <f>'dod3'!P87-'dod3 до МВК'!P87</f>
        <v>0</v>
      </c>
    </row>
    <row r="88" spans="1:16" ht="163.5" customHeight="1" x14ac:dyDescent="0.2">
      <c r="A88" s="621" t="s">
        <v>486</v>
      </c>
      <c r="B88" s="621" t="s">
        <v>474</v>
      </c>
      <c r="C88" s="621" t="s">
        <v>385</v>
      </c>
      <c r="D88" s="621" t="s">
        <v>665</v>
      </c>
      <c r="E88" s="631">
        <f>'dod3'!E88-'dod3 до МВК'!E88</f>
        <v>0</v>
      </c>
      <c r="F88" s="631">
        <f>'dod3'!F88-'dod3 до МВК'!F88</f>
        <v>0</v>
      </c>
      <c r="G88" s="631">
        <f>'dod3'!G88-'dod3 до МВК'!G88</f>
        <v>0</v>
      </c>
      <c r="H88" s="631">
        <f>'dod3'!H88-'dod3 до МВК'!H88</f>
        <v>0</v>
      </c>
      <c r="I88" s="631">
        <f>'dod3'!I88-'dod3 до МВК'!I88</f>
        <v>0</v>
      </c>
      <c r="J88" s="631">
        <f>'dod3'!J88-'dod3 до МВК'!J88</f>
        <v>0</v>
      </c>
      <c r="K88" s="631">
        <f>'dod3'!K88-'dod3 до МВК'!K88</f>
        <v>0</v>
      </c>
      <c r="L88" s="631">
        <f>'dod3'!L88-'dod3 до МВК'!L88</f>
        <v>0</v>
      </c>
      <c r="M88" s="631">
        <f>'dod3'!M88-'dod3 до МВК'!M88</f>
        <v>0</v>
      </c>
      <c r="N88" s="631">
        <f>'dod3'!N88-'dod3 до МВК'!N88</f>
        <v>0</v>
      </c>
      <c r="O88" s="631">
        <f>'dod3'!O88-'dod3 до МВК'!O88</f>
        <v>0</v>
      </c>
      <c r="P88" s="631">
        <f>'dod3'!P88-'dod3 до МВК'!P88</f>
        <v>0</v>
      </c>
    </row>
    <row r="89" spans="1:16" ht="274.5" x14ac:dyDescent="0.2">
      <c r="A89" s="621" t="s">
        <v>507</v>
      </c>
      <c r="B89" s="621" t="s">
        <v>508</v>
      </c>
      <c r="C89" s="621"/>
      <c r="D89" s="621" t="s">
        <v>666</v>
      </c>
      <c r="E89" s="631">
        <f>'dod3'!E89-'dod3 до МВК'!E89</f>
        <v>0</v>
      </c>
      <c r="F89" s="631">
        <f>'dod3'!F89-'dod3 до МВК'!F89</f>
        <v>0</v>
      </c>
      <c r="G89" s="631">
        <f>'dod3'!G89-'dod3 до МВК'!G89</f>
        <v>0</v>
      </c>
      <c r="H89" s="631">
        <f>'dod3'!H89-'dod3 до МВК'!H89</f>
        <v>0</v>
      </c>
      <c r="I89" s="631">
        <f>'dod3'!I89-'dod3 до МВК'!I89</f>
        <v>0</v>
      </c>
      <c r="J89" s="631">
        <f>'dod3'!J89-'dod3 до МВК'!J89</f>
        <v>0</v>
      </c>
      <c r="K89" s="631">
        <f>'dod3'!K89-'dod3 до МВК'!K89</f>
        <v>0</v>
      </c>
      <c r="L89" s="631">
        <f>'dod3'!L89-'dod3 до МВК'!L89</f>
        <v>0</v>
      </c>
      <c r="M89" s="631">
        <f>'dod3'!M89-'dod3 до МВК'!M89</f>
        <v>0</v>
      </c>
      <c r="N89" s="631">
        <f>'dod3'!N89-'dod3 до МВК'!N89</f>
        <v>0</v>
      </c>
      <c r="O89" s="631">
        <f>'dod3'!O89-'dod3 до МВК'!O89</f>
        <v>0</v>
      </c>
      <c r="P89" s="631">
        <f>'dod3'!P89-'dod3 до МВК'!P89</f>
        <v>0</v>
      </c>
    </row>
    <row r="90" spans="1:16" ht="301.5" customHeight="1" x14ac:dyDescent="0.2">
      <c r="A90" s="629" t="s">
        <v>511</v>
      </c>
      <c r="B90" s="629" t="s">
        <v>509</v>
      </c>
      <c r="C90" s="629" t="s">
        <v>378</v>
      </c>
      <c r="D90" s="629" t="s">
        <v>52</v>
      </c>
      <c r="E90" s="631">
        <f>'dod3'!E90-'dod3 до МВК'!E90</f>
        <v>0</v>
      </c>
      <c r="F90" s="631">
        <f>'dod3'!F90-'dod3 до МВК'!F90</f>
        <v>0</v>
      </c>
      <c r="G90" s="631">
        <f>'dod3'!G90-'dod3 до МВК'!G90</f>
        <v>0</v>
      </c>
      <c r="H90" s="631">
        <f>'dod3'!H90-'dod3 до МВК'!H90</f>
        <v>0</v>
      </c>
      <c r="I90" s="631">
        <f>'dod3'!I90-'dod3 до МВК'!I90</f>
        <v>0</v>
      </c>
      <c r="J90" s="631">
        <f>'dod3'!J90-'dod3 до МВК'!J90</f>
        <v>0</v>
      </c>
      <c r="K90" s="631">
        <f>'dod3'!K90-'dod3 до МВК'!K90</f>
        <v>0</v>
      </c>
      <c r="L90" s="631">
        <f>'dod3'!L90-'dod3 до МВК'!L90</f>
        <v>0</v>
      </c>
      <c r="M90" s="631">
        <f>'dod3'!M90-'dod3 до МВК'!M90</f>
        <v>0</v>
      </c>
      <c r="N90" s="631">
        <f>'dod3'!N90-'dod3 до МВК'!N90</f>
        <v>0</v>
      </c>
      <c r="O90" s="631">
        <f>'dod3'!O90-'dod3 до МВК'!O90</f>
        <v>0</v>
      </c>
      <c r="P90" s="631">
        <f>'dod3'!P90-'dod3 до МВК'!P90</f>
        <v>0</v>
      </c>
    </row>
    <row r="91" spans="1:16" ht="137.25" x14ac:dyDescent="0.2">
      <c r="A91" s="629" t="s">
        <v>512</v>
      </c>
      <c r="B91" s="629" t="s">
        <v>510</v>
      </c>
      <c r="C91" s="629" t="s">
        <v>377</v>
      </c>
      <c r="D91" s="629" t="s">
        <v>667</v>
      </c>
      <c r="E91" s="631">
        <f>'dod3'!E91-'dod3 до МВК'!E91</f>
        <v>0</v>
      </c>
      <c r="F91" s="631">
        <f>'dod3'!F91-'dod3 до МВК'!F91</f>
        <v>0</v>
      </c>
      <c r="G91" s="631">
        <f>'dod3'!G91-'dod3 до МВК'!G91</f>
        <v>0</v>
      </c>
      <c r="H91" s="631">
        <f>'dod3'!H91-'dod3 до МВК'!H91</f>
        <v>0</v>
      </c>
      <c r="I91" s="631">
        <f>'dod3'!I91-'dod3 до МВК'!I91</f>
        <v>0</v>
      </c>
      <c r="J91" s="631">
        <f>'dod3'!J91-'dod3 до МВК'!J91</f>
        <v>0</v>
      </c>
      <c r="K91" s="631">
        <f>'dod3'!K91-'dod3 до МВК'!K91</f>
        <v>0</v>
      </c>
      <c r="L91" s="631">
        <f>'dod3'!L91-'dod3 до МВК'!L91</f>
        <v>0</v>
      </c>
      <c r="M91" s="631">
        <f>'dod3'!M91-'dod3 до МВК'!M91</f>
        <v>0</v>
      </c>
      <c r="N91" s="631">
        <f>'dod3'!N91-'dod3 до МВК'!N91</f>
        <v>0</v>
      </c>
      <c r="O91" s="631">
        <f>'dod3'!O91-'dod3 до МВК'!O91</f>
        <v>0</v>
      </c>
      <c r="P91" s="631">
        <f>'dod3'!P91-'dod3 до МВК'!P91</f>
        <v>0</v>
      </c>
    </row>
    <row r="92" spans="1:16" ht="409.5" x14ac:dyDescent="0.2">
      <c r="A92" s="621" t="s">
        <v>504</v>
      </c>
      <c r="B92" s="621" t="s">
        <v>505</v>
      </c>
      <c r="C92" s="621" t="s">
        <v>377</v>
      </c>
      <c r="D92" s="621" t="s">
        <v>668</v>
      </c>
      <c r="E92" s="631">
        <f>'dod3'!E92-'dod3 до МВК'!E92</f>
        <v>0</v>
      </c>
      <c r="F92" s="631">
        <f>'dod3'!F92-'dod3 до МВК'!F92</f>
        <v>0</v>
      </c>
      <c r="G92" s="631">
        <f>'dod3'!G92-'dod3 до МВК'!G92</f>
        <v>0</v>
      </c>
      <c r="H92" s="631">
        <f>'dod3'!H92-'dod3 до МВК'!H92</f>
        <v>0</v>
      </c>
      <c r="I92" s="631">
        <f>'dod3'!I92-'dod3 до МВК'!I92</f>
        <v>0</v>
      </c>
      <c r="J92" s="631">
        <f>'dod3'!J92-'dod3 до МВК'!J92</f>
        <v>0</v>
      </c>
      <c r="K92" s="631">
        <f>'dod3'!K92-'dod3 до МВК'!K92</f>
        <v>0</v>
      </c>
      <c r="L92" s="631">
        <f>'dod3'!L92-'dod3 до МВК'!L92</f>
        <v>0</v>
      </c>
      <c r="M92" s="631">
        <f>'dod3'!M92-'dod3 до МВК'!M92</f>
        <v>0</v>
      </c>
      <c r="N92" s="631">
        <f>'dod3'!N92-'dod3 до МВК'!N92</f>
        <v>0</v>
      </c>
      <c r="O92" s="631">
        <f>'dod3'!O92-'dod3 до МВК'!O92</f>
        <v>0</v>
      </c>
      <c r="P92" s="631">
        <f>'dod3'!P92-'dod3 до МВК'!P92</f>
        <v>0</v>
      </c>
    </row>
    <row r="93" spans="1:16" ht="137.25" x14ac:dyDescent="0.2">
      <c r="A93" s="621" t="s">
        <v>669</v>
      </c>
      <c r="B93" s="621" t="s">
        <v>670</v>
      </c>
      <c r="C93" s="621"/>
      <c r="D93" s="621" t="s">
        <v>671</v>
      </c>
      <c r="E93" s="631">
        <f>'dod3'!E93-'dod3 до МВК'!E93</f>
        <v>0</v>
      </c>
      <c r="F93" s="631">
        <f>'dod3'!F93-'dod3 до МВК'!F93</f>
        <v>0</v>
      </c>
      <c r="G93" s="631">
        <f>'dod3'!G93-'dod3 до МВК'!G93</f>
        <v>0</v>
      </c>
      <c r="H93" s="631">
        <f>'dod3'!H93-'dod3 до МВК'!H93</f>
        <v>0</v>
      </c>
      <c r="I93" s="631">
        <f>'dod3'!I93-'dod3 до МВК'!I93</f>
        <v>0</v>
      </c>
      <c r="J93" s="631">
        <f>'dod3'!J93-'dod3 до МВК'!J93</f>
        <v>0</v>
      </c>
      <c r="K93" s="631">
        <f>'dod3'!K93-'dod3 до МВК'!K93</f>
        <v>0</v>
      </c>
      <c r="L93" s="631">
        <f>'dod3'!L93-'dod3 до МВК'!L93</f>
        <v>0</v>
      </c>
      <c r="M93" s="631">
        <f>'dod3'!M93-'dod3 до МВК'!M93</f>
        <v>0</v>
      </c>
      <c r="N93" s="631">
        <f>'dod3'!N93-'dod3 до МВК'!N93</f>
        <v>0</v>
      </c>
      <c r="O93" s="631">
        <f>'dod3'!O93-'dod3 до МВК'!O93</f>
        <v>0</v>
      </c>
      <c r="P93" s="631">
        <f>'dod3'!P93-'dod3 до МВК'!P93</f>
        <v>0</v>
      </c>
    </row>
    <row r="94" spans="1:16" ht="274.5" x14ac:dyDescent="0.2">
      <c r="A94" s="629" t="s">
        <v>672</v>
      </c>
      <c r="B94" s="629" t="s">
        <v>673</v>
      </c>
      <c r="C94" s="629" t="s">
        <v>377</v>
      </c>
      <c r="D94" s="629" t="s">
        <v>747</v>
      </c>
      <c r="E94" s="631">
        <f>'dod3'!E94-'dod3 до МВК'!E94</f>
        <v>0</v>
      </c>
      <c r="F94" s="631">
        <f>'dod3'!F94-'dod3 до МВК'!F94</f>
        <v>0</v>
      </c>
      <c r="G94" s="631">
        <f>'dod3'!G94-'dod3 до МВК'!G94</f>
        <v>0</v>
      </c>
      <c r="H94" s="631">
        <f>'dod3'!H94-'dod3 до МВК'!H94</f>
        <v>0</v>
      </c>
      <c r="I94" s="631">
        <f>'dod3'!I94-'dod3 до МВК'!I94</f>
        <v>0</v>
      </c>
      <c r="J94" s="631">
        <f>'dod3'!J94-'dod3 до МВК'!J94</f>
        <v>0</v>
      </c>
      <c r="K94" s="631">
        <f>'dod3'!K94-'dod3 до МВК'!K94</f>
        <v>0</v>
      </c>
      <c r="L94" s="631">
        <f>'dod3'!L94-'dod3 до МВК'!L94</f>
        <v>0</v>
      </c>
      <c r="M94" s="631">
        <f>'dod3'!M94-'dod3 до МВК'!M94</f>
        <v>0</v>
      </c>
      <c r="N94" s="631">
        <f>'dod3'!N94-'dod3 до МВК'!N94</f>
        <v>0</v>
      </c>
      <c r="O94" s="631">
        <f>'dod3'!O94-'dod3 до МВК'!O94</f>
        <v>0</v>
      </c>
      <c r="P94" s="631">
        <f>'dod3'!P94-'dod3 до МВК'!P94</f>
        <v>0</v>
      </c>
    </row>
    <row r="95" spans="1:16" ht="112.5" customHeight="1" x14ac:dyDescent="0.2">
      <c r="A95" s="629" t="s">
        <v>674</v>
      </c>
      <c r="B95" s="629" t="s">
        <v>675</v>
      </c>
      <c r="C95" s="629" t="s">
        <v>377</v>
      </c>
      <c r="D95" s="629" t="s">
        <v>748</v>
      </c>
      <c r="E95" s="631">
        <f>'dod3'!E95-'dod3 до МВК'!E95</f>
        <v>0</v>
      </c>
      <c r="F95" s="631">
        <f>'dod3'!F95-'dod3 до МВК'!F95</f>
        <v>0</v>
      </c>
      <c r="G95" s="631">
        <f>'dod3'!G95-'dod3 до МВК'!G95</f>
        <v>0</v>
      </c>
      <c r="H95" s="631">
        <f>'dod3'!H95-'dod3 до МВК'!H95</f>
        <v>0</v>
      </c>
      <c r="I95" s="631">
        <f>'dod3'!I95-'dod3 до МВК'!I95</f>
        <v>0</v>
      </c>
      <c r="J95" s="631">
        <f>'dod3'!J95-'dod3 до МВК'!J95</f>
        <v>0</v>
      </c>
      <c r="K95" s="631">
        <f>'dod3'!K95-'dod3 до МВК'!K95</f>
        <v>0</v>
      </c>
      <c r="L95" s="631">
        <f>'dod3'!L95-'dod3 до МВК'!L95</f>
        <v>0</v>
      </c>
      <c r="M95" s="631">
        <f>'dod3'!M95-'dod3 до МВК'!M95</f>
        <v>0</v>
      </c>
      <c r="N95" s="631">
        <f>'dod3'!N95-'dod3 до МВК'!N95</f>
        <v>0</v>
      </c>
      <c r="O95" s="631">
        <f>'dod3'!O95-'dod3 до МВК'!O95</f>
        <v>0</v>
      </c>
      <c r="P95" s="631">
        <f>'dod3'!P95-'dod3 до МВК'!P95</f>
        <v>0</v>
      </c>
    </row>
    <row r="96" spans="1:16" ht="366" x14ac:dyDescent="0.2">
      <c r="A96" s="621" t="s">
        <v>751</v>
      </c>
      <c r="B96" s="621" t="s">
        <v>750</v>
      </c>
      <c r="C96" s="621" t="s">
        <v>117</v>
      </c>
      <c r="D96" s="621" t="s">
        <v>749</v>
      </c>
      <c r="E96" s="631">
        <f>'dod3'!E96-'dod3 до МВК'!E96</f>
        <v>0</v>
      </c>
      <c r="F96" s="631">
        <f>'dod3'!F96-'dod3 до МВК'!F96</f>
        <v>0</v>
      </c>
      <c r="G96" s="631">
        <f>'dod3'!G96-'dod3 до МВК'!G96</f>
        <v>0</v>
      </c>
      <c r="H96" s="631">
        <f>'dod3'!H96-'dod3 до МВК'!H96</f>
        <v>0</v>
      </c>
      <c r="I96" s="631">
        <f>'dod3'!I96-'dod3 до МВК'!I96</f>
        <v>0</v>
      </c>
      <c r="J96" s="631">
        <f>'dod3'!J96-'dod3 до МВК'!J96</f>
        <v>0</v>
      </c>
      <c r="K96" s="631">
        <f>'dod3'!K96-'dod3 до МВК'!K96</f>
        <v>0</v>
      </c>
      <c r="L96" s="631">
        <f>'dod3'!L96-'dod3 до МВК'!L96</f>
        <v>0</v>
      </c>
      <c r="M96" s="631">
        <f>'dod3'!M96-'dod3 до МВК'!M96</f>
        <v>0</v>
      </c>
      <c r="N96" s="631">
        <f>'dod3'!N96-'dod3 до МВК'!N96</f>
        <v>0</v>
      </c>
      <c r="O96" s="631">
        <f>'dod3'!O96-'dod3 до МВК'!O96</f>
        <v>0</v>
      </c>
      <c r="P96" s="631">
        <f>'dod3'!P96-'dod3 до МВК'!P96</f>
        <v>0</v>
      </c>
    </row>
    <row r="97" spans="1:18" ht="91.5" x14ac:dyDescent="0.2">
      <c r="A97" s="621" t="s">
        <v>676</v>
      </c>
      <c r="B97" s="621" t="s">
        <v>677</v>
      </c>
      <c r="C97" s="621"/>
      <c r="D97" s="309" t="s">
        <v>50</v>
      </c>
      <c r="E97" s="631">
        <f>'dod3'!E97-'dod3 до МВК'!E97</f>
        <v>0</v>
      </c>
      <c r="F97" s="631">
        <f>'dod3'!F97-'dod3 до МВК'!F97</f>
        <v>0</v>
      </c>
      <c r="G97" s="631">
        <f>'dod3'!G97-'dod3 до МВК'!G97</f>
        <v>0</v>
      </c>
      <c r="H97" s="631">
        <f>'dod3'!H97-'dod3 до МВК'!H97</f>
        <v>0</v>
      </c>
      <c r="I97" s="631">
        <f>'dod3'!I97-'dod3 до МВК'!I97</f>
        <v>0</v>
      </c>
      <c r="J97" s="631">
        <f>'dod3'!J97-'dod3 до МВК'!J97</f>
        <v>0</v>
      </c>
      <c r="K97" s="631">
        <f>'dod3'!K97-'dod3 до МВК'!K97</f>
        <v>0</v>
      </c>
      <c r="L97" s="631">
        <f>'dod3'!L97-'dod3 до МВК'!L97</f>
        <v>0</v>
      </c>
      <c r="M97" s="631">
        <f>'dod3'!M97-'dod3 до МВК'!M97</f>
        <v>0</v>
      </c>
      <c r="N97" s="631">
        <f>'dod3'!N97-'dod3 до МВК'!N97</f>
        <v>0</v>
      </c>
      <c r="O97" s="631">
        <f>'dod3'!O97-'dod3 до МВК'!O97</f>
        <v>0</v>
      </c>
      <c r="P97" s="631">
        <f>'dod3'!P97-'dod3 до МВК'!P97</f>
        <v>0</v>
      </c>
    </row>
    <row r="98" spans="1:18" ht="228.75" x14ac:dyDescent="0.2">
      <c r="A98" s="629" t="s">
        <v>678</v>
      </c>
      <c r="B98" s="629" t="s">
        <v>679</v>
      </c>
      <c r="C98" s="629" t="s">
        <v>385</v>
      </c>
      <c r="D98" s="629" t="s">
        <v>752</v>
      </c>
      <c r="E98" s="631">
        <f>'dod3'!E98-'dod3 до МВК'!E98</f>
        <v>0</v>
      </c>
      <c r="F98" s="631">
        <f>'dod3'!F98-'dod3 до МВК'!F98</f>
        <v>0</v>
      </c>
      <c r="G98" s="631">
        <f>'dod3'!G98-'dod3 до МВК'!G98</f>
        <v>0</v>
      </c>
      <c r="H98" s="631">
        <f>'dod3'!H98-'dod3 до МВК'!H98</f>
        <v>0</v>
      </c>
      <c r="I98" s="631">
        <f>'dod3'!I98-'dod3 до МВК'!I98</f>
        <v>0</v>
      </c>
      <c r="J98" s="631">
        <f>'dod3'!J98-'dod3 до МВК'!J98</f>
        <v>0</v>
      </c>
      <c r="K98" s="631">
        <f>'dod3'!K98-'dod3 до МВК'!K98</f>
        <v>0</v>
      </c>
      <c r="L98" s="631">
        <f>'dod3'!L98-'dod3 до МВК'!L98</f>
        <v>0</v>
      </c>
      <c r="M98" s="631">
        <f>'dod3'!M98-'dod3 до МВК'!M98</f>
        <v>0</v>
      </c>
      <c r="N98" s="631">
        <f>'dod3'!N98-'dod3 до МВК'!N98</f>
        <v>0</v>
      </c>
      <c r="O98" s="631">
        <f>'dod3'!O98-'dod3 до МВК'!O98</f>
        <v>0</v>
      </c>
      <c r="P98" s="631">
        <f>'dod3'!P98-'dod3 до МВК'!P98</f>
        <v>0</v>
      </c>
    </row>
    <row r="99" spans="1:18" ht="228.75" x14ac:dyDescent="0.2">
      <c r="A99" s="621" t="s">
        <v>947</v>
      </c>
      <c r="B99" s="621" t="s">
        <v>948</v>
      </c>
      <c r="C99" s="621"/>
      <c r="D99" s="309" t="s">
        <v>946</v>
      </c>
      <c r="E99" s="631">
        <f>'dod3'!E99-'dod3 до МВК'!E99</f>
        <v>0</v>
      </c>
      <c r="F99" s="631">
        <f>'dod3'!F99-'dod3 до МВК'!F99</f>
        <v>0</v>
      </c>
      <c r="G99" s="631">
        <f>'dod3'!G99-'dod3 до МВК'!G99</f>
        <v>0</v>
      </c>
      <c r="H99" s="631">
        <f>'dod3'!H99-'dod3 до МВК'!H99</f>
        <v>0</v>
      </c>
      <c r="I99" s="631">
        <f>'dod3'!I99-'dod3 до МВК'!I99</f>
        <v>0</v>
      </c>
      <c r="J99" s="631">
        <f>'dod3'!J99-'dod3 до МВК'!J99</f>
        <v>0</v>
      </c>
      <c r="K99" s="631">
        <f>'dod3'!K99-'dod3 до МВК'!K99</f>
        <v>0</v>
      </c>
      <c r="L99" s="631">
        <f>'dod3'!L99-'dod3 до МВК'!L99</f>
        <v>0</v>
      </c>
      <c r="M99" s="631">
        <f>'dod3'!M99-'dod3 до МВК'!M99</f>
        <v>0</v>
      </c>
      <c r="N99" s="631">
        <f>'dod3'!N99-'dod3 до МВК'!N99</f>
        <v>0</v>
      </c>
      <c r="O99" s="631">
        <f>'dod3'!O99-'dod3 до МВК'!O99</f>
        <v>0</v>
      </c>
      <c r="P99" s="631">
        <f>'dod3'!P99-'dod3 до МВК'!P99</f>
        <v>0</v>
      </c>
    </row>
    <row r="100" spans="1:18" s="203" customFormat="1" ht="409.5" x14ac:dyDescent="0.2">
      <c r="A100" s="718" t="s">
        <v>949</v>
      </c>
      <c r="B100" s="718" t="s">
        <v>950</v>
      </c>
      <c r="C100" s="728" t="s">
        <v>117</v>
      </c>
      <c r="D100" s="310" t="s">
        <v>951</v>
      </c>
      <c r="E100" s="738">
        <f>'dod3'!E100-'dod3 до МВК'!E100</f>
        <v>0</v>
      </c>
      <c r="F100" s="738">
        <f>'dod3'!F100-'dod3 до МВК'!F100</f>
        <v>0</v>
      </c>
      <c r="G100" s="738">
        <f>'dod3'!G100-'dod3 до МВК'!G100</f>
        <v>0</v>
      </c>
      <c r="H100" s="738">
        <f>'dod3'!H100-'dod3 до МВК'!H100</f>
        <v>0</v>
      </c>
      <c r="I100" s="738">
        <f>'dod3'!I100-'dod3 до МВК'!I100</f>
        <v>0</v>
      </c>
      <c r="J100" s="738">
        <f>'dod3'!J100-'dod3 до МВК'!J100</f>
        <v>0</v>
      </c>
      <c r="K100" s="738">
        <f>'dod3'!K100-'dod3 до МВК'!K100</f>
        <v>0</v>
      </c>
      <c r="L100" s="738">
        <f>'dod3'!L100-'dod3 до МВК'!L100</f>
        <v>0</v>
      </c>
      <c r="M100" s="738">
        <f>'dod3'!M100-'dod3 до МВК'!M100</f>
        <v>0</v>
      </c>
      <c r="N100" s="738">
        <f>'dod3'!N100-'dod3 до МВК'!N100</f>
        <v>0</v>
      </c>
      <c r="O100" s="738">
        <f>'dod3'!O100-'dod3 до МВК'!O100</f>
        <v>0</v>
      </c>
      <c r="P100" s="738">
        <f>'dod3'!P100-'dod3 до МВК'!P100</f>
        <v>0</v>
      </c>
    </row>
    <row r="101" spans="1:18" s="203" customFormat="1" ht="409.5" x14ac:dyDescent="0.2">
      <c r="A101" s="739"/>
      <c r="B101" s="739"/>
      <c r="C101" s="740"/>
      <c r="D101" s="310" t="s">
        <v>952</v>
      </c>
      <c r="E101" s="745"/>
      <c r="F101" s="746"/>
      <c r="G101" s="746"/>
      <c r="H101" s="746"/>
      <c r="I101" s="746"/>
      <c r="J101" s="746"/>
      <c r="K101" s="746"/>
      <c r="L101" s="746"/>
      <c r="M101" s="746"/>
      <c r="N101" s="746"/>
      <c r="O101" s="746"/>
      <c r="P101" s="746"/>
    </row>
    <row r="102" spans="1:18" s="203" customFormat="1" ht="94.5" customHeight="1" x14ac:dyDescent="0.2">
      <c r="A102" s="719"/>
      <c r="B102" s="719"/>
      <c r="C102" s="740"/>
      <c r="D102" s="629" t="s">
        <v>953</v>
      </c>
      <c r="E102" s="743"/>
      <c r="F102" s="744"/>
      <c r="G102" s="744"/>
      <c r="H102" s="744"/>
      <c r="I102" s="744"/>
      <c r="J102" s="744"/>
      <c r="K102" s="744"/>
      <c r="L102" s="744"/>
      <c r="M102" s="744"/>
      <c r="N102" s="744"/>
      <c r="O102" s="744"/>
      <c r="P102" s="744"/>
    </row>
    <row r="103" spans="1:18" ht="409.5" x14ac:dyDescent="0.2">
      <c r="A103" s="720" t="s">
        <v>503</v>
      </c>
      <c r="B103" s="720" t="s">
        <v>362</v>
      </c>
      <c r="C103" s="721" t="s">
        <v>353</v>
      </c>
      <c r="D103" s="307" t="s">
        <v>680</v>
      </c>
      <c r="E103" s="735">
        <f>'dod3'!E103:E104-'dod3 до МВК'!E103:E104</f>
        <v>0</v>
      </c>
      <c r="F103" s="735">
        <f>'dod3'!F103:F104-'dod3 до МВК'!F103:F104</f>
        <v>0</v>
      </c>
      <c r="G103" s="735">
        <f>'dod3'!G103:G104-'dod3 до МВК'!G103:G104</f>
        <v>0</v>
      </c>
      <c r="H103" s="735">
        <f>'dod3'!H103:H104-'dod3 до МВК'!H103:H104</f>
        <v>0</v>
      </c>
      <c r="I103" s="735">
        <f>'dod3'!I103:I104-'dod3 до МВК'!I103:I104</f>
        <v>0</v>
      </c>
      <c r="J103" s="735">
        <f>'dod3'!J103:J104-'dod3 до МВК'!J103:J104</f>
        <v>0</v>
      </c>
      <c r="K103" s="735">
        <f>'dod3'!K103:K104-'dod3 до МВК'!K103:K104</f>
        <v>0</v>
      </c>
      <c r="L103" s="735">
        <f>'dod3'!L103:L104-'dod3 до МВК'!L103:L104</f>
        <v>0</v>
      </c>
      <c r="M103" s="735">
        <f>'dod3'!M103:M104-'dod3 до МВК'!M103:M104</f>
        <v>0</v>
      </c>
      <c r="N103" s="735">
        <f>'dod3'!N103:N104-'dod3 до МВК'!N103:N104</f>
        <v>0</v>
      </c>
      <c r="O103" s="735">
        <f>'dod3'!O103:O104-'dod3 до МВК'!O103:O104</f>
        <v>0</v>
      </c>
      <c r="P103" s="735">
        <f>'dod3'!P103:P104-'dod3 до МВК'!P103:P104</f>
        <v>0</v>
      </c>
    </row>
    <row r="104" spans="1:18" ht="327.75" customHeight="1" x14ac:dyDescent="0.2">
      <c r="A104" s="694"/>
      <c r="B104" s="694"/>
      <c r="C104" s="722"/>
      <c r="D104" s="321" t="s">
        <v>681</v>
      </c>
      <c r="E104" s="736"/>
      <c r="F104" s="736"/>
      <c r="G104" s="736"/>
      <c r="H104" s="736"/>
      <c r="I104" s="736"/>
      <c r="J104" s="736"/>
      <c r="K104" s="736"/>
      <c r="L104" s="736"/>
      <c r="M104" s="736"/>
      <c r="N104" s="736"/>
      <c r="O104" s="736"/>
      <c r="P104" s="736"/>
    </row>
    <row r="105" spans="1:18" ht="46.5" x14ac:dyDescent="0.2">
      <c r="A105" s="621" t="s">
        <v>684</v>
      </c>
      <c r="B105" s="621" t="s">
        <v>685</v>
      </c>
      <c r="C105" s="621"/>
      <c r="D105" s="621" t="s">
        <v>364</v>
      </c>
      <c r="E105" s="631">
        <f>'dod3'!E105-'dod3 до МВК'!E105</f>
        <v>0</v>
      </c>
      <c r="F105" s="631">
        <f>'dod3'!F105-'dod3 до МВК'!F105</f>
        <v>0</v>
      </c>
      <c r="G105" s="631">
        <f>'dod3'!G105-'dod3 до МВК'!G105</f>
        <v>0</v>
      </c>
      <c r="H105" s="631">
        <f>'dod3'!H105-'dod3 до МВК'!H105</f>
        <v>0</v>
      </c>
      <c r="I105" s="631">
        <f>'dod3'!I105-'dod3 до МВК'!I105</f>
        <v>0</v>
      </c>
      <c r="J105" s="631">
        <f>'dod3'!J105-'dod3 до МВК'!J105</f>
        <v>0</v>
      </c>
      <c r="K105" s="631">
        <f>'dod3'!K105-'dod3 до МВК'!K105</f>
        <v>0</v>
      </c>
      <c r="L105" s="631">
        <f>'dod3'!L105-'dod3 до МВК'!L105</f>
        <v>0</v>
      </c>
      <c r="M105" s="631">
        <f>'dod3'!M105-'dod3 до МВК'!M105</f>
        <v>0</v>
      </c>
      <c r="N105" s="631">
        <f>'dod3'!N105-'dod3 до МВК'!N105</f>
        <v>0</v>
      </c>
      <c r="O105" s="631">
        <f>'dod3'!O105-'dod3 до МВК'!O105</f>
        <v>0</v>
      </c>
      <c r="P105" s="631">
        <f>'dod3'!P105-'dod3 до МВК'!P105</f>
        <v>0</v>
      </c>
    </row>
    <row r="106" spans="1:18" ht="183" x14ac:dyDescent="0.2">
      <c r="A106" s="629" t="s">
        <v>682</v>
      </c>
      <c r="B106" s="629" t="s">
        <v>686</v>
      </c>
      <c r="C106" s="629" t="s">
        <v>363</v>
      </c>
      <c r="D106" s="298" t="s">
        <v>688</v>
      </c>
      <c r="E106" s="631">
        <f>'dod3'!E106-'dod3 до МВК'!E106</f>
        <v>0</v>
      </c>
      <c r="F106" s="631">
        <f>'dod3'!F106-'dod3 до МВК'!F106</f>
        <v>0</v>
      </c>
      <c r="G106" s="631">
        <f>'dod3'!G106-'dod3 до МВК'!G106</f>
        <v>0</v>
      </c>
      <c r="H106" s="631">
        <f>'dod3'!H106-'dod3 до МВК'!H106</f>
        <v>0</v>
      </c>
      <c r="I106" s="631">
        <f>'dod3'!I106-'dod3 до МВК'!I106</f>
        <v>0</v>
      </c>
      <c r="J106" s="631">
        <f>'dod3'!J106-'dod3 до МВК'!J106</f>
        <v>0</v>
      </c>
      <c r="K106" s="631">
        <f>'dod3'!K106-'dod3 до МВК'!K106</f>
        <v>0</v>
      </c>
      <c r="L106" s="631">
        <f>'dod3'!L106-'dod3 до МВК'!L106</f>
        <v>0</v>
      </c>
      <c r="M106" s="631">
        <f>'dod3'!M106-'dod3 до МВК'!M106</f>
        <v>0</v>
      </c>
      <c r="N106" s="631">
        <f>'dod3'!N106-'dod3 до МВК'!N106</f>
        <v>0</v>
      </c>
      <c r="O106" s="631">
        <f>'dod3'!O106-'dod3 до МВК'!O106</f>
        <v>0</v>
      </c>
      <c r="P106" s="631">
        <f>'dod3'!P106-'dod3 до МВК'!P106</f>
        <v>0</v>
      </c>
    </row>
    <row r="107" spans="1:18" ht="137.25" x14ac:dyDescent="0.2">
      <c r="A107" s="629" t="s">
        <v>683</v>
      </c>
      <c r="B107" s="629" t="s">
        <v>687</v>
      </c>
      <c r="C107" s="629" t="s">
        <v>363</v>
      </c>
      <c r="D107" s="298" t="s">
        <v>689</v>
      </c>
      <c r="E107" s="631">
        <f>'dod3'!E107-'dod3 до МВК'!E107</f>
        <v>0</v>
      </c>
      <c r="F107" s="631">
        <f>'dod3'!F107-'dod3 до МВК'!F107</f>
        <v>0</v>
      </c>
      <c r="G107" s="631">
        <f>'dod3'!G107-'dod3 до МВК'!G107</f>
        <v>0</v>
      </c>
      <c r="H107" s="631">
        <f>'dod3'!H107-'dod3 до МВК'!H107</f>
        <v>0</v>
      </c>
      <c r="I107" s="631">
        <f>'dod3'!I107-'dod3 до МВК'!I107</f>
        <v>0</v>
      </c>
      <c r="J107" s="631">
        <f>'dod3'!J107-'dod3 до МВК'!J107</f>
        <v>0</v>
      </c>
      <c r="K107" s="631">
        <f>'dod3'!K107-'dod3 до МВК'!K107</f>
        <v>0</v>
      </c>
      <c r="L107" s="631">
        <f>'dod3'!L107-'dod3 до МВК'!L107</f>
        <v>0</v>
      </c>
      <c r="M107" s="631">
        <f>'dod3'!M107-'dod3 до МВК'!M107</f>
        <v>0</v>
      </c>
      <c r="N107" s="631">
        <f>'dod3'!N107-'dod3 до МВК'!N107</f>
        <v>0</v>
      </c>
      <c r="O107" s="631">
        <f>'dod3'!O107-'dod3 до МВК'!O107</f>
        <v>0</v>
      </c>
      <c r="P107" s="631">
        <f>'dod3'!P107-'dod3 до МВК'!P107</f>
        <v>0</v>
      </c>
    </row>
    <row r="108" spans="1:18" ht="91.5" x14ac:dyDescent="0.2">
      <c r="A108" s="621" t="s">
        <v>832</v>
      </c>
      <c r="B108" s="621" t="s">
        <v>706</v>
      </c>
      <c r="C108" s="621"/>
      <c r="D108" s="621" t="s">
        <v>833</v>
      </c>
      <c r="E108" s="631">
        <f>'dod3'!E108-'dod3 до МВК'!E108</f>
        <v>0</v>
      </c>
      <c r="F108" s="631">
        <f>'dod3'!F108-'dod3 до МВК'!F108</f>
        <v>0</v>
      </c>
      <c r="G108" s="631">
        <f>'dod3'!G108-'dod3 до МВК'!G108</f>
        <v>0</v>
      </c>
      <c r="H108" s="631">
        <f>'dod3'!H108-'dod3 до МВК'!H108</f>
        <v>0</v>
      </c>
      <c r="I108" s="631">
        <f>'dod3'!I108-'dod3 до МВК'!I108</f>
        <v>0</v>
      </c>
      <c r="J108" s="631">
        <f>'dod3'!J108-'dod3 до МВК'!J108</f>
        <v>0</v>
      </c>
      <c r="K108" s="631">
        <f>'dod3'!K108-'dod3 до МВК'!K108</f>
        <v>0</v>
      </c>
      <c r="L108" s="631">
        <f>'dod3'!L108-'dod3 до МВК'!L108</f>
        <v>0</v>
      </c>
      <c r="M108" s="631">
        <f>'dod3'!M108-'dod3 до МВК'!M108</f>
        <v>0</v>
      </c>
      <c r="N108" s="631">
        <f>'dod3'!N108-'dod3 до МВК'!N108</f>
        <v>0</v>
      </c>
      <c r="O108" s="631">
        <f>'dod3'!O108-'dod3 до МВК'!O108</f>
        <v>0</v>
      </c>
      <c r="P108" s="631">
        <f>'dod3'!P108-'dod3 до МВК'!P108</f>
        <v>0</v>
      </c>
    </row>
    <row r="109" spans="1:18" ht="137.25" x14ac:dyDescent="0.2">
      <c r="A109" s="629" t="s">
        <v>836</v>
      </c>
      <c r="B109" s="629" t="s">
        <v>834</v>
      </c>
      <c r="C109" s="629" t="s">
        <v>708</v>
      </c>
      <c r="D109" s="298" t="s">
        <v>835</v>
      </c>
      <c r="E109" s="631">
        <f>'dod3'!E109-'dod3 до МВК'!E109</f>
        <v>0</v>
      </c>
      <c r="F109" s="631">
        <f>'dod3'!F109-'dod3 до МВК'!F109</f>
        <v>0</v>
      </c>
      <c r="G109" s="631">
        <f>'dod3'!G109-'dod3 до МВК'!G109</f>
        <v>0</v>
      </c>
      <c r="H109" s="631">
        <f>'dod3'!H109-'dod3 до МВК'!H109</f>
        <v>0</v>
      </c>
      <c r="I109" s="631">
        <f>'dod3'!I109-'dod3 до МВК'!I109</f>
        <v>0</v>
      </c>
      <c r="J109" s="631">
        <f>'dod3'!J109-'dod3 до МВК'!J109</f>
        <v>0</v>
      </c>
      <c r="K109" s="631">
        <f>'dod3'!K109-'dod3 до МВК'!K109</f>
        <v>0</v>
      </c>
      <c r="L109" s="631">
        <f>'dod3'!L109-'dod3 до МВК'!L109</f>
        <v>0</v>
      </c>
      <c r="M109" s="631">
        <f>'dod3'!M109-'dod3 до МВК'!M109</f>
        <v>0</v>
      </c>
      <c r="N109" s="631">
        <f>'dod3'!N109-'dod3 до МВК'!N109</f>
        <v>0</v>
      </c>
      <c r="O109" s="631">
        <f>'dod3'!O109-'dod3 до МВК'!O109</f>
        <v>0</v>
      </c>
      <c r="P109" s="631">
        <f>'dod3'!P109-'dod3 до МВК'!P109</f>
        <v>0</v>
      </c>
    </row>
    <row r="110" spans="1:18" ht="180" x14ac:dyDescent="0.2">
      <c r="A110" s="322">
        <v>1000000</v>
      </c>
      <c r="B110" s="322"/>
      <c r="C110" s="322"/>
      <c r="D110" s="277" t="s">
        <v>68</v>
      </c>
      <c r="E110" s="243">
        <f>E111</f>
        <v>0</v>
      </c>
      <c r="F110" s="243">
        <f t="shared" ref="F110:P110" si="12">F111</f>
        <v>0</v>
      </c>
      <c r="G110" s="243">
        <f t="shared" si="12"/>
        <v>0</v>
      </c>
      <c r="H110" s="243">
        <f t="shared" si="12"/>
        <v>0</v>
      </c>
      <c r="I110" s="243">
        <f t="shared" si="12"/>
        <v>0</v>
      </c>
      <c r="J110" s="243">
        <f t="shared" si="12"/>
        <v>0</v>
      </c>
      <c r="K110" s="243">
        <f t="shared" si="12"/>
        <v>0</v>
      </c>
      <c r="L110" s="243">
        <f t="shared" si="12"/>
        <v>0</v>
      </c>
      <c r="M110" s="243">
        <f t="shared" si="12"/>
        <v>0</v>
      </c>
      <c r="N110" s="243">
        <f t="shared" si="12"/>
        <v>0</v>
      </c>
      <c r="O110" s="244">
        <f t="shared" si="12"/>
        <v>0</v>
      </c>
      <c r="P110" s="243">
        <f t="shared" si="12"/>
        <v>0</v>
      </c>
    </row>
    <row r="111" spans="1:18" ht="180" x14ac:dyDescent="0.2">
      <c r="A111" s="323">
        <v>1010000</v>
      </c>
      <c r="B111" s="323"/>
      <c r="C111" s="323"/>
      <c r="D111" s="280" t="s">
        <v>94</v>
      </c>
      <c r="E111" s="244">
        <f>E113+E114+E115+E116+E112+E118+E117+E121</f>
        <v>0</v>
      </c>
      <c r="F111" s="243">
        <f>F113+F114+F115+F116+F112+F118+F117+F121</f>
        <v>0</v>
      </c>
      <c r="G111" s="244">
        <f>G113+G114+G115+G116+G112+G118+G117+G121</f>
        <v>0</v>
      </c>
      <c r="H111" s="244">
        <f>H113+H114+H115+H116+H112+H118+H117+H121</f>
        <v>0</v>
      </c>
      <c r="I111" s="243">
        <v>0</v>
      </c>
      <c r="J111" s="244">
        <f t="shared" ref="J111" si="13">K111+N111</f>
        <v>0</v>
      </c>
      <c r="K111" s="243">
        <f>K113+K114+K115+K116+K112+K118+K117+K121</f>
        <v>0</v>
      </c>
      <c r="L111" s="244">
        <f>L113+L114+L115+L116+L112+L118+L117+L121</f>
        <v>0</v>
      </c>
      <c r="M111" s="244">
        <f>M113+M114+M115+M116+M112+M118+M117+M121</f>
        <v>0</v>
      </c>
      <c r="N111" s="243">
        <f>N113+N114+N115+N116+N112+N118+N117+N121</f>
        <v>0</v>
      </c>
      <c r="O111" s="244">
        <f>O113+O114+O115+O116+O112+O118+O117+O121</f>
        <v>0</v>
      </c>
      <c r="P111" s="244">
        <f t="shared" ref="P111" si="14">E111+J111</f>
        <v>0</v>
      </c>
      <c r="Q111" s="311"/>
      <c r="R111" s="325"/>
    </row>
    <row r="112" spans="1:18" ht="274.5" x14ac:dyDescent="0.2">
      <c r="A112" s="621" t="s">
        <v>49</v>
      </c>
      <c r="B112" s="621" t="s">
        <v>343</v>
      </c>
      <c r="C112" s="621" t="s">
        <v>344</v>
      </c>
      <c r="D112" s="621" t="s">
        <v>342</v>
      </c>
      <c r="E112" s="631">
        <f>'dod3'!E112-'dod3 до МВК'!E112</f>
        <v>0</v>
      </c>
      <c r="F112" s="631">
        <f>'dod3'!F112-'dod3 до МВК'!F112</f>
        <v>0</v>
      </c>
      <c r="G112" s="631">
        <f>'dod3'!G112-'dod3 до МВК'!G112</f>
        <v>0</v>
      </c>
      <c r="H112" s="631">
        <f>'dod3'!H112-'dod3 до МВК'!H112</f>
        <v>0</v>
      </c>
      <c r="I112" s="631">
        <f>'dod3'!I112-'dod3 до МВК'!I112</f>
        <v>0</v>
      </c>
      <c r="J112" s="631">
        <f>'dod3'!J112-'dod3 до МВК'!J112</f>
        <v>0</v>
      </c>
      <c r="K112" s="631">
        <f>'dod3'!K112-'dod3 до МВК'!K112</f>
        <v>0</v>
      </c>
      <c r="L112" s="631">
        <f>'dod3'!L112-'dod3 до МВК'!L112</f>
        <v>0</v>
      </c>
      <c r="M112" s="631">
        <f>'dod3'!M112-'dod3 до МВК'!M112</f>
        <v>0</v>
      </c>
      <c r="N112" s="631">
        <f>'dod3'!N112-'dod3 до МВК'!N112</f>
        <v>0</v>
      </c>
      <c r="O112" s="631">
        <f>'dod3'!O112-'dod3 до МВК'!O112</f>
        <v>0</v>
      </c>
      <c r="P112" s="631">
        <f>'dod3'!P112-'dod3 до МВК'!P112</f>
        <v>0</v>
      </c>
    </row>
    <row r="113" spans="1:18" ht="46.5" x14ac:dyDescent="0.2">
      <c r="A113" s="621" t="s">
        <v>325</v>
      </c>
      <c r="B113" s="621" t="s">
        <v>326</v>
      </c>
      <c r="C113" s="621" t="s">
        <v>330</v>
      </c>
      <c r="D113" s="621" t="s">
        <v>331</v>
      </c>
      <c r="E113" s="631">
        <f>'dod3'!E113-'dod3 до МВК'!E113</f>
        <v>0</v>
      </c>
      <c r="F113" s="631">
        <f>'dod3'!F113-'dod3 до МВК'!F113</f>
        <v>0</v>
      </c>
      <c r="G113" s="631">
        <f>'dod3'!G113-'dod3 до МВК'!G113</f>
        <v>0</v>
      </c>
      <c r="H113" s="631">
        <f>'dod3'!H113-'dod3 до МВК'!H113</f>
        <v>0</v>
      </c>
      <c r="I113" s="631">
        <f>'dod3'!I113-'dod3 до МВК'!I113</f>
        <v>0</v>
      </c>
      <c r="J113" s="631">
        <f>'dod3'!J113-'dod3 до МВК'!J113</f>
        <v>0</v>
      </c>
      <c r="K113" s="631">
        <f>'dod3'!K113-'dod3 до МВК'!K113</f>
        <v>0</v>
      </c>
      <c r="L113" s="631">
        <f>'dod3'!L113-'dod3 до МВК'!L113</f>
        <v>0</v>
      </c>
      <c r="M113" s="631">
        <f>'dod3'!M113-'dod3 до МВК'!M113</f>
        <v>0</v>
      </c>
      <c r="N113" s="631">
        <f>'dod3'!N113-'dod3 до МВК'!N113</f>
        <v>0</v>
      </c>
      <c r="O113" s="631">
        <f>'dod3'!O113-'dod3 до МВК'!O113</f>
        <v>0</v>
      </c>
      <c r="P113" s="631">
        <f>'dod3'!P113-'dod3 до МВК'!P113</f>
        <v>0</v>
      </c>
    </row>
    <row r="114" spans="1:18" ht="91.5" x14ac:dyDescent="0.2">
      <c r="A114" s="621" t="s">
        <v>332</v>
      </c>
      <c r="B114" s="621" t="s">
        <v>333</v>
      </c>
      <c r="C114" s="621" t="s">
        <v>334</v>
      </c>
      <c r="D114" s="621" t="s">
        <v>335</v>
      </c>
      <c r="E114" s="631">
        <f>'dod3'!E114-'dod3 до МВК'!E114</f>
        <v>0</v>
      </c>
      <c r="F114" s="631">
        <f>'dod3'!F114-'dod3 до МВК'!F114</f>
        <v>0</v>
      </c>
      <c r="G114" s="631">
        <f>'dod3'!G114-'dod3 до МВК'!G114</f>
        <v>0</v>
      </c>
      <c r="H114" s="631">
        <f>'dod3'!H114-'dod3 до МВК'!H114</f>
        <v>0</v>
      </c>
      <c r="I114" s="631">
        <f>'dod3'!I114-'dod3 до МВК'!I114</f>
        <v>0</v>
      </c>
      <c r="J114" s="631">
        <f>'dod3'!J114-'dod3 до МВК'!J114</f>
        <v>0</v>
      </c>
      <c r="K114" s="631">
        <f>'dod3'!K114-'dod3 до МВК'!K114</f>
        <v>0</v>
      </c>
      <c r="L114" s="631">
        <f>'dod3'!L114-'dod3 до МВК'!L114</f>
        <v>0</v>
      </c>
      <c r="M114" s="631">
        <f>'dod3'!M114-'dod3 до МВК'!M114</f>
        <v>0</v>
      </c>
      <c r="N114" s="631">
        <f>'dod3'!N114-'dod3 до МВК'!N114</f>
        <v>0</v>
      </c>
      <c r="O114" s="631">
        <f>'dod3'!O114-'dod3 до МВК'!O114</f>
        <v>0</v>
      </c>
      <c r="P114" s="631">
        <f>'dod3'!P114-'dod3 до МВК'!P114</f>
        <v>0</v>
      </c>
    </row>
    <row r="115" spans="1:18" ht="91.5" x14ac:dyDescent="0.2">
      <c r="A115" s="621" t="s">
        <v>336</v>
      </c>
      <c r="B115" s="621" t="s">
        <v>337</v>
      </c>
      <c r="C115" s="621" t="s">
        <v>334</v>
      </c>
      <c r="D115" s="621" t="s">
        <v>338</v>
      </c>
      <c r="E115" s="631">
        <f>'dod3'!E115-'dod3 до МВК'!E115</f>
        <v>0</v>
      </c>
      <c r="F115" s="631">
        <f>'dod3'!F115-'dod3 до МВК'!F115</f>
        <v>0</v>
      </c>
      <c r="G115" s="631">
        <f>'dod3'!G115-'dod3 до МВК'!G115</f>
        <v>0</v>
      </c>
      <c r="H115" s="631">
        <f>'dod3'!H115-'dod3 до МВК'!H115</f>
        <v>0</v>
      </c>
      <c r="I115" s="631">
        <f>'dod3'!I115-'dod3 до МВК'!I115</f>
        <v>0</v>
      </c>
      <c r="J115" s="631">
        <f>'dod3'!J115-'dod3 до МВК'!J115</f>
        <v>0</v>
      </c>
      <c r="K115" s="631">
        <f>'dod3'!K115-'dod3 до МВК'!K115</f>
        <v>0</v>
      </c>
      <c r="L115" s="631">
        <f>'dod3'!L115-'dod3 до МВК'!L115</f>
        <v>0</v>
      </c>
      <c r="M115" s="631">
        <f>'dod3'!M115-'dod3 до МВК'!M115</f>
        <v>0</v>
      </c>
      <c r="N115" s="631">
        <f>'dod3'!N115-'dod3 до МВК'!N115</f>
        <v>0</v>
      </c>
      <c r="O115" s="631">
        <f>'dod3'!O115-'dod3 до МВК'!O115</f>
        <v>0</v>
      </c>
      <c r="P115" s="631">
        <f>'dod3'!P115-'dod3 до МВК'!P115</f>
        <v>0</v>
      </c>
    </row>
    <row r="116" spans="1:18" ht="183" x14ac:dyDescent="0.2">
      <c r="A116" s="621" t="s">
        <v>339</v>
      </c>
      <c r="B116" s="621" t="s">
        <v>327</v>
      </c>
      <c r="C116" s="621" t="s">
        <v>340</v>
      </c>
      <c r="D116" s="621" t="s">
        <v>341</v>
      </c>
      <c r="E116" s="631">
        <f>'dod3'!E116-'dod3 до МВК'!E116</f>
        <v>0</v>
      </c>
      <c r="F116" s="631">
        <f>'dod3'!F116-'dod3 до МВК'!F116</f>
        <v>0</v>
      </c>
      <c r="G116" s="631">
        <f>'dod3'!G116-'dod3 до МВК'!G116</f>
        <v>0</v>
      </c>
      <c r="H116" s="631">
        <f>'dod3'!H116-'dod3 до МВК'!H116</f>
        <v>0</v>
      </c>
      <c r="I116" s="631">
        <f>'dod3'!I116-'dod3 до МВК'!I116</f>
        <v>0</v>
      </c>
      <c r="J116" s="631">
        <f>'dod3'!J116-'dod3 до МВК'!J116</f>
        <v>0</v>
      </c>
      <c r="K116" s="631">
        <f>'dod3'!K116-'dod3 до МВК'!K116</f>
        <v>0</v>
      </c>
      <c r="L116" s="631">
        <f>'dod3'!L116-'dod3 до МВК'!L116</f>
        <v>0</v>
      </c>
      <c r="M116" s="631">
        <f>'dod3'!M116-'dod3 до МВК'!M116</f>
        <v>0</v>
      </c>
      <c r="N116" s="631">
        <f>'dod3'!N116-'dod3 до МВК'!N116</f>
        <v>0</v>
      </c>
      <c r="O116" s="631">
        <f>'dod3'!O116-'dod3 до МВК'!O116</f>
        <v>0</v>
      </c>
      <c r="P116" s="631">
        <f>'dod3'!P116-'dod3 до МВК'!P116</f>
        <v>0</v>
      </c>
    </row>
    <row r="117" spans="1:18" ht="91.5" x14ac:dyDescent="0.2">
      <c r="A117" s="621" t="s">
        <v>815</v>
      </c>
      <c r="B117" s="621" t="s">
        <v>816</v>
      </c>
      <c r="C117" s="621" t="s">
        <v>817</v>
      </c>
      <c r="D117" s="621" t="s">
        <v>814</v>
      </c>
      <c r="E117" s="631">
        <f>'dod3'!E117-'dod3 до МВК'!E117</f>
        <v>0</v>
      </c>
      <c r="F117" s="631">
        <f>'dod3'!F117-'dod3 до МВК'!F117</f>
        <v>0</v>
      </c>
      <c r="G117" s="631">
        <f>'dod3'!G117-'dod3 до МВК'!G117</f>
        <v>0</v>
      </c>
      <c r="H117" s="631">
        <f>'dod3'!H117-'dod3 до МВК'!H117</f>
        <v>0</v>
      </c>
      <c r="I117" s="631">
        <f>'dod3'!I117-'dod3 до МВК'!I117</f>
        <v>0</v>
      </c>
      <c r="J117" s="631">
        <f>'dod3'!J117-'dod3 до МВК'!J117</f>
        <v>0</v>
      </c>
      <c r="K117" s="631">
        <f>'dod3'!K117-'dod3 до МВК'!K117</f>
        <v>0</v>
      </c>
      <c r="L117" s="631">
        <f>'dod3'!L117-'dod3 до МВК'!L117</f>
        <v>0</v>
      </c>
      <c r="M117" s="631">
        <f>'dod3'!M117-'dod3 до МВК'!M117</f>
        <v>0</v>
      </c>
      <c r="N117" s="631">
        <f>'dod3'!N117-'dod3 до МВК'!N117</f>
        <v>0</v>
      </c>
      <c r="O117" s="631">
        <f>'dod3'!O117-'dod3 до МВК'!O117</f>
        <v>0</v>
      </c>
      <c r="P117" s="631">
        <f>'dod3'!P117-'dod3 до МВК'!P117</f>
        <v>0</v>
      </c>
    </row>
    <row r="118" spans="1:18" ht="91.5" x14ac:dyDescent="0.2">
      <c r="A118" s="621" t="s">
        <v>346</v>
      </c>
      <c r="B118" s="621" t="s">
        <v>347</v>
      </c>
      <c r="C118" s="621"/>
      <c r="D118" s="621" t="s">
        <v>345</v>
      </c>
      <c r="E118" s="631">
        <f>'dod3'!E118-'dod3 до МВК'!E118</f>
        <v>0</v>
      </c>
      <c r="F118" s="631">
        <f>'dod3'!F118-'dod3 до МВК'!F118</f>
        <v>0</v>
      </c>
      <c r="G118" s="631">
        <f>'dod3'!G118-'dod3 до МВК'!G118</f>
        <v>0</v>
      </c>
      <c r="H118" s="631">
        <f>'dod3'!H118-'dod3 до МВК'!H118</f>
        <v>0</v>
      </c>
      <c r="I118" s="631">
        <f>'dod3'!I118-'dod3 до МВК'!I118</f>
        <v>0</v>
      </c>
      <c r="J118" s="631">
        <f>'dod3'!J118-'dod3 до МВК'!J118</f>
        <v>0</v>
      </c>
      <c r="K118" s="631">
        <f>'dod3'!K118-'dod3 до МВК'!K118</f>
        <v>0</v>
      </c>
      <c r="L118" s="631">
        <f>'dod3'!L118-'dod3 до МВК'!L118</f>
        <v>0</v>
      </c>
      <c r="M118" s="631">
        <f>'dod3'!M118-'dod3 до МВК'!M118</f>
        <v>0</v>
      </c>
      <c r="N118" s="631">
        <f>'dod3'!N118-'dod3 до МВК'!N118</f>
        <v>0</v>
      </c>
      <c r="O118" s="631">
        <f>'dod3'!O118-'dod3 до МВК'!O118</f>
        <v>0</v>
      </c>
      <c r="P118" s="631">
        <f>'dod3'!P118-'dod3 до МВК'!P118</f>
        <v>0</v>
      </c>
    </row>
    <row r="119" spans="1:18" ht="137.25" x14ac:dyDescent="0.2">
      <c r="A119" s="629" t="s">
        <v>691</v>
      </c>
      <c r="B119" s="629" t="s">
        <v>692</v>
      </c>
      <c r="C119" s="629" t="s">
        <v>348</v>
      </c>
      <c r="D119" s="629" t="s">
        <v>690</v>
      </c>
      <c r="E119" s="631">
        <f>'dod3'!E119-'dod3 до МВК'!E119</f>
        <v>0</v>
      </c>
      <c r="F119" s="631">
        <f>'dod3'!F119-'dod3 до МВК'!F119</f>
        <v>0</v>
      </c>
      <c r="G119" s="631">
        <f>'dod3'!G119-'dod3 до МВК'!G119</f>
        <v>0</v>
      </c>
      <c r="H119" s="631">
        <f>'dod3'!H119-'dod3 до МВК'!H119</f>
        <v>0</v>
      </c>
      <c r="I119" s="631">
        <f>'dod3'!I119-'dod3 до МВК'!I119</f>
        <v>0</v>
      </c>
      <c r="J119" s="631">
        <f>'dod3'!J119-'dod3 до МВК'!J119</f>
        <v>0</v>
      </c>
      <c r="K119" s="631">
        <f>'dod3'!K119-'dod3 до МВК'!K119</f>
        <v>0</v>
      </c>
      <c r="L119" s="631">
        <f>'dod3'!L119-'dod3 до МВК'!L119</f>
        <v>0</v>
      </c>
      <c r="M119" s="631">
        <f>'dod3'!M119-'dod3 до МВК'!M119</f>
        <v>0</v>
      </c>
      <c r="N119" s="631">
        <f>'dod3'!N119-'dod3 до МВК'!N119</f>
        <v>0</v>
      </c>
      <c r="O119" s="631">
        <f>'dod3'!O119-'dod3 до МВК'!O119</f>
        <v>0</v>
      </c>
      <c r="P119" s="631">
        <f>'dod3'!P119-'dod3 до МВК'!P119</f>
        <v>0</v>
      </c>
    </row>
    <row r="120" spans="1:18" ht="91.5" x14ac:dyDescent="0.2">
      <c r="A120" s="629" t="s">
        <v>693</v>
      </c>
      <c r="B120" s="629" t="s">
        <v>694</v>
      </c>
      <c r="C120" s="629" t="s">
        <v>348</v>
      </c>
      <c r="D120" s="629" t="s">
        <v>695</v>
      </c>
      <c r="E120" s="631">
        <f>'dod3'!E120-'dod3 до МВК'!E120</f>
        <v>0</v>
      </c>
      <c r="F120" s="631">
        <f>'dod3'!F120-'dod3 до МВК'!F120</f>
        <v>0</v>
      </c>
      <c r="G120" s="631">
        <f>'dod3'!G120-'dod3 до МВК'!G120</f>
        <v>0</v>
      </c>
      <c r="H120" s="631">
        <f>'dod3'!H120-'dod3 до МВК'!H120</f>
        <v>0</v>
      </c>
      <c r="I120" s="631">
        <f>'dod3'!I120-'dod3 до МВК'!I120</f>
        <v>0</v>
      </c>
      <c r="J120" s="631">
        <f>'dod3'!J120-'dod3 до МВК'!J120</f>
        <v>0</v>
      </c>
      <c r="K120" s="631">
        <f>'dod3'!K120-'dod3 до МВК'!K120</f>
        <v>0</v>
      </c>
      <c r="L120" s="631">
        <f>'dod3'!L120-'dod3 до МВК'!L120</f>
        <v>0</v>
      </c>
      <c r="M120" s="631">
        <f>'dod3'!M120-'dod3 до МВК'!M120</f>
        <v>0</v>
      </c>
      <c r="N120" s="631">
        <f>'dod3'!N120-'dod3 до МВК'!N120</f>
        <v>0</v>
      </c>
      <c r="O120" s="631">
        <f>'dod3'!O120-'dod3 до МВК'!O120</f>
        <v>0</v>
      </c>
      <c r="P120" s="631">
        <f>'dod3'!P120-'dod3 до МВК'!P120</f>
        <v>0</v>
      </c>
    </row>
    <row r="121" spans="1:18" ht="91.5" x14ac:dyDescent="0.2">
      <c r="A121" s="621" t="s">
        <v>819</v>
      </c>
      <c r="B121" s="621" t="s">
        <v>373</v>
      </c>
      <c r="C121" s="621" t="s">
        <v>324</v>
      </c>
      <c r="D121" s="621" t="s">
        <v>818</v>
      </c>
      <c r="E121" s="631">
        <f>'dod3'!E121-'dod3 до МВК'!E121</f>
        <v>0</v>
      </c>
      <c r="F121" s="631">
        <f>'dod3'!F121-'dod3 до МВК'!F121</f>
        <v>0</v>
      </c>
      <c r="G121" s="631">
        <f>'dod3'!G121-'dod3 до МВК'!G121</f>
        <v>0</v>
      </c>
      <c r="H121" s="631">
        <f>'dod3'!H121-'dod3 до МВК'!H121</f>
        <v>0</v>
      </c>
      <c r="I121" s="631">
        <f>'dod3'!I121-'dod3 до МВК'!I121</f>
        <v>0</v>
      </c>
      <c r="J121" s="631">
        <f>'dod3'!J121-'dod3 до МВК'!J121</f>
        <v>0</v>
      </c>
      <c r="K121" s="631">
        <f>'dod3'!K121-'dod3 до МВК'!K121</f>
        <v>0</v>
      </c>
      <c r="L121" s="631">
        <f>'dod3'!L121-'dod3 до МВК'!L121</f>
        <v>0</v>
      </c>
      <c r="M121" s="631">
        <f>'dod3'!M121-'dod3 до МВК'!M121</f>
        <v>0</v>
      </c>
      <c r="N121" s="631">
        <f>'dod3'!N121-'dod3 до МВК'!N121</f>
        <v>0</v>
      </c>
      <c r="O121" s="631">
        <f>'dod3'!O121-'dod3 до МВК'!O121</f>
        <v>0</v>
      </c>
      <c r="P121" s="631">
        <f>'dod3'!P121-'dod3 до МВК'!P121</f>
        <v>0</v>
      </c>
    </row>
    <row r="122" spans="1:18" ht="135" x14ac:dyDescent="0.2">
      <c r="A122" s="277" t="s">
        <v>65</v>
      </c>
      <c r="B122" s="277"/>
      <c r="C122" s="277"/>
      <c r="D122" s="277" t="s">
        <v>66</v>
      </c>
      <c r="E122" s="243">
        <f>E123</f>
        <v>171777</v>
      </c>
      <c r="F122" s="243">
        <f t="shared" ref="F122:P122" si="15">F123</f>
        <v>171777</v>
      </c>
      <c r="G122" s="243">
        <f t="shared" si="15"/>
        <v>0</v>
      </c>
      <c r="H122" s="243">
        <f t="shared" si="15"/>
        <v>0</v>
      </c>
      <c r="I122" s="243">
        <f t="shared" si="15"/>
        <v>0</v>
      </c>
      <c r="J122" s="243">
        <f t="shared" si="15"/>
        <v>-481306</v>
      </c>
      <c r="K122" s="243">
        <f t="shared" si="15"/>
        <v>0</v>
      </c>
      <c r="L122" s="243">
        <f t="shared" si="15"/>
        <v>0</v>
      </c>
      <c r="M122" s="243">
        <f t="shared" si="15"/>
        <v>0</v>
      </c>
      <c r="N122" s="243">
        <f t="shared" si="15"/>
        <v>-481306</v>
      </c>
      <c r="O122" s="244">
        <f t="shared" si="15"/>
        <v>-481306</v>
      </c>
      <c r="P122" s="243">
        <f t="shared" si="15"/>
        <v>-309529</v>
      </c>
    </row>
    <row r="123" spans="1:18" ht="135" x14ac:dyDescent="0.2">
      <c r="A123" s="280" t="s">
        <v>64</v>
      </c>
      <c r="B123" s="280"/>
      <c r="C123" s="280"/>
      <c r="D123" s="280" t="s">
        <v>90</v>
      </c>
      <c r="E123" s="244">
        <f>E124+E126+E130+E133+E135+E140+E145+E143+E146+E138</f>
        <v>171777</v>
      </c>
      <c r="F123" s="243">
        <f>F124+F126+F130+F133+F135+F140+F145+F143+F146+F138</f>
        <v>171777</v>
      </c>
      <c r="G123" s="244">
        <f>G124+G126+G130+G133+G135+G140+G145+G143+G146+G138</f>
        <v>0</v>
      </c>
      <c r="H123" s="244">
        <f>H124+H126+H130+H133+H135+H140+H145+H143+H146+H138</f>
        <v>0</v>
      </c>
      <c r="I123" s="243">
        <f>I124+I126+I130+I133+I135+I140+I145</f>
        <v>0</v>
      </c>
      <c r="J123" s="246">
        <f>K123+N123</f>
        <v>-481306</v>
      </c>
      <c r="K123" s="243">
        <f>K124+K126+K130+K133+K135+K140+K145+K143+K146+K138</f>
        <v>0</v>
      </c>
      <c r="L123" s="244">
        <f>L124+L126+L130+L133+L135+L140+L145+L143+L146+L138</f>
        <v>0</v>
      </c>
      <c r="M123" s="244">
        <f>M124+M126+M130+M133+M135+M140+M145+M143+M146+M138</f>
        <v>0</v>
      </c>
      <c r="N123" s="243">
        <f>N124+N126+N130+N133+N135+N140+N145+N146+N138</f>
        <v>-481306</v>
      </c>
      <c r="O123" s="244">
        <f>O124+O126+O130+O133+O135+O140+O145+O146+O138</f>
        <v>-481306</v>
      </c>
      <c r="P123" s="244">
        <f>E123+J123</f>
        <v>-309529</v>
      </c>
      <c r="Q123" s="311"/>
      <c r="R123" s="325"/>
    </row>
    <row r="124" spans="1:18" ht="137.25" x14ac:dyDescent="0.2">
      <c r="A124" s="621" t="s">
        <v>349</v>
      </c>
      <c r="B124" s="621" t="s">
        <v>350</v>
      </c>
      <c r="C124" s="621"/>
      <c r="D124" s="621" t="s">
        <v>106</v>
      </c>
      <c r="E124" s="631">
        <f>'dod3'!E124-'dod3 до МВК'!E124</f>
        <v>0</v>
      </c>
      <c r="F124" s="631">
        <f>'dod3'!F124-'dod3 до МВК'!F124</f>
        <v>0</v>
      </c>
      <c r="G124" s="631">
        <f>'dod3'!G124-'dod3 до МВК'!G124</f>
        <v>0</v>
      </c>
      <c r="H124" s="631">
        <f>'dod3'!H124-'dod3 до МВК'!H124</f>
        <v>0</v>
      </c>
      <c r="I124" s="631">
        <f>'dod3'!I124-'dod3 до МВК'!I124</f>
        <v>0</v>
      </c>
      <c r="J124" s="631">
        <f>'dod3'!J124-'dod3 до МВК'!J124</f>
        <v>0</v>
      </c>
      <c r="K124" s="631">
        <f>'dod3'!K124-'dod3 до МВК'!K124</f>
        <v>0</v>
      </c>
      <c r="L124" s="631">
        <f>'dod3'!L124-'dod3 до МВК'!L124</f>
        <v>0</v>
      </c>
      <c r="M124" s="631">
        <f>'dod3'!M124-'dod3 до МВК'!M124</f>
        <v>0</v>
      </c>
      <c r="N124" s="631">
        <f>'dod3'!N124-'dod3 до МВК'!N124</f>
        <v>0</v>
      </c>
      <c r="O124" s="631">
        <f>'dod3'!O124-'dod3 до МВК'!O124</f>
        <v>0</v>
      </c>
      <c r="P124" s="631">
        <f>'dod3'!P124-'dod3 до МВК'!P124</f>
        <v>0</v>
      </c>
    </row>
    <row r="125" spans="1:18" ht="183" x14ac:dyDescent="0.2">
      <c r="A125" s="629" t="s">
        <v>351</v>
      </c>
      <c r="B125" s="629" t="s">
        <v>352</v>
      </c>
      <c r="C125" s="629" t="s">
        <v>353</v>
      </c>
      <c r="D125" s="629" t="s">
        <v>354</v>
      </c>
      <c r="E125" s="631">
        <f>'dod3'!E125-'dod3 до МВК'!E125</f>
        <v>0</v>
      </c>
      <c r="F125" s="631">
        <f>'dod3'!F125-'dod3 до МВК'!F125</f>
        <v>0</v>
      </c>
      <c r="G125" s="631">
        <f>'dod3'!G125-'dod3 до МВК'!G125</f>
        <v>0</v>
      </c>
      <c r="H125" s="631">
        <f>'dod3'!H125-'dod3 до МВК'!H125</f>
        <v>0</v>
      </c>
      <c r="I125" s="631">
        <f>'dod3'!I125-'dod3 до МВК'!I125</f>
        <v>0</v>
      </c>
      <c r="J125" s="631">
        <f>'dod3'!J125-'dod3 до МВК'!J125</f>
        <v>0</v>
      </c>
      <c r="K125" s="631">
        <f>'dod3'!K125-'dod3 до МВК'!K125</f>
        <v>0</v>
      </c>
      <c r="L125" s="631">
        <f>'dod3'!L125-'dod3 до МВК'!L125</f>
        <v>0</v>
      </c>
      <c r="M125" s="631">
        <f>'dod3'!M125-'dod3 до МВК'!M125</f>
        <v>0</v>
      </c>
      <c r="N125" s="631">
        <f>'dod3'!N125-'dod3 до МВК'!N125</f>
        <v>0</v>
      </c>
      <c r="O125" s="631">
        <f>'dod3'!O125-'dod3 до МВК'!O125</f>
        <v>0</v>
      </c>
      <c r="P125" s="631">
        <f>'dod3'!P125-'dod3 до МВК'!P125</f>
        <v>0</v>
      </c>
    </row>
    <row r="126" spans="1:18" ht="91.5" x14ac:dyDescent="0.2">
      <c r="A126" s="621" t="s">
        <v>105</v>
      </c>
      <c r="B126" s="621" t="s">
        <v>328</v>
      </c>
      <c r="C126" s="621"/>
      <c r="D126" s="621" t="s">
        <v>76</v>
      </c>
      <c r="E126" s="631">
        <f>'dod3'!E126-'dod3 до МВК'!E126</f>
        <v>171777</v>
      </c>
      <c r="F126" s="631">
        <f>'dod3'!F126-'dod3 до МВК'!F126</f>
        <v>171777</v>
      </c>
      <c r="G126" s="631">
        <f>'dod3'!G126-'dod3 до МВК'!G126</f>
        <v>0</v>
      </c>
      <c r="H126" s="631">
        <f>'dod3'!H126-'dod3 до МВК'!H126</f>
        <v>0</v>
      </c>
      <c r="I126" s="631">
        <f>'dod3'!I126-'dod3 до МВК'!I126</f>
        <v>0</v>
      </c>
      <c r="J126" s="631">
        <f>'dod3'!J126-'dod3 до МВК'!J126</f>
        <v>0</v>
      </c>
      <c r="K126" s="631">
        <f>'dod3'!K126-'dod3 до МВК'!K126</f>
        <v>0</v>
      </c>
      <c r="L126" s="631">
        <f>'dod3'!L126-'dod3 до МВК'!L126</f>
        <v>0</v>
      </c>
      <c r="M126" s="631">
        <f>'dod3'!M126-'dod3 до МВК'!M126</f>
        <v>0</v>
      </c>
      <c r="N126" s="631">
        <f>'dod3'!N126-'dod3 до МВК'!N126</f>
        <v>0</v>
      </c>
      <c r="O126" s="631">
        <f>'dod3'!O126-'dod3 до МВК'!O126</f>
        <v>0</v>
      </c>
      <c r="P126" s="631">
        <f>'dod3'!P126-'dod3 до МВК'!P126</f>
        <v>171777</v>
      </c>
    </row>
    <row r="127" spans="1:18" ht="228.75" x14ac:dyDescent="0.2">
      <c r="A127" s="629" t="s">
        <v>104</v>
      </c>
      <c r="B127" s="629" t="s">
        <v>329</v>
      </c>
      <c r="C127" s="629" t="s">
        <v>353</v>
      </c>
      <c r="D127" s="629" t="s">
        <v>33</v>
      </c>
      <c r="E127" s="631">
        <f>'dod3'!E127-'dod3 до МВК'!E127</f>
        <v>0</v>
      </c>
      <c r="F127" s="631">
        <f>'dod3'!F127-'dod3 до МВК'!F127</f>
        <v>0</v>
      </c>
      <c r="G127" s="631">
        <f>'dod3'!G127-'dod3 до МВК'!G127</f>
        <v>0</v>
      </c>
      <c r="H127" s="631">
        <f>'dod3'!H127-'dod3 до МВК'!H127</f>
        <v>0</v>
      </c>
      <c r="I127" s="631">
        <f>'dod3'!I127-'dod3 до МВК'!I127</f>
        <v>0</v>
      </c>
      <c r="J127" s="631">
        <f>'dod3'!J127-'dod3 до МВК'!J127</f>
        <v>0</v>
      </c>
      <c r="K127" s="631">
        <f>'dod3'!K127-'dod3 до МВК'!K127</f>
        <v>0</v>
      </c>
      <c r="L127" s="631">
        <f>'dod3'!L127-'dod3 до МВК'!L127</f>
        <v>0</v>
      </c>
      <c r="M127" s="631">
        <f>'dod3'!M127-'dod3 до МВК'!M127</f>
        <v>0</v>
      </c>
      <c r="N127" s="631">
        <f>'dod3'!N127-'dod3 до МВК'!N127</f>
        <v>0</v>
      </c>
      <c r="O127" s="631">
        <f>'dod3'!O127-'dod3 до МВК'!O127</f>
        <v>0</v>
      </c>
      <c r="P127" s="631">
        <f>'dod3'!P127-'dod3 до МВК'!P127</f>
        <v>0</v>
      </c>
    </row>
    <row r="128" spans="1:18" ht="137.25" x14ac:dyDescent="0.2">
      <c r="A128" s="629" t="s">
        <v>360</v>
      </c>
      <c r="B128" s="629" t="s">
        <v>361</v>
      </c>
      <c r="C128" s="629" t="s">
        <v>353</v>
      </c>
      <c r="D128" s="629" t="s">
        <v>34</v>
      </c>
      <c r="E128" s="631">
        <f>'dod3'!E128-'dod3 до МВК'!E128</f>
        <v>0</v>
      </c>
      <c r="F128" s="631">
        <f>'dod3'!F128-'dod3 до МВК'!F128</f>
        <v>0</v>
      </c>
      <c r="G128" s="631">
        <f>'dod3'!G128-'dod3 до МВК'!G128</f>
        <v>0</v>
      </c>
      <c r="H128" s="631">
        <f>'dod3'!H128-'dod3 до МВК'!H128</f>
        <v>0</v>
      </c>
      <c r="I128" s="631">
        <f>'dod3'!I128-'dod3 до МВК'!I128</f>
        <v>0</v>
      </c>
      <c r="J128" s="631">
        <f>'dod3'!J128-'dod3 до МВК'!J128</f>
        <v>0</v>
      </c>
      <c r="K128" s="631">
        <f>'dod3'!K128-'dod3 до МВК'!K128</f>
        <v>0</v>
      </c>
      <c r="L128" s="631">
        <f>'dod3'!L128-'dod3 до МВК'!L128</f>
        <v>0</v>
      </c>
      <c r="M128" s="631">
        <f>'dod3'!M128-'dod3 до МВК'!M128</f>
        <v>0</v>
      </c>
      <c r="N128" s="631">
        <f>'dod3'!N128-'dod3 до МВК'!N128</f>
        <v>0</v>
      </c>
      <c r="O128" s="631">
        <f>'dod3'!O128-'dod3 до МВК'!O128</f>
        <v>0</v>
      </c>
      <c r="P128" s="631">
        <f>'dod3'!P128-'dod3 до МВК'!P128</f>
        <v>0</v>
      </c>
    </row>
    <row r="129" spans="1:16" ht="91.5" x14ac:dyDescent="0.2">
      <c r="A129" s="629" t="s">
        <v>761</v>
      </c>
      <c r="B129" s="629" t="s">
        <v>762</v>
      </c>
      <c r="C129" s="629" t="s">
        <v>353</v>
      </c>
      <c r="D129" s="629" t="s">
        <v>763</v>
      </c>
      <c r="E129" s="631">
        <f>'dod3'!E129-'dod3 до МВК'!E129</f>
        <v>171777</v>
      </c>
      <c r="F129" s="631">
        <f>'dod3'!F129-'dod3 до МВК'!F129</f>
        <v>171777</v>
      </c>
      <c r="G129" s="631">
        <f>'dod3'!G129-'dod3 до МВК'!G129</f>
        <v>0</v>
      </c>
      <c r="H129" s="631">
        <f>'dod3'!H129-'dod3 до МВК'!H129</f>
        <v>0</v>
      </c>
      <c r="I129" s="631">
        <f>'dod3'!I129-'dod3 до МВК'!I129</f>
        <v>0</v>
      </c>
      <c r="J129" s="631">
        <f>'dod3'!J129-'dod3 до МВК'!J129</f>
        <v>0</v>
      </c>
      <c r="K129" s="631">
        <f>'dod3'!K129-'dod3 до МВК'!K129</f>
        <v>0</v>
      </c>
      <c r="L129" s="631">
        <f>'dod3'!L129-'dod3 до МВК'!L129</f>
        <v>0</v>
      </c>
      <c r="M129" s="631">
        <f>'dod3'!M129-'dod3 до МВК'!M129</f>
        <v>0</v>
      </c>
      <c r="N129" s="631">
        <f>'dod3'!N129-'dod3 до МВК'!N129</f>
        <v>0</v>
      </c>
      <c r="O129" s="631">
        <f>'dod3'!O129-'dod3 до МВК'!O129</f>
        <v>0</v>
      </c>
      <c r="P129" s="631">
        <f>'dod3'!P129-'dod3 до МВК'!P129</f>
        <v>171777</v>
      </c>
    </row>
    <row r="130" spans="1:16" ht="91.5" x14ac:dyDescent="0.2">
      <c r="A130" s="621" t="s">
        <v>107</v>
      </c>
      <c r="B130" s="621" t="s">
        <v>355</v>
      </c>
      <c r="C130" s="621"/>
      <c r="D130" s="621" t="s">
        <v>108</v>
      </c>
      <c r="E130" s="631">
        <f>'dod3'!E130-'dod3 до МВК'!E130</f>
        <v>0</v>
      </c>
      <c r="F130" s="631">
        <f>'dod3'!F130-'dod3 до МВК'!F130</f>
        <v>0</v>
      </c>
      <c r="G130" s="631">
        <f>'dod3'!G130-'dod3 до МВК'!G130</f>
        <v>0</v>
      </c>
      <c r="H130" s="631">
        <f>'dod3'!H130-'dod3 до МВК'!H130</f>
        <v>0</v>
      </c>
      <c r="I130" s="631">
        <f>'dod3'!I130-'dod3 до МВК'!I130</f>
        <v>0</v>
      </c>
      <c r="J130" s="631">
        <f>'dod3'!J130-'dod3 до МВК'!J130</f>
        <v>0</v>
      </c>
      <c r="K130" s="631">
        <f>'dod3'!K130-'dod3 до МВК'!K130</f>
        <v>0</v>
      </c>
      <c r="L130" s="631">
        <f>'dod3'!L130-'dod3 до МВК'!L130</f>
        <v>0</v>
      </c>
      <c r="M130" s="631">
        <f>'dod3'!M130-'dod3 до МВК'!M130</f>
        <v>0</v>
      </c>
      <c r="N130" s="631">
        <f>'dod3'!N130-'dod3 до МВК'!N130</f>
        <v>0</v>
      </c>
      <c r="O130" s="631">
        <f>'dod3'!O130-'dod3 до МВК'!O130</f>
        <v>0</v>
      </c>
      <c r="P130" s="631">
        <f>'dod3'!P130-'dod3 до МВК'!P130</f>
        <v>0</v>
      </c>
    </row>
    <row r="131" spans="1:16" ht="137.25" x14ac:dyDescent="0.2">
      <c r="A131" s="629" t="s">
        <v>109</v>
      </c>
      <c r="B131" s="629" t="s">
        <v>356</v>
      </c>
      <c r="C131" s="629" t="s">
        <v>370</v>
      </c>
      <c r="D131" s="629" t="s">
        <v>110</v>
      </c>
      <c r="E131" s="631">
        <f>'dod3'!E131-'dod3 до МВК'!E131</f>
        <v>0</v>
      </c>
      <c r="F131" s="631">
        <f>'dod3'!F131-'dod3 до МВК'!F131</f>
        <v>0</v>
      </c>
      <c r="G131" s="631">
        <f>'dod3'!G131-'dod3 до МВК'!G131</f>
        <v>0</v>
      </c>
      <c r="H131" s="631">
        <f>'dod3'!H131-'dod3 до МВК'!H131</f>
        <v>0</v>
      </c>
      <c r="I131" s="631">
        <f>'dod3'!I131-'dod3 до МВК'!I131</f>
        <v>0</v>
      </c>
      <c r="J131" s="631">
        <f>'dod3'!J131-'dod3 до МВК'!J131</f>
        <v>0</v>
      </c>
      <c r="K131" s="631">
        <f>'dod3'!K131-'dod3 до МВК'!K131</f>
        <v>0</v>
      </c>
      <c r="L131" s="631">
        <f>'dod3'!L131-'dod3 до МВК'!L131</f>
        <v>0</v>
      </c>
      <c r="M131" s="631">
        <f>'dod3'!M131-'dod3 до МВК'!M131</f>
        <v>0</v>
      </c>
      <c r="N131" s="631">
        <f>'dod3'!N131-'dod3 до МВК'!N131</f>
        <v>0</v>
      </c>
      <c r="O131" s="631">
        <f>'dod3'!O131-'dod3 до МВК'!O131</f>
        <v>0</v>
      </c>
      <c r="P131" s="631">
        <f>'dod3'!P131-'dod3 до МВК'!P131</f>
        <v>0</v>
      </c>
    </row>
    <row r="132" spans="1:16" ht="137.25" x14ac:dyDescent="0.2">
      <c r="A132" s="629" t="s">
        <v>111</v>
      </c>
      <c r="B132" s="629" t="s">
        <v>357</v>
      </c>
      <c r="C132" s="629" t="s">
        <v>370</v>
      </c>
      <c r="D132" s="629" t="s">
        <v>11</v>
      </c>
      <c r="E132" s="631">
        <f>'dod3'!E132-'dod3 до МВК'!E132</f>
        <v>0</v>
      </c>
      <c r="F132" s="631">
        <f>'dod3'!F132-'dod3 до МВК'!F132</f>
        <v>0</v>
      </c>
      <c r="G132" s="631">
        <f>'dod3'!G132-'dod3 до МВК'!G132</f>
        <v>0</v>
      </c>
      <c r="H132" s="631">
        <f>'dod3'!H132-'dod3 до МВК'!H132</f>
        <v>0</v>
      </c>
      <c r="I132" s="631">
        <f>'dod3'!I132-'dod3 до МВК'!I132</f>
        <v>0</v>
      </c>
      <c r="J132" s="631">
        <f>'dod3'!J132-'dod3 до МВК'!J132</f>
        <v>0</v>
      </c>
      <c r="K132" s="631">
        <f>'dod3'!K132-'dod3 до МВК'!K132</f>
        <v>0</v>
      </c>
      <c r="L132" s="631">
        <f>'dod3'!L132-'dod3 до МВК'!L132</f>
        <v>0</v>
      </c>
      <c r="M132" s="631">
        <f>'dod3'!M132-'dod3 до МВК'!M132</f>
        <v>0</v>
      </c>
      <c r="N132" s="631">
        <f>'dod3'!N132-'dod3 до МВК'!N132</f>
        <v>0</v>
      </c>
      <c r="O132" s="631">
        <f>'dod3'!O132-'dod3 до МВК'!O132</f>
        <v>0</v>
      </c>
      <c r="P132" s="631">
        <f>'dod3'!P132-'dod3 до МВК'!P132</f>
        <v>0</v>
      </c>
    </row>
    <row r="133" spans="1:16" ht="183" x14ac:dyDescent="0.2">
      <c r="A133" s="621" t="s">
        <v>112</v>
      </c>
      <c r="B133" s="621" t="s">
        <v>358</v>
      </c>
      <c r="C133" s="621"/>
      <c r="D133" s="621" t="s">
        <v>753</v>
      </c>
      <c r="E133" s="631">
        <f>'dod3'!E133-'dod3 до МВК'!E133</f>
        <v>0</v>
      </c>
      <c r="F133" s="631">
        <f>'dod3'!F133-'dod3 до МВК'!F133</f>
        <v>0</v>
      </c>
      <c r="G133" s="631">
        <f>'dod3'!G133-'dod3 до МВК'!G133</f>
        <v>0</v>
      </c>
      <c r="H133" s="631">
        <f>'dod3'!H133-'dod3 до МВК'!H133</f>
        <v>0</v>
      </c>
      <c r="I133" s="631">
        <f>'dod3'!I133-'dod3 до МВК'!I133</f>
        <v>0</v>
      </c>
      <c r="J133" s="631">
        <f>'dod3'!J133-'dod3 до МВК'!J133</f>
        <v>0</v>
      </c>
      <c r="K133" s="631">
        <f>'dod3'!K133-'dod3 до МВК'!K133</f>
        <v>0</v>
      </c>
      <c r="L133" s="631">
        <f>'dod3'!L133-'dod3 до МВК'!L133</f>
        <v>0</v>
      </c>
      <c r="M133" s="631">
        <f>'dod3'!M133-'dod3 до МВК'!M133</f>
        <v>0</v>
      </c>
      <c r="N133" s="631">
        <f>'dod3'!N133-'dod3 до МВК'!N133</f>
        <v>0</v>
      </c>
      <c r="O133" s="631">
        <f>'dod3'!O133-'dod3 до МВК'!O133</f>
        <v>0</v>
      </c>
      <c r="P133" s="631">
        <f>'dod3'!P133-'dod3 до МВК'!P133</f>
        <v>0</v>
      </c>
    </row>
    <row r="134" spans="1:16" ht="183" x14ac:dyDescent="0.2">
      <c r="A134" s="629" t="s">
        <v>113</v>
      </c>
      <c r="B134" s="629" t="s">
        <v>359</v>
      </c>
      <c r="C134" s="629" t="s">
        <v>370</v>
      </c>
      <c r="D134" s="629" t="s">
        <v>754</v>
      </c>
      <c r="E134" s="631">
        <f>'dod3'!E134-'dod3 до МВК'!E134</f>
        <v>0</v>
      </c>
      <c r="F134" s="631">
        <f>'dod3'!F134-'dod3 до МВК'!F134</f>
        <v>0</v>
      </c>
      <c r="G134" s="631">
        <f>'dod3'!G134-'dod3 до МВК'!G134</f>
        <v>0</v>
      </c>
      <c r="H134" s="631">
        <f>'dod3'!H134-'dod3 до МВК'!H134</f>
        <v>0</v>
      </c>
      <c r="I134" s="631">
        <f>'dod3'!I134-'dod3 до МВК'!I134</f>
        <v>0</v>
      </c>
      <c r="J134" s="631">
        <f>'dod3'!J134-'dod3 до МВК'!J134</f>
        <v>0</v>
      </c>
      <c r="K134" s="631">
        <f>'dod3'!K134-'dod3 до МВК'!K134</f>
        <v>0</v>
      </c>
      <c r="L134" s="631">
        <f>'dod3'!L134-'dod3 до МВК'!L134</f>
        <v>0</v>
      </c>
      <c r="M134" s="631">
        <f>'dod3'!M134-'dod3 до МВК'!M134</f>
        <v>0</v>
      </c>
      <c r="N134" s="631">
        <f>'dod3'!N134-'dod3 до МВК'!N134</f>
        <v>0</v>
      </c>
      <c r="O134" s="631">
        <f>'dod3'!O134-'dod3 до МВК'!O134</f>
        <v>0</v>
      </c>
      <c r="P134" s="631">
        <f>'dod3'!P134-'dod3 до МВК'!P134</f>
        <v>0</v>
      </c>
    </row>
    <row r="135" spans="1:16" ht="91.5" x14ac:dyDescent="0.2">
      <c r="A135" s="621" t="s">
        <v>78</v>
      </c>
      <c r="B135" s="621" t="s">
        <v>365</v>
      </c>
      <c r="C135" s="621"/>
      <c r="D135" s="621" t="s">
        <v>79</v>
      </c>
      <c r="E135" s="631">
        <f>'dod3'!E135-'dod3 до МВК'!E135</f>
        <v>0</v>
      </c>
      <c r="F135" s="631">
        <f>'dod3'!F135-'dod3 до МВК'!F135</f>
        <v>0</v>
      </c>
      <c r="G135" s="631">
        <f>'dod3'!G135-'dod3 до МВК'!G135</f>
        <v>0</v>
      </c>
      <c r="H135" s="631">
        <f>'dod3'!H135-'dod3 до МВК'!H135</f>
        <v>0</v>
      </c>
      <c r="I135" s="631">
        <f>'dod3'!I135-'dod3 до МВК'!I135</f>
        <v>0</v>
      </c>
      <c r="J135" s="631">
        <f>'dod3'!J135-'dod3 до МВК'!J135</f>
        <v>0</v>
      </c>
      <c r="K135" s="631">
        <f>'dod3'!K135-'dod3 до МВК'!K135</f>
        <v>0</v>
      </c>
      <c r="L135" s="631">
        <f>'dod3'!L135-'dod3 до МВК'!L135</f>
        <v>0</v>
      </c>
      <c r="M135" s="631">
        <f>'dod3'!M135-'dod3 до МВК'!M135</f>
        <v>0</v>
      </c>
      <c r="N135" s="631">
        <f>'dod3'!N135-'dod3 до МВК'!N135</f>
        <v>0</v>
      </c>
      <c r="O135" s="631">
        <f>'dod3'!O135-'dod3 до МВК'!O135</f>
        <v>0</v>
      </c>
      <c r="P135" s="631">
        <f>'dod3'!P135-'dod3 до МВК'!P135</f>
        <v>0</v>
      </c>
    </row>
    <row r="136" spans="1:16" ht="183" x14ac:dyDescent="0.2">
      <c r="A136" s="629" t="s">
        <v>77</v>
      </c>
      <c r="B136" s="629" t="s">
        <v>366</v>
      </c>
      <c r="C136" s="629" t="s">
        <v>370</v>
      </c>
      <c r="D136" s="629" t="s">
        <v>114</v>
      </c>
      <c r="E136" s="631">
        <f>'dod3'!E136-'dod3 до МВК'!E136</f>
        <v>0</v>
      </c>
      <c r="F136" s="631">
        <f>'dod3'!F136-'dod3 до МВК'!F136</f>
        <v>0</v>
      </c>
      <c r="G136" s="631">
        <f>'dod3'!G136-'dod3 до МВК'!G136</f>
        <v>0</v>
      </c>
      <c r="H136" s="631">
        <f>'dod3'!H136-'dod3 до МВК'!H136</f>
        <v>0</v>
      </c>
      <c r="I136" s="631">
        <f>'dod3'!I136-'dod3 до МВК'!I136</f>
        <v>0</v>
      </c>
      <c r="J136" s="631">
        <f>'dod3'!J136-'dod3 до МВК'!J136</f>
        <v>0</v>
      </c>
      <c r="K136" s="631">
        <f>'dod3'!K136-'dod3 до МВК'!K136</f>
        <v>0</v>
      </c>
      <c r="L136" s="631">
        <f>'dod3'!L136-'dod3 до МВК'!L136</f>
        <v>0</v>
      </c>
      <c r="M136" s="631">
        <f>'dod3'!M136-'dod3 до МВК'!M136</f>
        <v>0</v>
      </c>
      <c r="N136" s="631">
        <f>'dod3'!N136-'dod3 до МВК'!N136</f>
        <v>0</v>
      </c>
      <c r="O136" s="631">
        <f>'dod3'!O136-'dod3 до МВК'!O136</f>
        <v>0</v>
      </c>
      <c r="P136" s="631">
        <f>'dod3'!P136-'dod3 до МВК'!P136</f>
        <v>0</v>
      </c>
    </row>
    <row r="137" spans="1:16" ht="183" x14ac:dyDescent="0.2">
      <c r="A137" s="629" t="s">
        <v>80</v>
      </c>
      <c r="B137" s="629" t="s">
        <v>367</v>
      </c>
      <c r="C137" s="629" t="s">
        <v>370</v>
      </c>
      <c r="D137" s="629" t="s">
        <v>115</v>
      </c>
      <c r="E137" s="631">
        <f>'dod3'!E137-'dod3 до МВК'!E137</f>
        <v>0</v>
      </c>
      <c r="F137" s="631">
        <f>'dod3'!F137-'dod3 до МВК'!F137</f>
        <v>0</v>
      </c>
      <c r="G137" s="631">
        <f>'dod3'!G137-'dod3 до МВК'!G137</f>
        <v>0</v>
      </c>
      <c r="H137" s="631">
        <f>'dod3'!H137-'dod3 до МВК'!H137</f>
        <v>0</v>
      </c>
      <c r="I137" s="631">
        <f>'dod3'!I137-'dod3 до МВК'!I137</f>
        <v>0</v>
      </c>
      <c r="J137" s="631">
        <f>'dod3'!J137-'dod3 до МВК'!J137</f>
        <v>0</v>
      </c>
      <c r="K137" s="631">
        <f>'dod3'!K137-'dod3 до МВК'!K137</f>
        <v>0</v>
      </c>
      <c r="L137" s="631">
        <f>'dod3'!L137-'dod3 до МВК'!L137</f>
        <v>0</v>
      </c>
      <c r="M137" s="631">
        <f>'dod3'!M137-'dod3 до МВК'!M137</f>
        <v>0</v>
      </c>
      <c r="N137" s="631">
        <f>'dod3'!N137-'dod3 до МВК'!N137</f>
        <v>0</v>
      </c>
      <c r="O137" s="631">
        <f>'dod3'!O137-'dod3 до МВК'!O137</f>
        <v>0</v>
      </c>
      <c r="P137" s="631">
        <f>'dod3'!P137-'dod3 до МВК'!P137</f>
        <v>0</v>
      </c>
    </row>
    <row r="138" spans="1:16" ht="91.5" x14ac:dyDescent="0.2">
      <c r="A138" s="621" t="s">
        <v>1008</v>
      </c>
      <c r="B138" s="621" t="s">
        <v>1009</v>
      </c>
      <c r="C138" s="621"/>
      <c r="D138" s="621" t="s">
        <v>1007</v>
      </c>
      <c r="E138" s="631">
        <f>'dod3'!E138-'dod3 до МВК'!E138</f>
        <v>0</v>
      </c>
      <c r="F138" s="631">
        <f>'dod3'!F138-'dod3 до МВК'!F138</f>
        <v>0</v>
      </c>
      <c r="G138" s="631">
        <f>'dod3'!G138-'dod3 до МВК'!G138</f>
        <v>0</v>
      </c>
      <c r="H138" s="631">
        <f>'dod3'!H138-'dod3 до МВК'!H138</f>
        <v>0</v>
      </c>
      <c r="I138" s="631">
        <f>'dod3'!I138-'dod3 до МВК'!I138</f>
        <v>0</v>
      </c>
      <c r="J138" s="631">
        <f>'dod3'!J138-'dod3 до МВК'!J138</f>
        <v>0</v>
      </c>
      <c r="K138" s="631">
        <f>'dod3'!K138-'dod3 до МВК'!K138</f>
        <v>0</v>
      </c>
      <c r="L138" s="631">
        <f>'dod3'!L138-'dod3 до МВК'!L138</f>
        <v>0</v>
      </c>
      <c r="M138" s="631">
        <f>'dod3'!M138-'dod3 до МВК'!M138</f>
        <v>0</v>
      </c>
      <c r="N138" s="631">
        <f>'dod3'!N138-'dod3 до МВК'!N138</f>
        <v>0</v>
      </c>
      <c r="O138" s="631">
        <f>'dod3'!O138-'dod3 до МВК'!O138</f>
        <v>0</v>
      </c>
      <c r="P138" s="631">
        <f>'dod3'!P138-'dod3 до МВК'!P138</f>
        <v>0</v>
      </c>
    </row>
    <row r="139" spans="1:16" ht="320.25" x14ac:dyDescent="0.2">
      <c r="A139" s="629" t="s">
        <v>1011</v>
      </c>
      <c r="B139" s="629" t="s">
        <v>1012</v>
      </c>
      <c r="C139" s="629" t="s">
        <v>370</v>
      </c>
      <c r="D139" s="629" t="s">
        <v>1010</v>
      </c>
      <c r="E139" s="631">
        <f>'dod3'!E139-'dod3 до МВК'!E139</f>
        <v>0</v>
      </c>
      <c r="F139" s="631">
        <f>'dod3'!F139-'dod3 до МВК'!F139</f>
        <v>0</v>
      </c>
      <c r="G139" s="631">
        <f>'dod3'!G139-'dod3 до МВК'!G139</f>
        <v>0</v>
      </c>
      <c r="H139" s="631">
        <f>'dod3'!H139-'dod3 до МВК'!H139</f>
        <v>0</v>
      </c>
      <c r="I139" s="631">
        <f>'dod3'!I139-'dod3 до МВК'!I139</f>
        <v>0</v>
      </c>
      <c r="J139" s="631">
        <f>'dod3'!J139-'dod3 до МВК'!J139</f>
        <v>0</v>
      </c>
      <c r="K139" s="631">
        <f>'dod3'!K139-'dod3 до МВК'!K139</f>
        <v>0</v>
      </c>
      <c r="L139" s="631">
        <f>'dod3'!L139-'dod3 до МВК'!L139</f>
        <v>0</v>
      </c>
      <c r="M139" s="631">
        <f>'dod3'!M139-'dod3 до МВК'!M139</f>
        <v>0</v>
      </c>
      <c r="N139" s="631">
        <f>'dod3'!N139-'dod3 до МВК'!N139</f>
        <v>0</v>
      </c>
      <c r="O139" s="631">
        <f>'dod3'!O139-'dod3 до МВК'!O139</f>
        <v>0</v>
      </c>
      <c r="P139" s="631">
        <f>'dod3'!P139-'dod3 до МВК'!P139</f>
        <v>0</v>
      </c>
    </row>
    <row r="140" spans="1:16" ht="91.5" x14ac:dyDescent="0.2">
      <c r="A140" s="621" t="s">
        <v>116</v>
      </c>
      <c r="B140" s="621" t="s">
        <v>368</v>
      </c>
      <c r="C140" s="621"/>
      <c r="D140" s="621" t="s">
        <v>81</v>
      </c>
      <c r="E140" s="631">
        <f>'dod3'!E140-'dod3 до МВК'!E140</f>
        <v>0</v>
      </c>
      <c r="F140" s="631">
        <f>'dod3'!F140-'dod3 до МВК'!F140</f>
        <v>0</v>
      </c>
      <c r="G140" s="631">
        <f>'dod3'!G140-'dod3 до МВК'!G140</f>
        <v>0</v>
      </c>
      <c r="H140" s="631">
        <f>'dod3'!H140-'dod3 до МВК'!H140</f>
        <v>0</v>
      </c>
      <c r="I140" s="631">
        <f>'dod3'!I140-'dod3 до МВК'!I140</f>
        <v>0</v>
      </c>
      <c r="J140" s="631">
        <f>'dod3'!J140-'dod3 до МВК'!J140</f>
        <v>0</v>
      </c>
      <c r="K140" s="631">
        <f>'dod3'!K140-'dod3 до МВК'!K140</f>
        <v>0</v>
      </c>
      <c r="L140" s="631">
        <f>'dod3'!L140-'dod3 до МВК'!L140</f>
        <v>0</v>
      </c>
      <c r="M140" s="631">
        <f>'dod3'!M140-'dod3 до МВК'!M140</f>
        <v>0</v>
      </c>
      <c r="N140" s="631">
        <f>'dod3'!N140-'dod3 до МВК'!N140</f>
        <v>0</v>
      </c>
      <c r="O140" s="631">
        <f>'dod3'!O140-'dod3 до МВК'!O140</f>
        <v>0</v>
      </c>
      <c r="P140" s="631">
        <f>'dod3'!P140-'dod3 до МВК'!P140</f>
        <v>0</v>
      </c>
    </row>
    <row r="141" spans="1:16" ht="274.5" x14ac:dyDescent="0.2">
      <c r="A141" s="329" t="s">
        <v>82</v>
      </c>
      <c r="B141" s="329" t="s">
        <v>369</v>
      </c>
      <c r="C141" s="329" t="s">
        <v>370</v>
      </c>
      <c r="D141" s="629" t="s">
        <v>83</v>
      </c>
      <c r="E141" s="631">
        <f>'dod3'!E141-'dod3 до МВК'!E141</f>
        <v>0</v>
      </c>
      <c r="F141" s="631">
        <f>'dod3'!F141-'dod3 до МВК'!F141</f>
        <v>0</v>
      </c>
      <c r="G141" s="631">
        <f>'dod3'!G141-'dod3 до МВК'!G141</f>
        <v>0</v>
      </c>
      <c r="H141" s="631">
        <f>'dod3'!H141-'dod3 до МВК'!H141</f>
        <v>0</v>
      </c>
      <c r="I141" s="631">
        <f>'dod3'!I141-'dod3 до МВК'!I141</f>
        <v>0</v>
      </c>
      <c r="J141" s="631">
        <f>'dod3'!J141-'dod3 до МВК'!J141</f>
        <v>0</v>
      </c>
      <c r="K141" s="631">
        <f>'dod3'!K141-'dod3 до МВК'!K141</f>
        <v>0</v>
      </c>
      <c r="L141" s="631">
        <f>'dod3'!L141-'dod3 до МВК'!L141</f>
        <v>0</v>
      </c>
      <c r="M141" s="631">
        <f>'dod3'!M141-'dod3 до МВК'!M141</f>
        <v>0</v>
      </c>
      <c r="N141" s="631">
        <f>'dod3'!N141-'dod3 до МВК'!N141</f>
        <v>0</v>
      </c>
      <c r="O141" s="631">
        <f>'dod3'!O141-'dod3 до МВК'!O141</f>
        <v>0</v>
      </c>
      <c r="P141" s="631">
        <f>'dod3'!P141-'dod3 до МВК'!P141</f>
        <v>0</v>
      </c>
    </row>
    <row r="142" spans="1:16" ht="91.5" x14ac:dyDescent="0.2">
      <c r="A142" s="329" t="s">
        <v>84</v>
      </c>
      <c r="B142" s="329" t="s">
        <v>371</v>
      </c>
      <c r="C142" s="329" t="s">
        <v>370</v>
      </c>
      <c r="D142" s="629" t="s">
        <v>85</v>
      </c>
      <c r="E142" s="631">
        <f>'dod3'!E142-'dod3 до МВК'!E142</f>
        <v>0</v>
      </c>
      <c r="F142" s="631">
        <f>'dod3'!F142-'dod3 до МВК'!F142</f>
        <v>0</v>
      </c>
      <c r="G142" s="631">
        <f>'dod3'!G142-'dod3 до МВК'!G142</f>
        <v>0</v>
      </c>
      <c r="H142" s="631">
        <f>'dod3'!H142-'dod3 до МВК'!H142</f>
        <v>0</v>
      </c>
      <c r="I142" s="631">
        <f>'dod3'!I142-'dod3 до МВК'!I142</f>
        <v>0</v>
      </c>
      <c r="J142" s="631">
        <f>'dod3'!J142-'dod3 до МВК'!J142</f>
        <v>0</v>
      </c>
      <c r="K142" s="631">
        <f>'dod3'!K142-'dod3 до МВК'!K142</f>
        <v>0</v>
      </c>
      <c r="L142" s="631">
        <f>'dod3'!L142-'dod3 до МВК'!L142</f>
        <v>0</v>
      </c>
      <c r="M142" s="631">
        <f>'dod3'!M142-'dod3 до МВК'!M142</f>
        <v>0</v>
      </c>
      <c r="N142" s="631">
        <f>'dod3'!N142-'dod3 до МВК'!N142</f>
        <v>0</v>
      </c>
      <c r="O142" s="631">
        <f>'dod3'!O142-'dod3 до МВК'!O142</f>
        <v>0</v>
      </c>
      <c r="P142" s="631">
        <f>'dod3'!P142-'dod3 до МВК'!P142</f>
        <v>0</v>
      </c>
    </row>
    <row r="143" spans="1:16" ht="91.5" x14ac:dyDescent="0.2">
      <c r="A143" s="272" t="s">
        <v>704</v>
      </c>
      <c r="B143" s="272" t="s">
        <v>706</v>
      </c>
      <c r="C143" s="272"/>
      <c r="D143" s="621" t="s">
        <v>705</v>
      </c>
      <c r="E143" s="631">
        <f>'dod3'!E143-'dod3 до МВК'!E143</f>
        <v>0</v>
      </c>
      <c r="F143" s="631">
        <f>'dod3'!F143-'dod3 до МВК'!F143</f>
        <v>0</v>
      </c>
      <c r="G143" s="631">
        <f>'dod3'!G143-'dod3 до МВК'!G143</f>
        <v>0</v>
      </c>
      <c r="H143" s="631">
        <f>'dod3'!H143-'dod3 до МВК'!H143</f>
        <v>0</v>
      </c>
      <c r="I143" s="631">
        <f>'dod3'!I143-'dod3 до МВК'!I143</f>
        <v>0</v>
      </c>
      <c r="J143" s="631">
        <f>'dod3'!J143-'dod3 до МВК'!J143</f>
        <v>0</v>
      </c>
      <c r="K143" s="631">
        <f>'dod3'!K143-'dod3 до МВК'!K143</f>
        <v>0</v>
      </c>
      <c r="L143" s="631">
        <f>'dod3'!L143-'dod3 до МВК'!L143</f>
        <v>0</v>
      </c>
      <c r="M143" s="631">
        <f>'dod3'!M143-'dod3 до МВК'!M143</f>
        <v>0</v>
      </c>
      <c r="N143" s="631">
        <f>'dod3'!N143-'dod3 до МВК'!N143</f>
        <v>0</v>
      </c>
      <c r="O143" s="631">
        <f>'dod3'!O143-'dod3 до МВК'!O143</f>
        <v>0</v>
      </c>
      <c r="P143" s="631">
        <f>'dod3'!P143-'dod3 до МВК'!P143</f>
        <v>0</v>
      </c>
    </row>
    <row r="144" spans="1:16" ht="320.25" x14ac:dyDescent="0.2">
      <c r="A144" s="329" t="s">
        <v>710</v>
      </c>
      <c r="B144" s="329" t="s">
        <v>709</v>
      </c>
      <c r="C144" s="329" t="s">
        <v>708</v>
      </c>
      <c r="D144" s="629" t="s">
        <v>707</v>
      </c>
      <c r="E144" s="631">
        <f>'dod3'!E144-'dod3 до МВК'!E144</f>
        <v>0</v>
      </c>
      <c r="F144" s="631">
        <f>'dod3'!F144-'dod3 до МВК'!F144</f>
        <v>0</v>
      </c>
      <c r="G144" s="631">
        <f>'dod3'!G144-'dod3 до МВК'!G144</f>
        <v>0</v>
      </c>
      <c r="H144" s="631">
        <f>'dod3'!H144-'dod3 до МВК'!H144</f>
        <v>0</v>
      </c>
      <c r="I144" s="631">
        <f>'dod3'!I144-'dod3 до МВК'!I144</f>
        <v>0</v>
      </c>
      <c r="J144" s="631">
        <f>'dod3'!J144-'dod3 до МВК'!J144</f>
        <v>0</v>
      </c>
      <c r="K144" s="631">
        <f>'dod3'!K144-'dod3 до МВК'!K144</f>
        <v>0</v>
      </c>
      <c r="L144" s="631">
        <f>'dod3'!L144-'dod3 до МВК'!L144</f>
        <v>0</v>
      </c>
      <c r="M144" s="631">
        <f>'dod3'!M144-'dod3 до МВК'!M144</f>
        <v>0</v>
      </c>
      <c r="N144" s="631">
        <f>'dod3'!N144-'dod3 до МВК'!N144</f>
        <v>0</v>
      </c>
      <c r="O144" s="631">
        <f>'dod3'!O144-'dod3 до МВК'!O144</f>
        <v>0</v>
      </c>
      <c r="P144" s="631">
        <f>'dod3'!P144-'dod3 до МВК'!P144</f>
        <v>0</v>
      </c>
    </row>
    <row r="145" spans="1:18" ht="91.5" x14ac:dyDescent="0.2">
      <c r="A145" s="272" t="s">
        <v>372</v>
      </c>
      <c r="B145" s="272" t="s">
        <v>373</v>
      </c>
      <c r="C145" s="272" t="s">
        <v>324</v>
      </c>
      <c r="D145" s="621" t="s">
        <v>89</v>
      </c>
      <c r="E145" s="631">
        <f>'dod3'!E145-'dod3 до МВК'!E145</f>
        <v>0</v>
      </c>
      <c r="F145" s="631">
        <f>'dod3'!F145-'dod3 до МВК'!F145</f>
        <v>0</v>
      </c>
      <c r="G145" s="631">
        <f>'dod3'!G145-'dod3 до МВК'!G145</f>
        <v>0</v>
      </c>
      <c r="H145" s="631">
        <f>'dod3'!H145-'dod3 до МВК'!H145</f>
        <v>0</v>
      </c>
      <c r="I145" s="631">
        <f>'dod3'!I145-'dod3 до МВК'!I145</f>
        <v>0</v>
      </c>
      <c r="J145" s="631">
        <f>'dod3'!J145-'dod3 до МВК'!J145</f>
        <v>-481306</v>
      </c>
      <c r="K145" s="631">
        <f>'dod3'!K145-'dod3 до МВК'!K145</f>
        <v>0</v>
      </c>
      <c r="L145" s="631">
        <f>'dod3'!L145-'dod3 до МВК'!L145</f>
        <v>0</v>
      </c>
      <c r="M145" s="631">
        <f>'dod3'!M145-'dod3 до МВК'!M145</f>
        <v>0</v>
      </c>
      <c r="N145" s="631">
        <f>'dod3'!N145-'dod3 до МВК'!N145</f>
        <v>-481306</v>
      </c>
      <c r="O145" s="631">
        <f>'dod3'!O145-'dod3 до МВК'!O145</f>
        <v>-481306</v>
      </c>
      <c r="P145" s="631">
        <f>'dod3'!P145-'dod3 до МВК'!P145</f>
        <v>-481306</v>
      </c>
    </row>
    <row r="146" spans="1:18" ht="91.5" hidden="1" x14ac:dyDescent="0.2">
      <c r="A146" s="621" t="s">
        <v>968</v>
      </c>
      <c r="B146" s="620" t="s">
        <v>800</v>
      </c>
      <c r="C146" s="620" t="s">
        <v>103</v>
      </c>
      <c r="D146" s="620" t="s">
        <v>801</v>
      </c>
      <c r="E146" s="631">
        <f>'dod3'!E146-'dod3 до МВК'!E146</f>
        <v>0</v>
      </c>
      <c r="F146" s="179">
        <f>'dod3'!F146-0</f>
        <v>0</v>
      </c>
      <c r="G146" s="179">
        <f>'dod3'!G146-0</f>
        <v>0</v>
      </c>
      <c r="H146" s="179">
        <f>'dod3'!H146-0</f>
        <v>0</v>
      </c>
      <c r="I146" s="179">
        <f>'dod3'!I146-0</f>
        <v>0</v>
      </c>
      <c r="J146" s="179">
        <f>'dod3'!J146-0</f>
        <v>0</v>
      </c>
      <c r="K146" s="179">
        <f>'dod3'!K146-0</f>
        <v>0</v>
      </c>
      <c r="L146" s="179">
        <f>'dod3'!L146-0</f>
        <v>0</v>
      </c>
      <c r="M146" s="179">
        <f>'dod3'!M146-0</f>
        <v>0</v>
      </c>
      <c r="N146" s="179">
        <f>'dod3'!N146-0</f>
        <v>0</v>
      </c>
      <c r="O146" s="179">
        <f>'dod3'!O146-0</f>
        <v>0</v>
      </c>
      <c r="P146" s="179">
        <f>'dod3'!P146-0</f>
        <v>0</v>
      </c>
    </row>
    <row r="147" spans="1:18" ht="180" x14ac:dyDescent="0.2">
      <c r="A147" s="277" t="s">
        <v>312</v>
      </c>
      <c r="B147" s="277"/>
      <c r="C147" s="277"/>
      <c r="D147" s="277" t="s">
        <v>67</v>
      </c>
      <c r="E147" s="243">
        <f>E148</f>
        <v>3254892</v>
      </c>
      <c r="F147" s="243">
        <f t="shared" ref="F147:P147" si="16">F148</f>
        <v>3254892</v>
      </c>
      <c r="G147" s="243">
        <f t="shared" si="16"/>
        <v>0</v>
      </c>
      <c r="H147" s="243">
        <f t="shared" si="16"/>
        <v>0</v>
      </c>
      <c r="I147" s="243">
        <f t="shared" si="16"/>
        <v>0</v>
      </c>
      <c r="J147" s="243">
        <f t="shared" si="16"/>
        <v>-3012000</v>
      </c>
      <c r="K147" s="243">
        <f t="shared" si="16"/>
        <v>0</v>
      </c>
      <c r="L147" s="243">
        <f t="shared" si="16"/>
        <v>0</v>
      </c>
      <c r="M147" s="243">
        <f t="shared" si="16"/>
        <v>0</v>
      </c>
      <c r="N147" s="243">
        <f t="shared" si="16"/>
        <v>-3012000</v>
      </c>
      <c r="O147" s="244">
        <f t="shared" si="16"/>
        <v>-3012000</v>
      </c>
      <c r="P147" s="243">
        <f t="shared" si="16"/>
        <v>242892</v>
      </c>
    </row>
    <row r="148" spans="1:18" ht="180" x14ac:dyDescent="0.2">
      <c r="A148" s="280" t="s">
        <v>313</v>
      </c>
      <c r="B148" s="280"/>
      <c r="C148" s="280"/>
      <c r="D148" s="280" t="s">
        <v>95</v>
      </c>
      <c r="E148" s="244">
        <f>E149+E155+E156+E157+E161+E163+E165+E166+E167+E168+E159</f>
        <v>3254892</v>
      </c>
      <c r="F148" s="243">
        <f>F149+F155+F156+F157+F161+F163+F165+F166+F167+F168+F159</f>
        <v>3254892</v>
      </c>
      <c r="G148" s="244">
        <f>G149+G155+G156+G157+G161+G163+G165+G166+G167+G168</f>
        <v>0</v>
      </c>
      <c r="H148" s="244">
        <f>H149+H155+H156+H157+H161+H163+H165+H166+H167+H168</f>
        <v>0</v>
      </c>
      <c r="I148" s="243">
        <f>I149+I155+I156+I157+I161+I163+I165+I166+I167+I168</f>
        <v>0</v>
      </c>
      <c r="J148" s="244">
        <f t="shared" ref="J148" si="17">K148+N148</f>
        <v>-3012000</v>
      </c>
      <c r="K148" s="243">
        <f>K149+K155+K156+K157+K161+K163+K165+K166+K167+K168+K159</f>
        <v>0</v>
      </c>
      <c r="L148" s="244">
        <f>L149+L155+L156+L157+L161+L163+L165+L166+L167+L168</f>
        <v>0</v>
      </c>
      <c r="M148" s="244">
        <f>M149+M155+M156+M157+M161+M163+M165+M166+M167+M168</f>
        <v>0</v>
      </c>
      <c r="N148" s="243">
        <f>N149+N155+N156+N157+N158+N161+N163+N165+N166+N167+N168+N159</f>
        <v>-3012000</v>
      </c>
      <c r="O148" s="244">
        <f>O149+O155+O156+O157+O158+O161+O163+O165+O166+O167+O168+O159</f>
        <v>-3012000</v>
      </c>
      <c r="P148" s="244">
        <f>E148+J148</f>
        <v>242892</v>
      </c>
      <c r="Q148" s="311"/>
      <c r="R148" s="325"/>
    </row>
    <row r="149" spans="1:18" ht="137.25" x14ac:dyDescent="0.2">
      <c r="A149" s="621" t="s">
        <v>527</v>
      </c>
      <c r="B149" s="621" t="s">
        <v>528</v>
      </c>
      <c r="C149" s="621"/>
      <c r="D149" s="621" t="s">
        <v>531</v>
      </c>
      <c r="E149" s="631">
        <f>'dod3'!E149-'dod3 до МВК'!E149</f>
        <v>0</v>
      </c>
      <c r="F149" s="631">
        <f>'dod3'!F149-'dod3 до МВК'!F149</f>
        <v>0</v>
      </c>
      <c r="G149" s="631">
        <f>'dod3'!G149-'dod3 до МВК'!G149</f>
        <v>0</v>
      </c>
      <c r="H149" s="631">
        <f>'dod3'!H149-'dod3 до МВК'!H149</f>
        <v>0</v>
      </c>
      <c r="I149" s="631">
        <f>'dod3'!I149-'dod3 до МВК'!I149</f>
        <v>0</v>
      </c>
      <c r="J149" s="631">
        <f>'dod3'!J149-'dod3 до МВК'!J149</f>
        <v>-3012000</v>
      </c>
      <c r="K149" s="631">
        <f>'dod3'!K149-'dod3 до МВК'!K149</f>
        <v>0</v>
      </c>
      <c r="L149" s="631">
        <f>'dod3'!L149-'dod3 до МВК'!L149</f>
        <v>0</v>
      </c>
      <c r="M149" s="631">
        <f>'dod3'!M149-'dod3 до МВК'!M149</f>
        <v>0</v>
      </c>
      <c r="N149" s="631">
        <f>'dod3'!N149-'dod3 до МВК'!N149</f>
        <v>-3012000</v>
      </c>
      <c r="O149" s="631">
        <f>'dod3'!O149-'dod3 до МВК'!O149</f>
        <v>-3012000</v>
      </c>
      <c r="P149" s="631">
        <f>'dod3'!P149-'dod3 до МВК'!P149</f>
        <v>-3012000</v>
      </c>
    </row>
    <row r="150" spans="1:18" ht="137.25" x14ac:dyDescent="0.2">
      <c r="A150" s="629" t="s">
        <v>529</v>
      </c>
      <c r="B150" s="629" t="s">
        <v>530</v>
      </c>
      <c r="C150" s="629" t="s">
        <v>533</v>
      </c>
      <c r="D150" s="629" t="s">
        <v>532</v>
      </c>
      <c r="E150" s="631">
        <f>'dod3'!E150-'dod3 до МВК'!E150</f>
        <v>0</v>
      </c>
      <c r="F150" s="631">
        <f>'dod3'!F150-'dod3 до МВК'!F150</f>
        <v>0</v>
      </c>
      <c r="G150" s="631">
        <f>'dod3'!G150-'dod3 до МВК'!G150</f>
        <v>0</v>
      </c>
      <c r="H150" s="631">
        <f>'dod3'!H150-'dod3 до МВК'!H150</f>
        <v>0</v>
      </c>
      <c r="I150" s="631">
        <f>'dod3'!I150-'dod3 до МВК'!I150</f>
        <v>0</v>
      </c>
      <c r="J150" s="631">
        <f>'dod3'!J150-'dod3 до МВК'!J150</f>
        <v>0</v>
      </c>
      <c r="K150" s="631">
        <f>'dod3'!K150-'dod3 до МВК'!K150</f>
        <v>0</v>
      </c>
      <c r="L150" s="631">
        <f>'dod3'!L150-'dod3 до МВК'!L150</f>
        <v>0</v>
      </c>
      <c r="M150" s="631">
        <f>'dod3'!M150-'dod3 до МВК'!M150</f>
        <v>0</v>
      </c>
      <c r="N150" s="631">
        <f>'dod3'!N150-'dod3 до МВК'!N150</f>
        <v>0</v>
      </c>
      <c r="O150" s="631">
        <f>'dod3'!O150-'dod3 до МВК'!O150</f>
        <v>0</v>
      </c>
      <c r="P150" s="631">
        <f>'dod3'!P150-'dod3 до МВК'!P150</f>
        <v>0</v>
      </c>
    </row>
    <row r="151" spans="1:18" ht="183" x14ac:dyDescent="0.2">
      <c r="A151" s="629" t="s">
        <v>975</v>
      </c>
      <c r="B151" s="629" t="s">
        <v>976</v>
      </c>
      <c r="C151" s="629" t="s">
        <v>533</v>
      </c>
      <c r="D151" s="629" t="s">
        <v>977</v>
      </c>
      <c r="E151" s="631">
        <f>'dod3'!E151-'dod3 до МВК'!E151</f>
        <v>0</v>
      </c>
      <c r="F151" s="631">
        <f>'dod3'!F151-'dod3 до МВК'!F151</f>
        <v>0</v>
      </c>
      <c r="G151" s="631">
        <f>'dod3'!G151-'dod3 до МВК'!G151</f>
        <v>0</v>
      </c>
      <c r="H151" s="631">
        <f>'dod3'!H151-'dod3 до МВК'!H151</f>
        <v>0</v>
      </c>
      <c r="I151" s="631">
        <f>'dod3'!I151-'dod3 до МВК'!I151</f>
        <v>0</v>
      </c>
      <c r="J151" s="631">
        <f>'dod3'!J151-'dod3 до МВК'!J151</f>
        <v>0</v>
      </c>
      <c r="K151" s="631">
        <f>'dod3'!K151-'dod3 до МВК'!K151</f>
        <v>0</v>
      </c>
      <c r="L151" s="631">
        <f>'dod3'!L151-'dod3 до МВК'!L151</f>
        <v>0</v>
      </c>
      <c r="M151" s="631">
        <f>'dod3'!M151-'dod3 до МВК'!M151</f>
        <v>0</v>
      </c>
      <c r="N151" s="631">
        <f>'dod3'!N151-'dod3 до МВК'!N151</f>
        <v>0</v>
      </c>
      <c r="O151" s="631">
        <f>'dod3'!O151-'dod3 до МВК'!O151</f>
        <v>0</v>
      </c>
      <c r="P151" s="631">
        <f>'dod3'!P151-'dod3 до МВК'!P151</f>
        <v>0</v>
      </c>
    </row>
    <row r="152" spans="1:18" ht="137.25" x14ac:dyDescent="0.2">
      <c r="A152" s="629" t="s">
        <v>537</v>
      </c>
      <c r="B152" s="629" t="s">
        <v>538</v>
      </c>
      <c r="C152" s="629" t="s">
        <v>533</v>
      </c>
      <c r="D152" s="629" t="s">
        <v>539</v>
      </c>
      <c r="E152" s="631">
        <f>'dod3'!E152-'dod3 до МВК'!E152</f>
        <v>0</v>
      </c>
      <c r="F152" s="631">
        <f>'dod3'!F152-'dod3 до МВК'!F152</f>
        <v>0</v>
      </c>
      <c r="G152" s="631">
        <f>'dod3'!G152-'dod3 до МВК'!G152</f>
        <v>0</v>
      </c>
      <c r="H152" s="631">
        <f>'dod3'!H152-'dod3 до МВК'!H152</f>
        <v>0</v>
      </c>
      <c r="I152" s="631">
        <f>'dod3'!I152-'dod3 до МВК'!I152</f>
        <v>0</v>
      </c>
      <c r="J152" s="631">
        <f>'dod3'!J152-'dod3 до МВК'!J152</f>
        <v>0</v>
      </c>
      <c r="K152" s="631">
        <f>'dod3'!K152-'dod3 до МВК'!K152</f>
        <v>0</v>
      </c>
      <c r="L152" s="631">
        <f>'dod3'!L152-'dod3 до МВК'!L152</f>
        <v>0</v>
      </c>
      <c r="M152" s="631">
        <f>'dod3'!M152-'dod3 до МВК'!M152</f>
        <v>0</v>
      </c>
      <c r="N152" s="631">
        <f>'dod3'!N152-'dod3 до МВК'!N152</f>
        <v>0</v>
      </c>
      <c r="O152" s="631">
        <f>'dod3'!O152-'dod3 до МВК'!O152</f>
        <v>0</v>
      </c>
      <c r="P152" s="631">
        <f>'dod3'!P152-'dod3 до МВК'!P152</f>
        <v>0</v>
      </c>
    </row>
    <row r="153" spans="1:18" ht="137.25" x14ac:dyDescent="0.2">
      <c r="A153" s="629" t="s">
        <v>567</v>
      </c>
      <c r="B153" s="629" t="s">
        <v>568</v>
      </c>
      <c r="C153" s="629" t="s">
        <v>533</v>
      </c>
      <c r="D153" s="629" t="s">
        <v>569</v>
      </c>
      <c r="E153" s="631">
        <f>'dod3'!E153-'dod3 до МВК'!E153</f>
        <v>0</v>
      </c>
      <c r="F153" s="631">
        <f>'dod3'!F153-'dod3 до МВК'!F153</f>
        <v>0</v>
      </c>
      <c r="G153" s="631">
        <f>'dod3'!G153-'dod3 до МВК'!G153</f>
        <v>0</v>
      </c>
      <c r="H153" s="631">
        <f>'dod3'!H153-'dod3 до МВК'!H153</f>
        <v>0</v>
      </c>
      <c r="I153" s="631">
        <f>'dod3'!I153-'dod3 до МВК'!I153</f>
        <v>0</v>
      </c>
      <c r="J153" s="631">
        <f>'dod3'!J153-'dod3 до МВК'!J153</f>
        <v>0</v>
      </c>
      <c r="K153" s="631">
        <f>'dod3'!K153-'dod3 до МВК'!K153</f>
        <v>0</v>
      </c>
      <c r="L153" s="631">
        <f>'dod3'!L153-'dod3 до МВК'!L153</f>
        <v>0</v>
      </c>
      <c r="M153" s="631">
        <f>'dod3'!M153-'dod3 до МВК'!M153</f>
        <v>0</v>
      </c>
      <c r="N153" s="631">
        <f>'dod3'!N153-'dod3 до МВК'!N153</f>
        <v>0</v>
      </c>
      <c r="O153" s="631">
        <f>'dod3'!O153-'dod3 до МВК'!O153</f>
        <v>0</v>
      </c>
      <c r="P153" s="631">
        <f>'dod3'!P153-'dod3 до МВК'!P153</f>
        <v>0</v>
      </c>
    </row>
    <row r="154" spans="1:18" ht="183" x14ac:dyDescent="0.2">
      <c r="A154" s="629" t="s">
        <v>534</v>
      </c>
      <c r="B154" s="629" t="s">
        <v>535</v>
      </c>
      <c r="C154" s="629" t="s">
        <v>533</v>
      </c>
      <c r="D154" s="629" t="s">
        <v>536</v>
      </c>
      <c r="E154" s="631">
        <f>'dod3'!E154-'dod3 до МВК'!E154</f>
        <v>0</v>
      </c>
      <c r="F154" s="631">
        <f>'dod3'!F154-'dod3 до МВК'!F154</f>
        <v>0</v>
      </c>
      <c r="G154" s="631">
        <f>'dod3'!G154-'dod3 до МВК'!G154</f>
        <v>0</v>
      </c>
      <c r="H154" s="631">
        <f>'dod3'!H154-'dod3 до МВК'!H154</f>
        <v>0</v>
      </c>
      <c r="I154" s="631">
        <f>'dod3'!I154-'dod3 до МВК'!I154</f>
        <v>0</v>
      </c>
      <c r="J154" s="631">
        <f>'dod3'!J154-'dod3 до МВК'!J154</f>
        <v>-3012000</v>
      </c>
      <c r="K154" s="631">
        <f>'dod3'!K154-'dod3 до МВК'!K154</f>
        <v>0</v>
      </c>
      <c r="L154" s="631">
        <f>'dod3'!L154-'dod3 до МВК'!L154</f>
        <v>0</v>
      </c>
      <c r="M154" s="631">
        <f>'dod3'!M154-'dod3 до МВК'!M154</f>
        <v>0</v>
      </c>
      <c r="N154" s="631">
        <f>'dod3'!N154-'dod3 до МВК'!N154</f>
        <v>-3012000</v>
      </c>
      <c r="O154" s="631">
        <f>'dod3'!O154-'dod3 до МВК'!O154</f>
        <v>-3012000</v>
      </c>
      <c r="P154" s="631">
        <f>'dod3'!P154-'dod3 до МВК'!P154</f>
        <v>-3012000</v>
      </c>
    </row>
    <row r="155" spans="1:18" ht="228.75" x14ac:dyDescent="0.2">
      <c r="A155" s="621" t="s">
        <v>561</v>
      </c>
      <c r="B155" s="621" t="s">
        <v>562</v>
      </c>
      <c r="C155" s="621" t="s">
        <v>533</v>
      </c>
      <c r="D155" s="621" t="s">
        <v>563</v>
      </c>
      <c r="E155" s="631">
        <f>'dod3'!E155-'dod3 до МВК'!E155</f>
        <v>3012000</v>
      </c>
      <c r="F155" s="631">
        <f>'dod3'!F155-'dod3 до МВК'!F155</f>
        <v>3012000</v>
      </c>
      <c r="G155" s="631">
        <f>'dod3'!G155-'dod3 до МВК'!G155</f>
        <v>0</v>
      </c>
      <c r="H155" s="631">
        <f>'dod3'!H155-'dod3 до МВК'!H155</f>
        <v>0</v>
      </c>
      <c r="I155" s="631">
        <f>'dod3'!I155-'dod3 до МВК'!I155</f>
        <v>0</v>
      </c>
      <c r="J155" s="631">
        <f>'dod3'!J155-'dod3 до МВК'!J155</f>
        <v>0</v>
      </c>
      <c r="K155" s="631">
        <f>'dod3'!K155-'dod3 до МВК'!K155</f>
        <v>0</v>
      </c>
      <c r="L155" s="631">
        <f>'dod3'!L155-'dod3 до МВК'!L155</f>
        <v>0</v>
      </c>
      <c r="M155" s="631">
        <f>'dod3'!M155-'dod3 до МВК'!M155</f>
        <v>0</v>
      </c>
      <c r="N155" s="631">
        <f>'dod3'!N155-'dod3 до МВК'!N155</f>
        <v>0</v>
      </c>
      <c r="O155" s="631">
        <f>'dod3'!O155-'dod3 до МВК'!O155</f>
        <v>0</v>
      </c>
      <c r="P155" s="631">
        <f>'dod3'!P155-'dod3 до МВК'!P155</f>
        <v>3012000</v>
      </c>
    </row>
    <row r="156" spans="1:18" ht="91.5" x14ac:dyDescent="0.2">
      <c r="A156" s="621" t="s">
        <v>540</v>
      </c>
      <c r="B156" s="621" t="s">
        <v>541</v>
      </c>
      <c r="C156" s="621" t="s">
        <v>533</v>
      </c>
      <c r="D156" s="621" t="s">
        <v>542</v>
      </c>
      <c r="E156" s="631">
        <f>'dod3'!E156-'dod3 до МВК'!E156</f>
        <v>0</v>
      </c>
      <c r="F156" s="631">
        <f>'dod3'!F156-'dod3 до МВК'!F156</f>
        <v>0</v>
      </c>
      <c r="G156" s="631">
        <f>'dod3'!G156-'dod3 до МВК'!G156</f>
        <v>0</v>
      </c>
      <c r="H156" s="631">
        <f>'dod3'!H156-'dod3 до МВК'!H156</f>
        <v>0</v>
      </c>
      <c r="I156" s="631">
        <f>'dod3'!I156-'dod3 до МВК'!I156</f>
        <v>0</v>
      </c>
      <c r="J156" s="631">
        <f>'dod3'!J156-'dod3 до МВК'!J156</f>
        <v>0</v>
      </c>
      <c r="K156" s="631">
        <f>'dod3'!K156-'dod3 до МВК'!K156</f>
        <v>0</v>
      </c>
      <c r="L156" s="631">
        <f>'dod3'!L156-'dod3 до МВК'!L156</f>
        <v>0</v>
      </c>
      <c r="M156" s="631">
        <f>'dod3'!M156-'dod3 до МВК'!M156</f>
        <v>0</v>
      </c>
      <c r="N156" s="631">
        <f>'dod3'!N156-'dod3 до МВК'!N156</f>
        <v>0</v>
      </c>
      <c r="O156" s="631">
        <f>'dod3'!O156-'dod3 до МВК'!O156</f>
        <v>0</v>
      </c>
      <c r="P156" s="631">
        <f>'dod3'!P156-'dod3 до МВК'!P156</f>
        <v>0</v>
      </c>
    </row>
    <row r="157" spans="1:18" ht="92.25" x14ac:dyDescent="0.2">
      <c r="A157" s="621" t="s">
        <v>571</v>
      </c>
      <c r="B157" s="621" t="s">
        <v>572</v>
      </c>
      <c r="C157" s="621" t="s">
        <v>570</v>
      </c>
      <c r="D157" s="621" t="s">
        <v>573</v>
      </c>
      <c r="E157" s="631">
        <f>'dod3'!E157-'dod3 до МВК'!E157</f>
        <v>0</v>
      </c>
      <c r="F157" s="631">
        <f>'dod3'!F157-'dod3 до МВК'!F157</f>
        <v>0</v>
      </c>
      <c r="G157" s="631">
        <f>'dod3'!G157-'dod3 до МВК'!G157</f>
        <v>0</v>
      </c>
      <c r="H157" s="631">
        <f>'dod3'!H157-'dod3 до МВК'!H157</f>
        <v>0</v>
      </c>
      <c r="I157" s="631">
        <f>'dod3'!I157-'dod3 до МВК'!I157</f>
        <v>0</v>
      </c>
      <c r="J157" s="631">
        <f>'dod3'!J157-'dod3 до МВК'!J157</f>
        <v>0</v>
      </c>
      <c r="K157" s="631">
        <f>'dod3'!K157-'dod3 до МВК'!K157</f>
        <v>0</v>
      </c>
      <c r="L157" s="631">
        <f>'dod3'!L157-'dod3 до МВК'!L157</f>
        <v>0</v>
      </c>
      <c r="M157" s="631">
        <f>'dod3'!M157-'dod3 до МВК'!M157</f>
        <v>0</v>
      </c>
      <c r="N157" s="631">
        <f>'dod3'!N157-'dod3 до МВК'!N157</f>
        <v>0</v>
      </c>
      <c r="O157" s="631">
        <f>'dod3'!O157-'dod3 до МВК'!O157</f>
        <v>0</v>
      </c>
      <c r="P157" s="631">
        <f>'dod3'!P157-'dod3 до МВК'!P157</f>
        <v>0</v>
      </c>
    </row>
    <row r="158" spans="1:18" ht="183" x14ac:dyDescent="0.2">
      <c r="A158" s="621" t="s">
        <v>722</v>
      </c>
      <c r="B158" s="621" t="s">
        <v>609</v>
      </c>
      <c r="C158" s="621" t="s">
        <v>570</v>
      </c>
      <c r="D158" s="621" t="s">
        <v>607</v>
      </c>
      <c r="E158" s="631">
        <f>'dod3'!E158-'dod3 до МВК'!E158</f>
        <v>0</v>
      </c>
      <c r="F158" s="631">
        <f>'dod3'!F158-'dod3 до МВК'!F158</f>
        <v>0</v>
      </c>
      <c r="G158" s="631">
        <f>'dod3'!G158-'dod3 до МВК'!G158</f>
        <v>0</v>
      </c>
      <c r="H158" s="631">
        <f>'dod3'!H158-'dod3 до МВК'!H158</f>
        <v>0</v>
      </c>
      <c r="I158" s="631">
        <f>'dod3'!I158-'dod3 до МВК'!I158</f>
        <v>0</v>
      </c>
      <c r="J158" s="631">
        <f>'dod3'!J158-'dod3 до МВК'!J158</f>
        <v>0</v>
      </c>
      <c r="K158" s="631">
        <f>'dod3'!K158-'dod3 до МВК'!K158</f>
        <v>0</v>
      </c>
      <c r="L158" s="631">
        <f>'dod3'!L158-'dod3 до МВК'!L158</f>
        <v>0</v>
      </c>
      <c r="M158" s="631">
        <f>'dod3'!M158-'dod3 до МВК'!M158</f>
        <v>0</v>
      </c>
      <c r="N158" s="631">
        <f>'dod3'!N158-'dod3 до МВК'!N158</f>
        <v>0</v>
      </c>
      <c r="O158" s="631">
        <f>'dod3'!O158-'dod3 до МВК'!O158</f>
        <v>0</v>
      </c>
      <c r="P158" s="631">
        <f>'dod3'!P158-'dod3 до МВК'!P158</f>
        <v>0</v>
      </c>
    </row>
    <row r="159" spans="1:18" ht="91.5" hidden="1" x14ac:dyDescent="0.2">
      <c r="A159" s="621" t="s">
        <v>979</v>
      </c>
      <c r="B159" s="621" t="s">
        <v>980</v>
      </c>
      <c r="C159" s="621"/>
      <c r="D159" s="621" t="s">
        <v>978</v>
      </c>
      <c r="E159" s="631">
        <f>'dod3'!E159-'dod3 до МВК'!E159</f>
        <v>0</v>
      </c>
      <c r="F159" s="631">
        <f>'dod3'!F159-'dod3 до МВК'!F159</f>
        <v>0</v>
      </c>
      <c r="G159" s="631">
        <f>'dod3'!G159-'dod3 до МВК'!G159</f>
        <v>0</v>
      </c>
      <c r="H159" s="631">
        <f>'dod3'!H159-'dod3 до МВК'!H159</f>
        <v>0</v>
      </c>
      <c r="I159" s="631">
        <f>'dod3'!I159-'dod3 до МВК'!I159</f>
        <v>0</v>
      </c>
      <c r="J159" s="631">
        <f>'dod3'!J159-'dod3 до МВК'!J159</f>
        <v>0</v>
      </c>
      <c r="K159" s="631">
        <f>'dod3'!K159-'dod3 до МВК'!K159</f>
        <v>0</v>
      </c>
      <c r="L159" s="631">
        <f>'dod3'!L159-'dod3 до МВК'!L159</f>
        <v>0</v>
      </c>
      <c r="M159" s="631">
        <f>'dod3'!M159-'dod3 до МВК'!M159</f>
        <v>0</v>
      </c>
      <c r="N159" s="631">
        <f>'dod3'!N159-'dod3 до МВК'!N159</f>
        <v>0</v>
      </c>
      <c r="O159" s="631">
        <f>'dod3'!O159-'dod3 до МВК'!O159</f>
        <v>0</v>
      </c>
      <c r="P159" s="631">
        <f>'dod3'!P159-'dod3 до МВК'!P159</f>
        <v>0</v>
      </c>
    </row>
    <row r="160" spans="1:18" ht="186" hidden="1" customHeight="1" x14ac:dyDescent="0.2">
      <c r="A160" s="621" t="s">
        <v>981</v>
      </c>
      <c r="B160" s="621" t="s">
        <v>983</v>
      </c>
      <c r="C160" s="621" t="s">
        <v>324</v>
      </c>
      <c r="D160" s="621" t="s">
        <v>982</v>
      </c>
      <c r="E160" s="631">
        <f>'dod3'!E160-'dod3 до МВК'!E160</f>
        <v>0</v>
      </c>
      <c r="F160" s="631">
        <f>'dod3'!F160-'dod3 до МВК'!F160</f>
        <v>0</v>
      </c>
      <c r="G160" s="631">
        <f>'dod3'!G160-'dod3 до МВК'!G160</f>
        <v>0</v>
      </c>
      <c r="H160" s="631">
        <f>'dod3'!H160-'dod3 до МВК'!H160</f>
        <v>0</v>
      </c>
      <c r="I160" s="631">
        <f>'dod3'!I160-'dod3 до МВК'!I160</f>
        <v>0</v>
      </c>
      <c r="J160" s="631">
        <f>'dod3'!J160-'dod3 до МВК'!J160</f>
        <v>0</v>
      </c>
      <c r="K160" s="631">
        <f>'dod3'!K160-'dod3 до МВК'!K160</f>
        <v>0</v>
      </c>
      <c r="L160" s="631">
        <f>'dod3'!L160-'dod3 до МВК'!L160</f>
        <v>0</v>
      </c>
      <c r="M160" s="631">
        <f>'dod3'!M160-'dod3 до МВК'!M160</f>
        <v>0</v>
      </c>
      <c r="N160" s="631">
        <f>'dod3'!N160-'dod3 до МВК'!N160</f>
        <v>0</v>
      </c>
      <c r="O160" s="631">
        <f>'dod3'!O160-'dod3 до МВК'!O160</f>
        <v>0</v>
      </c>
      <c r="P160" s="631">
        <f>'dod3'!P160-'dod3 до МВК'!P160</f>
        <v>0</v>
      </c>
    </row>
    <row r="161" spans="1:18" ht="137.25" x14ac:dyDescent="0.2">
      <c r="A161" s="621" t="s">
        <v>544</v>
      </c>
      <c r="B161" s="621" t="s">
        <v>545</v>
      </c>
      <c r="C161" s="621"/>
      <c r="D161" s="621" t="s">
        <v>547</v>
      </c>
      <c r="E161" s="631">
        <f>'dod3'!E161-'dod3 до МВК'!E161</f>
        <v>242892</v>
      </c>
      <c r="F161" s="631">
        <f>'dod3'!F161-'dod3 до МВК'!F161</f>
        <v>242892</v>
      </c>
      <c r="G161" s="631">
        <f>'dod3'!G161-'dod3 до МВК'!G161</f>
        <v>0</v>
      </c>
      <c r="H161" s="631">
        <f>'dod3'!H161-'dod3 до МВК'!H161</f>
        <v>0</v>
      </c>
      <c r="I161" s="631">
        <f>'dod3'!I161-'dod3 до МВК'!I161</f>
        <v>0</v>
      </c>
      <c r="J161" s="631">
        <f>'dod3'!J161-'dod3 до МВК'!J161</f>
        <v>0</v>
      </c>
      <c r="K161" s="631">
        <f>'dod3'!K161-'dod3 до МВК'!K161</f>
        <v>0</v>
      </c>
      <c r="L161" s="631">
        <f>'dod3'!L161-'dod3 до МВК'!L161</f>
        <v>0</v>
      </c>
      <c r="M161" s="631">
        <f>'dod3'!M161-'dod3 до МВК'!M161</f>
        <v>0</v>
      </c>
      <c r="N161" s="631">
        <f>'dod3'!N161-'dod3 до МВК'!N161</f>
        <v>0</v>
      </c>
      <c r="O161" s="631">
        <f>'dod3'!O161-'dod3 до МВК'!O161</f>
        <v>0</v>
      </c>
      <c r="P161" s="631">
        <f>'dod3'!P161-'dod3 до МВК'!P161</f>
        <v>242892</v>
      </c>
    </row>
    <row r="162" spans="1:18" ht="91.5" x14ac:dyDescent="0.2">
      <c r="A162" s="629" t="s">
        <v>543</v>
      </c>
      <c r="B162" s="629" t="s">
        <v>546</v>
      </c>
      <c r="C162" s="629" t="s">
        <v>549</v>
      </c>
      <c r="D162" s="629" t="s">
        <v>548</v>
      </c>
      <c r="E162" s="631">
        <f>'dod3'!E162-'dod3 до МВК'!E162</f>
        <v>242892</v>
      </c>
      <c r="F162" s="631">
        <f>'dod3'!F162-'dod3 до МВК'!F162</f>
        <v>242892</v>
      </c>
      <c r="G162" s="631">
        <f>'dod3'!G162-'dod3 до МВК'!G162</f>
        <v>0</v>
      </c>
      <c r="H162" s="631">
        <f>'dod3'!H162-'dod3 до МВК'!H162</f>
        <v>0</v>
      </c>
      <c r="I162" s="631">
        <f>'dod3'!I162-'dod3 до МВК'!I162</f>
        <v>0</v>
      </c>
      <c r="J162" s="631">
        <f>'dod3'!J162-'dod3 до МВК'!J162</f>
        <v>0</v>
      </c>
      <c r="K162" s="631">
        <f>'dod3'!K162-'dod3 до МВК'!K162</f>
        <v>0</v>
      </c>
      <c r="L162" s="631">
        <f>'dod3'!L162-'dod3 до МВК'!L162</f>
        <v>0</v>
      </c>
      <c r="M162" s="631">
        <f>'dod3'!M162-'dod3 до МВК'!M162</f>
        <v>0</v>
      </c>
      <c r="N162" s="631">
        <f>'dod3'!N162-'dod3 до МВК'!N162</f>
        <v>0</v>
      </c>
      <c r="O162" s="631">
        <f>'dod3'!O162-'dod3 до МВК'!O162</f>
        <v>0</v>
      </c>
      <c r="P162" s="631">
        <f>'dod3'!P162-'dod3 до МВК'!P162</f>
        <v>242892</v>
      </c>
    </row>
    <row r="163" spans="1:18" ht="137.25" x14ac:dyDescent="0.2">
      <c r="A163" s="621" t="s">
        <v>550</v>
      </c>
      <c r="B163" s="621" t="s">
        <v>551</v>
      </c>
      <c r="C163" s="621"/>
      <c r="D163" s="621" t="s">
        <v>552</v>
      </c>
      <c r="E163" s="631">
        <f>'dod3'!E163-'dod3 до МВК'!E163</f>
        <v>0</v>
      </c>
      <c r="F163" s="631">
        <f>'dod3'!F163-'dod3 до МВК'!F163</f>
        <v>0</v>
      </c>
      <c r="G163" s="631">
        <f>'dod3'!G163-'dod3 до МВК'!G163</f>
        <v>0</v>
      </c>
      <c r="H163" s="631">
        <f>'dod3'!H163-'dod3 до МВК'!H163</f>
        <v>0</v>
      </c>
      <c r="I163" s="631">
        <f>'dod3'!I163-'dod3 до МВК'!I163</f>
        <v>0</v>
      </c>
      <c r="J163" s="631">
        <f>'dod3'!J163-'dod3 до МВК'!J163</f>
        <v>0</v>
      </c>
      <c r="K163" s="631">
        <f>'dod3'!K163-'dod3 до МВК'!K163</f>
        <v>0</v>
      </c>
      <c r="L163" s="631">
        <f>'dod3'!L163-'dod3 до МВК'!L163</f>
        <v>0</v>
      </c>
      <c r="M163" s="631">
        <f>'dod3'!M163-'dod3 до МВК'!M163</f>
        <v>0</v>
      </c>
      <c r="N163" s="631">
        <f>'dod3'!N163-'dod3 до МВК'!N163</f>
        <v>0</v>
      </c>
      <c r="O163" s="631">
        <f>'dod3'!O163-'dod3 до МВК'!O163</f>
        <v>0</v>
      </c>
      <c r="P163" s="631">
        <f>'dod3'!P163-'dod3 до МВК'!P163</f>
        <v>0</v>
      </c>
    </row>
    <row r="164" spans="1:18" ht="228.75" x14ac:dyDescent="0.2">
      <c r="A164" s="629" t="s">
        <v>553</v>
      </c>
      <c r="B164" s="629" t="s">
        <v>554</v>
      </c>
      <c r="C164" s="629" t="s">
        <v>556</v>
      </c>
      <c r="D164" s="629" t="s">
        <v>555</v>
      </c>
      <c r="E164" s="631">
        <f>'dod3'!E164-'dod3 до МВК'!E164</f>
        <v>0</v>
      </c>
      <c r="F164" s="631">
        <f>'dod3'!F164-'dod3 до МВК'!F164</f>
        <v>0</v>
      </c>
      <c r="G164" s="631">
        <f>'dod3'!G164-'dod3 до МВК'!G164</f>
        <v>0</v>
      </c>
      <c r="H164" s="631">
        <f>'dod3'!H164-'dod3 до МВК'!H164</f>
        <v>0</v>
      </c>
      <c r="I164" s="631">
        <f>'dod3'!I164-'dod3 до МВК'!I164</f>
        <v>0</v>
      </c>
      <c r="J164" s="631">
        <f>'dod3'!J164-'dod3 до МВК'!J164</f>
        <v>0</v>
      </c>
      <c r="K164" s="631">
        <f>'dod3'!K164-'dod3 до МВК'!K164</f>
        <v>0</v>
      </c>
      <c r="L164" s="631">
        <f>'dod3'!L164-'dod3 до МВК'!L164</f>
        <v>0</v>
      </c>
      <c r="M164" s="631">
        <f>'dod3'!M164-'dod3 до МВК'!M164</f>
        <v>0</v>
      </c>
      <c r="N164" s="631">
        <f>'dod3'!N164-'dod3 до МВК'!N164</f>
        <v>0</v>
      </c>
      <c r="O164" s="631">
        <f>'dod3'!O164-'dod3 до МВК'!O164</f>
        <v>0</v>
      </c>
      <c r="P164" s="631">
        <f>'dod3'!P164-'dod3 до МВК'!P164</f>
        <v>0</v>
      </c>
    </row>
    <row r="165" spans="1:18" ht="46.5" x14ac:dyDescent="0.2">
      <c r="A165" s="621" t="s">
        <v>557</v>
      </c>
      <c r="B165" s="621" t="s">
        <v>403</v>
      </c>
      <c r="C165" s="621" t="s">
        <v>404</v>
      </c>
      <c r="D165" s="621" t="s">
        <v>99</v>
      </c>
      <c r="E165" s="631">
        <f>'dod3'!E165-'dod3 до МВК'!E165</f>
        <v>0</v>
      </c>
      <c r="F165" s="631">
        <f>'dod3'!F165-'dod3 до МВК'!F165</f>
        <v>0</v>
      </c>
      <c r="G165" s="631">
        <f>'dod3'!G165-'dod3 до МВК'!G165</f>
        <v>0</v>
      </c>
      <c r="H165" s="631">
        <f>'dod3'!H165-'dod3 до МВК'!H165</f>
        <v>0</v>
      </c>
      <c r="I165" s="631">
        <f>'dod3'!I165-'dod3 до МВК'!I165</f>
        <v>0</v>
      </c>
      <c r="J165" s="631">
        <f>'dod3'!J165-'dod3 до МВК'!J165</f>
        <v>0</v>
      </c>
      <c r="K165" s="631">
        <f>'dod3'!K165-'dod3 до МВК'!K165</f>
        <v>0</v>
      </c>
      <c r="L165" s="631">
        <f>'dod3'!L165-'dod3 до МВК'!L165</f>
        <v>0</v>
      </c>
      <c r="M165" s="631">
        <f>'dod3'!M165-'dod3 до МВК'!M165</f>
        <v>0</v>
      </c>
      <c r="N165" s="631">
        <f>'dod3'!N165-'dod3 до МВК'!N165</f>
        <v>0</v>
      </c>
      <c r="O165" s="631">
        <f>'dod3'!O165-'dod3 до МВК'!O165</f>
        <v>0</v>
      </c>
      <c r="P165" s="631">
        <f>'dod3'!P165-'dod3 до МВК'!P165</f>
        <v>0</v>
      </c>
    </row>
    <row r="166" spans="1:18" ht="91.5" x14ac:dyDescent="0.2">
      <c r="A166" s="621" t="s">
        <v>575</v>
      </c>
      <c r="B166" s="621" t="s">
        <v>373</v>
      </c>
      <c r="C166" s="621" t="s">
        <v>324</v>
      </c>
      <c r="D166" s="621" t="s">
        <v>89</v>
      </c>
      <c r="E166" s="631">
        <f>'dod3'!E166-'dod3 до МВК'!E166</f>
        <v>0</v>
      </c>
      <c r="F166" s="631">
        <f>'dod3'!F166-'dod3 до МВК'!F166</f>
        <v>0</v>
      </c>
      <c r="G166" s="631">
        <f>'dod3'!G166-'dod3 до МВК'!G166</f>
        <v>0</v>
      </c>
      <c r="H166" s="631">
        <f>'dod3'!H166-'dod3 до МВК'!H166</f>
        <v>0</v>
      </c>
      <c r="I166" s="631">
        <f>'dod3'!I166-'dod3 до МВК'!I166</f>
        <v>0</v>
      </c>
      <c r="J166" s="631">
        <f>'dod3'!J166-'dod3 до МВК'!J166</f>
        <v>0</v>
      </c>
      <c r="K166" s="631">
        <f>'dod3'!K166-'dod3 до МВК'!K166</f>
        <v>0</v>
      </c>
      <c r="L166" s="631">
        <f>'dod3'!L166-'dod3 до МВК'!L166</f>
        <v>0</v>
      </c>
      <c r="M166" s="631">
        <f>'dod3'!M166-'dod3 до МВК'!M166</f>
        <v>0</v>
      </c>
      <c r="N166" s="631">
        <f>'dod3'!N166-'dod3 до МВК'!N166</f>
        <v>0</v>
      </c>
      <c r="O166" s="631">
        <f>'dod3'!O166-'dod3 до МВК'!O166</f>
        <v>0</v>
      </c>
      <c r="P166" s="631">
        <f>'dod3'!P166-'dod3 до МВК'!P166</f>
        <v>0</v>
      </c>
    </row>
    <row r="167" spans="1:18" ht="183" x14ac:dyDescent="0.2">
      <c r="A167" s="621" t="s">
        <v>558</v>
      </c>
      <c r="B167" s="621" t="s">
        <v>559</v>
      </c>
      <c r="C167" s="621" t="s">
        <v>490</v>
      </c>
      <c r="D167" s="621" t="s">
        <v>703</v>
      </c>
      <c r="E167" s="631">
        <f>'dod3'!E167-'dod3 до МВК'!E167</f>
        <v>0</v>
      </c>
      <c r="F167" s="631">
        <f>'dod3'!F167-'dod3 до МВК'!F167</f>
        <v>0</v>
      </c>
      <c r="G167" s="631">
        <f>'dod3'!G167-'dod3 до МВК'!G167</f>
        <v>0</v>
      </c>
      <c r="H167" s="631">
        <f>'dod3'!H167-'dod3 до МВК'!H167</f>
        <v>0</v>
      </c>
      <c r="I167" s="631">
        <f>'dod3'!I167-'dod3 до МВК'!I167</f>
        <v>0</v>
      </c>
      <c r="J167" s="631">
        <f>'dod3'!J167-'dod3 до МВК'!J167</f>
        <v>0</v>
      </c>
      <c r="K167" s="631">
        <f>'dod3'!K167-'dod3 до МВК'!K167</f>
        <v>0</v>
      </c>
      <c r="L167" s="631">
        <f>'dod3'!L167-'dod3 до МВК'!L167</f>
        <v>0</v>
      </c>
      <c r="M167" s="631">
        <f>'dod3'!M167-'dod3 до МВК'!M167</f>
        <v>0</v>
      </c>
      <c r="N167" s="631">
        <f>'dod3'!N167-'dod3 до МВК'!N167</f>
        <v>0</v>
      </c>
      <c r="O167" s="631">
        <f>'dod3'!O167-'dod3 до МВК'!O167</f>
        <v>0</v>
      </c>
      <c r="P167" s="631">
        <f>'dod3'!P167-'dod3 до МВК'!P167</f>
        <v>0</v>
      </c>
    </row>
    <row r="168" spans="1:18" ht="91.5" x14ac:dyDescent="0.2">
      <c r="A168" s="621" t="s">
        <v>488</v>
      </c>
      <c r="B168" s="621" t="s">
        <v>489</v>
      </c>
      <c r="C168" s="621" t="s">
        <v>490</v>
      </c>
      <c r="D168" s="621" t="s">
        <v>487</v>
      </c>
      <c r="E168" s="631">
        <f>'dod3'!E168-'dod3 до МВК'!E168</f>
        <v>0</v>
      </c>
      <c r="F168" s="631">
        <f>'dod3'!F168-'dod3 до МВК'!F168</f>
        <v>0</v>
      </c>
      <c r="G168" s="631">
        <f>'dod3'!G168-'dod3 до МВК'!G168</f>
        <v>0</v>
      </c>
      <c r="H168" s="631">
        <f>'dod3'!H168-'dod3 до МВК'!H168</f>
        <v>0</v>
      </c>
      <c r="I168" s="631">
        <f>'dod3'!I168-'dod3 до МВК'!I168</f>
        <v>0</v>
      </c>
      <c r="J168" s="631">
        <f>'dod3'!J168-'dod3 до МВК'!J168</f>
        <v>0</v>
      </c>
      <c r="K168" s="631">
        <f>'dod3'!K168-'dod3 до МВК'!K168</f>
        <v>0</v>
      </c>
      <c r="L168" s="631">
        <f>'dod3'!L168-'dod3 до МВК'!L168</f>
        <v>0</v>
      </c>
      <c r="M168" s="631">
        <f>'dod3'!M168-'dod3 до МВК'!M168</f>
        <v>0</v>
      </c>
      <c r="N168" s="631">
        <f>'dod3'!N168-'dod3 до МВК'!N168</f>
        <v>0</v>
      </c>
      <c r="O168" s="631">
        <f>'dod3'!O168-'dod3 до МВК'!O168</f>
        <v>0</v>
      </c>
      <c r="P168" s="631">
        <f>'dod3'!P168-'dod3 до МВК'!P168</f>
        <v>0</v>
      </c>
    </row>
    <row r="169" spans="1:18" ht="315" x14ac:dyDescent="0.2">
      <c r="A169" s="277" t="s">
        <v>69</v>
      </c>
      <c r="B169" s="277"/>
      <c r="C169" s="277"/>
      <c r="D169" s="277" t="s">
        <v>933</v>
      </c>
      <c r="E169" s="243">
        <f>E170</f>
        <v>0</v>
      </c>
      <c r="F169" s="243">
        <f t="shared" ref="F169:P169" si="18">F170</f>
        <v>0</v>
      </c>
      <c r="G169" s="243">
        <f t="shared" si="18"/>
        <v>0</v>
      </c>
      <c r="H169" s="243">
        <f t="shared" si="18"/>
        <v>0</v>
      </c>
      <c r="I169" s="243">
        <f t="shared" si="18"/>
        <v>0</v>
      </c>
      <c r="J169" s="243">
        <f t="shared" si="18"/>
        <v>0</v>
      </c>
      <c r="K169" s="243">
        <f t="shared" si="18"/>
        <v>0</v>
      </c>
      <c r="L169" s="243">
        <f t="shared" si="18"/>
        <v>0</v>
      </c>
      <c r="M169" s="243">
        <f t="shared" si="18"/>
        <v>0</v>
      </c>
      <c r="N169" s="243">
        <f t="shared" si="18"/>
        <v>0</v>
      </c>
      <c r="O169" s="244">
        <f>O170</f>
        <v>0</v>
      </c>
      <c r="P169" s="243">
        <f t="shared" si="18"/>
        <v>0</v>
      </c>
    </row>
    <row r="170" spans="1:18" ht="270" x14ac:dyDescent="0.2">
      <c r="A170" s="280" t="s">
        <v>70</v>
      </c>
      <c r="B170" s="280"/>
      <c r="C170" s="280"/>
      <c r="D170" s="280" t="s">
        <v>932</v>
      </c>
      <c r="E170" s="244">
        <f>E171+E174+E175</f>
        <v>0</v>
      </c>
      <c r="F170" s="243">
        <f t="shared" ref="F170:I170" si="19">F171+F174+F175</f>
        <v>0</v>
      </c>
      <c r="G170" s="244">
        <f t="shared" si="19"/>
        <v>0</v>
      </c>
      <c r="H170" s="244">
        <f t="shared" si="19"/>
        <v>0</v>
      </c>
      <c r="I170" s="243">
        <f t="shared" si="19"/>
        <v>0</v>
      </c>
      <c r="J170" s="244">
        <f t="shared" ref="J170" si="20">K170+N170</f>
        <v>0</v>
      </c>
      <c r="K170" s="243">
        <f t="shared" ref="K170:O170" si="21">K171+K174+K175</f>
        <v>0</v>
      </c>
      <c r="L170" s="244">
        <f t="shared" si="21"/>
        <v>0</v>
      </c>
      <c r="M170" s="244">
        <f t="shared" si="21"/>
        <v>0</v>
      </c>
      <c r="N170" s="243">
        <f t="shared" si="21"/>
        <v>0</v>
      </c>
      <c r="O170" s="244">
        <f t="shared" si="21"/>
        <v>0</v>
      </c>
      <c r="P170" s="244">
        <f t="shared" ref="P170" si="22">+J170+E170</f>
        <v>0</v>
      </c>
      <c r="Q170" s="311"/>
      <c r="R170" s="325"/>
    </row>
    <row r="171" spans="1:18" ht="91.5" x14ac:dyDescent="0.2">
      <c r="A171" s="621" t="s">
        <v>599</v>
      </c>
      <c r="B171" s="621" t="s">
        <v>600</v>
      </c>
      <c r="C171" s="621"/>
      <c r="D171" s="621" t="s">
        <v>598</v>
      </c>
      <c r="E171" s="631">
        <f>'dod3'!E171-'dod3 до МВК'!E171</f>
        <v>0</v>
      </c>
      <c r="F171" s="631">
        <f>'dod3'!F171-'dod3 до МВК'!F171</f>
        <v>0</v>
      </c>
      <c r="G171" s="631">
        <f>'dod3'!G171-'dod3 до МВК'!G171</f>
        <v>0</v>
      </c>
      <c r="H171" s="631">
        <f>'dod3'!H171-'dod3 до МВК'!H171</f>
        <v>0</v>
      </c>
      <c r="I171" s="631">
        <f>'dod3'!I171-'dod3 до МВК'!I171</f>
        <v>0</v>
      </c>
      <c r="J171" s="631">
        <f>'dod3'!J171-'dod3 до МВК'!J171</f>
        <v>0</v>
      </c>
      <c r="K171" s="631">
        <f>'dod3'!K171-'dod3 до МВК'!K171</f>
        <v>0</v>
      </c>
      <c r="L171" s="631">
        <f>'dod3'!L171-'dod3 до МВК'!L171</f>
        <v>0</v>
      </c>
      <c r="M171" s="631">
        <f>'dod3'!M171-'dod3 до МВК'!M171</f>
        <v>0</v>
      </c>
      <c r="N171" s="631">
        <f>'dod3'!N171-'dod3 до МВК'!N171</f>
        <v>0</v>
      </c>
      <c r="O171" s="631">
        <f>'dod3'!O171-'dod3 до МВК'!O171</f>
        <v>0</v>
      </c>
      <c r="P171" s="631">
        <f>'dod3'!P171-'dod3 до МВК'!P171</f>
        <v>0</v>
      </c>
    </row>
    <row r="172" spans="1:18" ht="91.5" x14ac:dyDescent="0.2">
      <c r="A172" s="629" t="s">
        <v>602</v>
      </c>
      <c r="B172" s="629" t="s">
        <v>603</v>
      </c>
      <c r="C172" s="629" t="s">
        <v>570</v>
      </c>
      <c r="D172" s="629" t="s">
        <v>601</v>
      </c>
      <c r="E172" s="631">
        <f>'dod3'!E172-'dod3 до МВК'!E172</f>
        <v>0</v>
      </c>
      <c r="F172" s="631">
        <f>'dod3'!F172-'dod3 до МВК'!F172</f>
        <v>0</v>
      </c>
      <c r="G172" s="631">
        <f>'dod3'!G172-'dod3 до МВК'!G172</f>
        <v>0</v>
      </c>
      <c r="H172" s="631">
        <f>'dod3'!H172-'dod3 до МВК'!H172</f>
        <v>0</v>
      </c>
      <c r="I172" s="631">
        <f>'dod3'!I172-'dod3 до МВК'!I172</f>
        <v>0</v>
      </c>
      <c r="J172" s="631">
        <f>'dod3'!J172-'dod3 до МВК'!J172</f>
        <v>0</v>
      </c>
      <c r="K172" s="631">
        <f>'dod3'!K172-'dod3 до МВК'!K172</f>
        <v>0</v>
      </c>
      <c r="L172" s="631">
        <f>'dod3'!L172-'dod3 до МВК'!L172</f>
        <v>0</v>
      </c>
      <c r="M172" s="631">
        <f>'dod3'!M172-'dod3 до МВК'!M172</f>
        <v>0</v>
      </c>
      <c r="N172" s="631">
        <f>'dod3'!N172-'dod3 до МВК'!N172</f>
        <v>0</v>
      </c>
      <c r="O172" s="631">
        <f>'dod3'!O172-'dod3 до МВК'!O172</f>
        <v>0</v>
      </c>
      <c r="P172" s="631">
        <f>'dod3'!P172-'dod3 до МВК'!P172</f>
        <v>0</v>
      </c>
    </row>
    <row r="173" spans="1:18" ht="137.25" x14ac:dyDescent="0.2">
      <c r="A173" s="629" t="s">
        <v>604</v>
      </c>
      <c r="B173" s="629" t="s">
        <v>605</v>
      </c>
      <c r="C173" s="629" t="s">
        <v>570</v>
      </c>
      <c r="D173" s="629" t="s">
        <v>606</v>
      </c>
      <c r="E173" s="631">
        <f>'dod3'!E173-'dod3 до МВК'!E173</f>
        <v>0</v>
      </c>
      <c r="F173" s="631">
        <f>'dod3'!F173-'dod3 до МВК'!F173</f>
        <v>0</v>
      </c>
      <c r="G173" s="631">
        <f>'dod3'!G173-'dod3 до МВК'!G173</f>
        <v>0</v>
      </c>
      <c r="H173" s="631">
        <f>'dod3'!H173-'dod3 до МВК'!H173</f>
        <v>0</v>
      </c>
      <c r="I173" s="631">
        <f>'dod3'!I173-'dod3 до МВК'!I173</f>
        <v>0</v>
      </c>
      <c r="J173" s="631">
        <f>'dod3'!J173-'dod3 до МВК'!J173</f>
        <v>0</v>
      </c>
      <c r="K173" s="631">
        <f>'dod3'!K173-'dod3 до МВК'!K173</f>
        <v>0</v>
      </c>
      <c r="L173" s="631">
        <f>'dod3'!L173-'dod3 до МВК'!L173</f>
        <v>0</v>
      </c>
      <c r="M173" s="631">
        <f>'dod3'!M173-'dod3 до МВК'!M173</f>
        <v>0</v>
      </c>
      <c r="N173" s="631">
        <f>'dod3'!N173-'dod3 до МВК'!N173</f>
        <v>0</v>
      </c>
      <c r="O173" s="631">
        <f>'dod3'!O173-'dod3 до МВК'!O173</f>
        <v>0</v>
      </c>
      <c r="P173" s="631">
        <f>'dod3'!P173-'dod3 до МВК'!P173</f>
        <v>0</v>
      </c>
    </row>
    <row r="174" spans="1:18" ht="183" x14ac:dyDescent="0.2">
      <c r="A174" s="621" t="s">
        <v>608</v>
      </c>
      <c r="B174" s="621" t="s">
        <v>609</v>
      </c>
      <c r="C174" s="621" t="s">
        <v>570</v>
      </c>
      <c r="D174" s="621" t="s">
        <v>607</v>
      </c>
      <c r="E174" s="631">
        <f>'dod3'!E174-'dod3 до МВК'!E174</f>
        <v>0</v>
      </c>
      <c r="F174" s="631">
        <f>'dod3'!F174-'dod3 до МВК'!F174</f>
        <v>0</v>
      </c>
      <c r="G174" s="631">
        <f>'dod3'!G174-'dod3 до МВК'!G174</f>
        <v>0</v>
      </c>
      <c r="H174" s="631">
        <f>'dod3'!H174-'dod3 до МВК'!H174</f>
        <v>0</v>
      </c>
      <c r="I174" s="631">
        <f>'dod3'!I174-'dod3 до МВК'!I174</f>
        <v>0</v>
      </c>
      <c r="J174" s="631">
        <f>'dod3'!J174-'dod3 до МВК'!J174</f>
        <v>0</v>
      </c>
      <c r="K174" s="631">
        <f>'dod3'!K174-'dod3 до МВК'!K174</f>
        <v>0</v>
      </c>
      <c r="L174" s="631">
        <f>'dod3'!L174-'dod3 до МВК'!L174</f>
        <v>0</v>
      </c>
      <c r="M174" s="631">
        <f>'dod3'!M174-'dod3 до МВК'!M174</f>
        <v>0</v>
      </c>
      <c r="N174" s="631">
        <f>'dod3'!N174-'dod3 до МВК'!N174</f>
        <v>0</v>
      </c>
      <c r="O174" s="631">
        <f>'dod3'!O174-'dod3 до МВК'!O174</f>
        <v>0</v>
      </c>
      <c r="P174" s="631">
        <f>'dod3'!P174-'dod3 до МВК'!P174</f>
        <v>0</v>
      </c>
    </row>
    <row r="175" spans="1:18" ht="91.5" x14ac:dyDescent="0.2">
      <c r="A175" s="621" t="s">
        <v>610</v>
      </c>
      <c r="B175" s="621" t="s">
        <v>373</v>
      </c>
      <c r="C175" s="621" t="s">
        <v>324</v>
      </c>
      <c r="D175" s="621" t="s">
        <v>89</v>
      </c>
      <c r="E175" s="631">
        <f>'dod3'!E175-'dod3 до МВК'!E175</f>
        <v>0</v>
      </c>
      <c r="F175" s="631">
        <f>'dod3'!F175-'dod3 до МВК'!F175</f>
        <v>0</v>
      </c>
      <c r="G175" s="631">
        <f>'dod3'!G175-'dod3 до МВК'!G175</f>
        <v>0</v>
      </c>
      <c r="H175" s="631">
        <f>'dod3'!H175-'dod3 до МВК'!H175</f>
        <v>0</v>
      </c>
      <c r="I175" s="631">
        <f>'dod3'!I175-'dod3 до МВК'!I175</f>
        <v>0</v>
      </c>
      <c r="J175" s="631">
        <f>'dod3'!J175-'dod3 до МВК'!J175</f>
        <v>0</v>
      </c>
      <c r="K175" s="631">
        <f>'dod3'!K175-'dod3 до МВК'!K175</f>
        <v>0</v>
      </c>
      <c r="L175" s="631">
        <f>'dod3'!L175-'dod3 до МВК'!L175</f>
        <v>0</v>
      </c>
      <c r="M175" s="631">
        <f>'dod3'!M175-'dod3 до МВК'!M175</f>
        <v>0</v>
      </c>
      <c r="N175" s="631">
        <f>'dod3'!N175-'dod3 до МВК'!N175</f>
        <v>0</v>
      </c>
      <c r="O175" s="631">
        <f>'dod3'!O175-'dod3 до МВК'!O175</f>
        <v>0</v>
      </c>
      <c r="P175" s="631">
        <f>'dod3'!P175-'dod3 до МВК'!P175</f>
        <v>0</v>
      </c>
    </row>
    <row r="176" spans="1:18" ht="270" x14ac:dyDescent="0.2">
      <c r="A176" s="277" t="s">
        <v>314</v>
      </c>
      <c r="B176" s="277"/>
      <c r="C176" s="277"/>
      <c r="D176" s="277" t="s">
        <v>71</v>
      </c>
      <c r="E176" s="243">
        <f>E177</f>
        <v>0</v>
      </c>
      <c r="F176" s="243">
        <f t="shared" ref="F176:P177" si="23">F177</f>
        <v>0</v>
      </c>
      <c r="G176" s="243">
        <f t="shared" si="23"/>
        <v>0</v>
      </c>
      <c r="H176" s="243">
        <f t="shared" si="23"/>
        <v>0</v>
      </c>
      <c r="I176" s="243">
        <f t="shared" si="23"/>
        <v>0</v>
      </c>
      <c r="J176" s="243">
        <f t="shared" si="23"/>
        <v>0</v>
      </c>
      <c r="K176" s="243">
        <f t="shared" si="23"/>
        <v>0</v>
      </c>
      <c r="L176" s="243">
        <f t="shared" si="23"/>
        <v>0</v>
      </c>
      <c r="M176" s="243">
        <f t="shared" si="23"/>
        <v>0</v>
      </c>
      <c r="N176" s="243">
        <f t="shared" si="23"/>
        <v>0</v>
      </c>
      <c r="O176" s="244">
        <f t="shared" si="23"/>
        <v>0</v>
      </c>
      <c r="P176" s="243">
        <f t="shared" si="23"/>
        <v>0</v>
      </c>
    </row>
    <row r="177" spans="1:18" ht="270" x14ac:dyDescent="0.2">
      <c r="A177" s="280" t="s">
        <v>315</v>
      </c>
      <c r="B177" s="280"/>
      <c r="C177" s="280"/>
      <c r="D177" s="280" t="s">
        <v>96</v>
      </c>
      <c r="E177" s="244">
        <f>E178</f>
        <v>0</v>
      </c>
      <c r="F177" s="243">
        <f>E177</f>
        <v>0</v>
      </c>
      <c r="G177" s="244">
        <f t="shared" si="23"/>
        <v>0</v>
      </c>
      <c r="H177" s="244">
        <f t="shared" si="23"/>
        <v>0</v>
      </c>
      <c r="I177" s="243">
        <f t="shared" si="23"/>
        <v>0</v>
      </c>
      <c r="J177" s="244">
        <f>K177+N177</f>
        <v>0</v>
      </c>
      <c r="K177" s="243">
        <f t="shared" si="23"/>
        <v>0</v>
      </c>
      <c r="L177" s="244">
        <f t="shared" si="23"/>
        <v>0</v>
      </c>
      <c r="M177" s="244">
        <f>M178</f>
        <v>0</v>
      </c>
      <c r="N177" s="243">
        <f>N178</f>
        <v>0</v>
      </c>
      <c r="O177" s="244">
        <f>O178</f>
        <v>0</v>
      </c>
      <c r="P177" s="244">
        <f>+J177+E177</f>
        <v>0</v>
      </c>
      <c r="Q177" s="311"/>
      <c r="R177" s="325"/>
    </row>
    <row r="178" spans="1:18" ht="137.25" x14ac:dyDescent="0.2">
      <c r="A178" s="621" t="s">
        <v>580</v>
      </c>
      <c r="B178" s="621" t="s">
        <v>581</v>
      </c>
      <c r="C178" s="621" t="s">
        <v>570</v>
      </c>
      <c r="D178" s="621" t="s">
        <v>582</v>
      </c>
      <c r="E178" s="631">
        <f>'dod3'!E178-'dod3 до МВК'!E178</f>
        <v>0</v>
      </c>
      <c r="F178" s="631">
        <f>'dod3'!F178-'dod3 до МВК'!F178</f>
        <v>0</v>
      </c>
      <c r="G178" s="631">
        <f>'dod3'!G178-'dod3 до МВК'!G178</f>
        <v>0</v>
      </c>
      <c r="H178" s="631">
        <f>'dod3'!H178-'dod3 до МВК'!H178</f>
        <v>0</v>
      </c>
      <c r="I178" s="631">
        <f>'dod3'!I178-'dod3 до МВК'!I178</f>
        <v>0</v>
      </c>
      <c r="J178" s="631">
        <f>'dod3'!J178-'dod3 до МВК'!J178</f>
        <v>0</v>
      </c>
      <c r="K178" s="631">
        <f>'dod3'!K178-'dod3 до МВК'!K178</f>
        <v>0</v>
      </c>
      <c r="L178" s="631">
        <f>'dod3'!L178-'dod3 до МВК'!L178</f>
        <v>0</v>
      </c>
      <c r="M178" s="631">
        <f>'dod3'!M178-'dod3 до МВК'!M178</f>
        <v>0</v>
      </c>
      <c r="N178" s="631">
        <f>'dod3'!N178-'dod3 до МВК'!N178</f>
        <v>0</v>
      </c>
      <c r="O178" s="631">
        <f>'dod3'!O178-'dod3 до МВК'!O178</f>
        <v>0</v>
      </c>
      <c r="P178" s="631">
        <f>'dod3'!P178-'dod3 до МВК'!P178</f>
        <v>0</v>
      </c>
    </row>
    <row r="179" spans="1:18" ht="135" x14ac:dyDescent="0.2">
      <c r="A179" s="277" t="s">
        <v>320</v>
      </c>
      <c r="B179" s="277"/>
      <c r="C179" s="277"/>
      <c r="D179" s="277" t="s">
        <v>764</v>
      </c>
      <c r="E179" s="243">
        <f>E180</f>
        <v>0</v>
      </c>
      <c r="F179" s="243">
        <f t="shared" ref="F179:P179" si="24">F180</f>
        <v>0</v>
      </c>
      <c r="G179" s="243">
        <f t="shared" si="24"/>
        <v>0</v>
      </c>
      <c r="H179" s="243">
        <f t="shared" si="24"/>
        <v>0</v>
      </c>
      <c r="I179" s="243">
        <f t="shared" si="24"/>
        <v>0</v>
      </c>
      <c r="J179" s="243">
        <f t="shared" si="24"/>
        <v>0</v>
      </c>
      <c r="K179" s="243">
        <f t="shared" si="24"/>
        <v>0</v>
      </c>
      <c r="L179" s="243">
        <f t="shared" si="24"/>
        <v>0</v>
      </c>
      <c r="M179" s="243">
        <f t="shared" si="24"/>
        <v>0</v>
      </c>
      <c r="N179" s="243">
        <f t="shared" si="24"/>
        <v>0</v>
      </c>
      <c r="O179" s="244">
        <f t="shared" si="24"/>
        <v>0</v>
      </c>
      <c r="P179" s="243">
        <f t="shared" si="24"/>
        <v>0</v>
      </c>
    </row>
    <row r="180" spans="1:18" ht="135" x14ac:dyDescent="0.2">
      <c r="A180" s="280" t="s">
        <v>321</v>
      </c>
      <c r="B180" s="280"/>
      <c r="C180" s="280"/>
      <c r="D180" s="280" t="s">
        <v>765</v>
      </c>
      <c r="E180" s="244">
        <f>SUM(E181:E184)</f>
        <v>0</v>
      </c>
      <c r="F180" s="243">
        <f t="shared" ref="F180:I180" si="25">SUM(F181:F184)</f>
        <v>0</v>
      </c>
      <c r="G180" s="243">
        <f t="shared" si="25"/>
        <v>0</v>
      </c>
      <c r="H180" s="243">
        <f t="shared" si="25"/>
        <v>0</v>
      </c>
      <c r="I180" s="243">
        <f t="shared" si="25"/>
        <v>0</v>
      </c>
      <c r="J180" s="244">
        <f>K180+N180</f>
        <v>0</v>
      </c>
      <c r="K180" s="243">
        <f>SUM(K181:K184)</f>
        <v>0</v>
      </c>
      <c r="L180" s="244">
        <f t="shared" ref="L180:M180" si="26">SUM(L181:L184)</f>
        <v>0</v>
      </c>
      <c r="M180" s="244">
        <f t="shared" si="26"/>
        <v>0</v>
      </c>
      <c r="N180" s="243">
        <f>SUM(N181:N184)</f>
        <v>0</v>
      </c>
      <c r="O180" s="244">
        <f>SUM(O181:O184)</f>
        <v>0</v>
      </c>
      <c r="P180" s="244">
        <f>E180+J180</f>
        <v>0</v>
      </c>
      <c r="Q180" s="311"/>
      <c r="R180" s="325"/>
    </row>
    <row r="181" spans="1:18" ht="137.25" x14ac:dyDescent="0.2">
      <c r="A181" s="621" t="s">
        <v>755</v>
      </c>
      <c r="B181" s="621" t="s">
        <v>756</v>
      </c>
      <c r="C181" s="621" t="s">
        <v>324</v>
      </c>
      <c r="D181" s="621" t="s">
        <v>502</v>
      </c>
      <c r="E181" s="631">
        <f>'dod3'!E181-'dod3 до МВК'!E181</f>
        <v>0</v>
      </c>
      <c r="F181" s="631">
        <f>'dod3'!F181-'dod3 до МВК'!F181</f>
        <v>0</v>
      </c>
      <c r="G181" s="631">
        <f>'dod3'!G181-'dod3 до МВК'!G181</f>
        <v>0</v>
      </c>
      <c r="H181" s="631">
        <f>'dod3'!H181-'dod3 до МВК'!H181</f>
        <v>0</v>
      </c>
      <c r="I181" s="631">
        <f>'dod3'!I181-'dod3 до МВК'!I181</f>
        <v>0</v>
      </c>
      <c r="J181" s="631">
        <f>'dod3'!J181-'dod3 до МВК'!J181</f>
        <v>0</v>
      </c>
      <c r="K181" s="631">
        <f>'dod3'!K181-'dod3 до МВК'!K181</f>
        <v>0</v>
      </c>
      <c r="L181" s="631">
        <f>'dod3'!L181-'dod3 до МВК'!L181</f>
        <v>0</v>
      </c>
      <c r="M181" s="631">
        <f>'dod3'!M181-'dod3 до МВК'!M181</f>
        <v>0</v>
      </c>
      <c r="N181" s="631">
        <f>'dod3'!N181-'dod3 до МВК'!N181</f>
        <v>0</v>
      </c>
      <c r="O181" s="631">
        <f>'dod3'!O181-'dod3 до МВК'!O181</f>
        <v>0</v>
      </c>
      <c r="P181" s="631">
        <f>'dod3'!P181-'dod3 до МВК'!P181</f>
        <v>0</v>
      </c>
    </row>
    <row r="182" spans="1:18" ht="91.5" x14ac:dyDescent="0.2">
      <c r="A182" s="621" t="s">
        <v>500</v>
      </c>
      <c r="B182" s="621" t="s">
        <v>501</v>
      </c>
      <c r="C182" s="621" t="s">
        <v>499</v>
      </c>
      <c r="D182" s="621" t="s">
        <v>498</v>
      </c>
      <c r="E182" s="631">
        <f>'dod3'!E182-'dod3 до МВК'!E182</f>
        <v>0</v>
      </c>
      <c r="F182" s="631">
        <f>'dod3'!F182-'dod3 до МВК'!F182</f>
        <v>0</v>
      </c>
      <c r="G182" s="631">
        <f>'dod3'!G182-'dod3 до МВК'!G182</f>
        <v>0</v>
      </c>
      <c r="H182" s="631">
        <f>'dod3'!H182-'dod3 до МВК'!H182</f>
        <v>0</v>
      </c>
      <c r="I182" s="631">
        <f>'dod3'!I182-'dod3 до МВК'!I182</f>
        <v>0</v>
      </c>
      <c r="J182" s="631">
        <f>'dod3'!J182-'dod3 до МВК'!J182</f>
        <v>0</v>
      </c>
      <c r="K182" s="631">
        <f>'dod3'!K182-'dod3 до МВК'!K182</f>
        <v>0</v>
      </c>
      <c r="L182" s="631">
        <f>'dod3'!L182-'dod3 до МВК'!L182</f>
        <v>0</v>
      </c>
      <c r="M182" s="631">
        <f>'dod3'!M182-'dod3 до МВК'!M182</f>
        <v>0</v>
      </c>
      <c r="N182" s="631">
        <f>'dod3'!N182-'dod3 до МВК'!N182</f>
        <v>0</v>
      </c>
      <c r="O182" s="631">
        <f>'dod3'!O182-'dod3 до МВК'!O182</f>
        <v>0</v>
      </c>
      <c r="P182" s="631">
        <f>'dod3'!P182-'dod3 до МВК'!P182</f>
        <v>0</v>
      </c>
    </row>
    <row r="183" spans="1:18" ht="137.25" x14ac:dyDescent="0.2">
      <c r="A183" s="621" t="s">
        <v>491</v>
      </c>
      <c r="B183" s="621" t="s">
        <v>493</v>
      </c>
      <c r="C183" s="621" t="s">
        <v>404</v>
      </c>
      <c r="D183" s="621" t="s">
        <v>492</v>
      </c>
      <c r="E183" s="631">
        <f>'dod3'!E183-'dod3 до МВК'!E183</f>
        <v>0</v>
      </c>
      <c r="F183" s="631">
        <f>'dod3'!F183-'dod3 до МВК'!F183</f>
        <v>0</v>
      </c>
      <c r="G183" s="631">
        <f>'dod3'!G183-'dod3 до МВК'!G183</f>
        <v>0</v>
      </c>
      <c r="H183" s="631">
        <f>'dod3'!H183-'dod3 до МВК'!H183</f>
        <v>0</v>
      </c>
      <c r="I183" s="631">
        <f>'dod3'!I183-'dod3 до МВК'!I183</f>
        <v>0</v>
      </c>
      <c r="J183" s="631">
        <f>'dod3'!J183-'dod3 до МВК'!J183</f>
        <v>0</v>
      </c>
      <c r="K183" s="631">
        <f>'dod3'!K183-'dod3 до МВК'!K183</f>
        <v>0</v>
      </c>
      <c r="L183" s="631">
        <f>'dod3'!L183-'dod3 до МВК'!L183</f>
        <v>0</v>
      </c>
      <c r="M183" s="631">
        <f>'dod3'!M183-'dod3 до МВК'!M183</f>
        <v>0</v>
      </c>
      <c r="N183" s="631">
        <f>'dod3'!N183-'dod3 до МВК'!N183</f>
        <v>0</v>
      </c>
      <c r="O183" s="631">
        <f>'dod3'!O183-'dod3 до МВК'!O183</f>
        <v>0</v>
      </c>
      <c r="P183" s="631">
        <f>'dod3'!P183-'dod3 до МВК'!P183</f>
        <v>0</v>
      </c>
    </row>
    <row r="184" spans="1:18" ht="46.5" x14ac:dyDescent="0.2">
      <c r="A184" s="621" t="s">
        <v>495</v>
      </c>
      <c r="B184" s="621" t="s">
        <v>449</v>
      </c>
      <c r="C184" s="621" t="s">
        <v>324</v>
      </c>
      <c r="D184" s="621" t="s">
        <v>447</v>
      </c>
      <c r="E184" s="631">
        <f>'dod3'!E184-'dod3 до МВК'!E184</f>
        <v>0</v>
      </c>
      <c r="F184" s="631">
        <f>'dod3'!F184-'dod3 до МВК'!F184</f>
        <v>0</v>
      </c>
      <c r="G184" s="631">
        <f>'dod3'!G184-'dod3 до МВК'!G184</f>
        <v>0</v>
      </c>
      <c r="H184" s="631">
        <f>'dod3'!H184-'dod3 до МВК'!H184</f>
        <v>0</v>
      </c>
      <c r="I184" s="631">
        <f>'dod3'!I184-'dod3 до МВК'!I184</f>
        <v>0</v>
      </c>
      <c r="J184" s="631">
        <f>'dod3'!J184-'dod3 до МВК'!J184</f>
        <v>0</v>
      </c>
      <c r="K184" s="631">
        <f>'dod3'!K184-'dod3 до МВК'!K184</f>
        <v>0</v>
      </c>
      <c r="L184" s="631">
        <f>'dod3'!L184-'dod3 до МВК'!L184</f>
        <v>0</v>
      </c>
      <c r="M184" s="631">
        <f>'dod3'!M184-'dod3 до МВК'!M184</f>
        <v>0</v>
      </c>
      <c r="N184" s="631">
        <f>'dod3'!N184-'dod3 до МВК'!N184</f>
        <v>0</v>
      </c>
      <c r="O184" s="631">
        <f>'dod3'!O184-'dod3 до МВК'!O184</f>
        <v>0</v>
      </c>
      <c r="P184" s="631">
        <f>'dod3'!P184-'dod3 до МВК'!P184</f>
        <v>0</v>
      </c>
    </row>
    <row r="185" spans="1:18" ht="91.5" x14ac:dyDescent="0.2">
      <c r="A185" s="629" t="s">
        <v>496</v>
      </c>
      <c r="B185" s="629" t="s">
        <v>497</v>
      </c>
      <c r="C185" s="629" t="s">
        <v>324</v>
      </c>
      <c r="D185" s="629" t="s">
        <v>494</v>
      </c>
      <c r="E185" s="631">
        <f>'dod3'!E185-'dod3 до МВК'!E185</f>
        <v>0</v>
      </c>
      <c r="F185" s="631">
        <f>'dod3'!F185-'dod3 до МВК'!F185</f>
        <v>0</v>
      </c>
      <c r="G185" s="631">
        <f>'dod3'!G185-'dod3 до МВК'!G185</f>
        <v>0</v>
      </c>
      <c r="H185" s="631">
        <f>'dod3'!H185-'dod3 до МВК'!H185</f>
        <v>0</v>
      </c>
      <c r="I185" s="631">
        <f>'dod3'!I185-'dod3 до МВК'!I185</f>
        <v>0</v>
      </c>
      <c r="J185" s="631">
        <f>'dod3'!J185-'dod3 до МВК'!J185</f>
        <v>0</v>
      </c>
      <c r="K185" s="631">
        <f>'dod3'!K185-'dod3 до МВК'!K185</f>
        <v>0</v>
      </c>
      <c r="L185" s="631">
        <f>'dod3'!L185-'dod3 до МВК'!L185</f>
        <v>0</v>
      </c>
      <c r="M185" s="631">
        <f>'dod3'!M185-'dod3 до МВК'!M185</f>
        <v>0</v>
      </c>
      <c r="N185" s="631">
        <f>'dod3'!N185-'dod3 до МВК'!N185</f>
        <v>0</v>
      </c>
      <c r="O185" s="631">
        <f>'dod3'!O185-'dod3 до МВК'!O185</f>
        <v>0</v>
      </c>
      <c r="P185" s="631">
        <f>'dod3'!P185-'dod3 до МВК'!P185</f>
        <v>0</v>
      </c>
    </row>
    <row r="186" spans="1:18" ht="180" x14ac:dyDescent="0.2">
      <c r="A186" s="277" t="s">
        <v>318</v>
      </c>
      <c r="B186" s="277"/>
      <c r="C186" s="277"/>
      <c r="D186" s="277" t="s">
        <v>72</v>
      </c>
      <c r="E186" s="243">
        <f>E187</f>
        <v>0</v>
      </c>
      <c r="F186" s="243">
        <f t="shared" ref="F186:P186" si="27">F187</f>
        <v>0</v>
      </c>
      <c r="G186" s="243">
        <f t="shared" si="27"/>
        <v>0</v>
      </c>
      <c r="H186" s="243">
        <f t="shared" si="27"/>
        <v>0</v>
      </c>
      <c r="I186" s="243">
        <f t="shared" si="27"/>
        <v>0</v>
      </c>
      <c r="J186" s="243">
        <f t="shared" si="27"/>
        <v>0</v>
      </c>
      <c r="K186" s="243">
        <f t="shared" si="27"/>
        <v>0</v>
      </c>
      <c r="L186" s="243">
        <f t="shared" si="27"/>
        <v>0</v>
      </c>
      <c r="M186" s="243">
        <f t="shared" si="27"/>
        <v>0</v>
      </c>
      <c r="N186" s="243">
        <f t="shared" si="27"/>
        <v>0</v>
      </c>
      <c r="O186" s="244">
        <f t="shared" si="27"/>
        <v>0</v>
      </c>
      <c r="P186" s="243">
        <f t="shared" si="27"/>
        <v>0</v>
      </c>
    </row>
    <row r="187" spans="1:18" ht="180" x14ac:dyDescent="0.2">
      <c r="A187" s="280" t="s">
        <v>319</v>
      </c>
      <c r="B187" s="280"/>
      <c r="C187" s="280"/>
      <c r="D187" s="280" t="s">
        <v>97</v>
      </c>
      <c r="E187" s="244">
        <v>0</v>
      </c>
      <c r="F187" s="243">
        <f>F191+F192+F188</f>
        <v>0</v>
      </c>
      <c r="G187" s="244">
        <f>G191+G192+G188</f>
        <v>0</v>
      </c>
      <c r="H187" s="244">
        <f>H191+H192+H188</f>
        <v>0</v>
      </c>
      <c r="I187" s="243">
        <f>I191+I192+I188</f>
        <v>0</v>
      </c>
      <c r="J187" s="244">
        <f>K187+N187</f>
        <v>0</v>
      </c>
      <c r="K187" s="243">
        <f>K191+K192+K188</f>
        <v>0</v>
      </c>
      <c r="L187" s="244">
        <f>L191+L192+L188</f>
        <v>0</v>
      </c>
      <c r="M187" s="244">
        <f>M191+M192+M188</f>
        <v>0</v>
      </c>
      <c r="N187" s="243">
        <f>N191+N192+N188</f>
        <v>0</v>
      </c>
      <c r="O187" s="244">
        <f>O191+O192+O188</f>
        <v>0</v>
      </c>
      <c r="P187" s="244">
        <f>E187+J187</f>
        <v>0</v>
      </c>
      <c r="Q187" s="311"/>
      <c r="R187" s="325"/>
    </row>
    <row r="188" spans="1:18" ht="137.25" x14ac:dyDescent="0.2">
      <c r="A188" s="621" t="s">
        <v>583</v>
      </c>
      <c r="B188" s="621" t="s">
        <v>584</v>
      </c>
      <c r="C188" s="621"/>
      <c r="D188" s="621" t="s">
        <v>585</v>
      </c>
      <c r="E188" s="631">
        <f>'dod3'!E188-'dod3 до МВК'!E188</f>
        <v>0</v>
      </c>
      <c r="F188" s="631">
        <f>'dod3'!F188-'dod3 до МВК'!F188</f>
        <v>0</v>
      </c>
      <c r="G188" s="631">
        <f>'dod3'!G188-'dod3 до МВК'!G188</f>
        <v>0</v>
      </c>
      <c r="H188" s="631">
        <f>'dod3'!H188-'dod3 до МВК'!H188</f>
        <v>0</v>
      </c>
      <c r="I188" s="631">
        <f>'dod3'!I188-'dod3 до МВК'!I188</f>
        <v>0</v>
      </c>
      <c r="J188" s="631">
        <f>'dod3'!J188-'dod3 до МВК'!J188</f>
        <v>0</v>
      </c>
      <c r="K188" s="631">
        <f>'dod3'!K188-'dod3 до МВК'!K188</f>
        <v>0</v>
      </c>
      <c r="L188" s="631">
        <f>'dod3'!L188-'dod3 до МВК'!L188</f>
        <v>0</v>
      </c>
      <c r="M188" s="631">
        <f>'dod3'!M188-'dod3 до МВК'!M188</f>
        <v>0</v>
      </c>
      <c r="N188" s="631">
        <f>'dod3'!N188-'dod3 до МВК'!N188</f>
        <v>0</v>
      </c>
      <c r="O188" s="631">
        <f>'dod3'!O188-'dod3 до МВК'!O188</f>
        <v>0</v>
      </c>
      <c r="P188" s="631">
        <f>'dod3'!P188-'dod3 до МВК'!P188</f>
        <v>0</v>
      </c>
    </row>
    <row r="189" spans="1:18" ht="137.25" x14ac:dyDescent="0.2">
      <c r="A189" s="629" t="s">
        <v>586</v>
      </c>
      <c r="B189" s="629" t="s">
        <v>587</v>
      </c>
      <c r="C189" s="629" t="s">
        <v>119</v>
      </c>
      <c r="D189" s="629" t="s">
        <v>120</v>
      </c>
      <c r="E189" s="631">
        <f>'dod3'!E189-'dod3 до МВК'!E189</f>
        <v>0</v>
      </c>
      <c r="F189" s="631">
        <f>'dod3'!F189-'dod3 до МВК'!F189</f>
        <v>0</v>
      </c>
      <c r="G189" s="631">
        <f>'dod3'!G189-'dod3 до МВК'!G189</f>
        <v>0</v>
      </c>
      <c r="H189" s="631">
        <f>'dod3'!H189-'dod3 до МВК'!H189</f>
        <v>0</v>
      </c>
      <c r="I189" s="631">
        <f>'dod3'!I189-'dod3 до МВК'!I189</f>
        <v>0</v>
      </c>
      <c r="J189" s="631">
        <f>'dod3'!J189-'dod3 до МВК'!J189</f>
        <v>0</v>
      </c>
      <c r="K189" s="631">
        <f>'dod3'!K189-'dod3 до МВК'!K189</f>
        <v>0</v>
      </c>
      <c r="L189" s="631">
        <f>'dod3'!L189-'dod3 до МВК'!L189</f>
        <v>0</v>
      </c>
      <c r="M189" s="631">
        <f>'dod3'!M189-'dod3 до МВК'!M189</f>
        <v>0</v>
      </c>
      <c r="N189" s="631">
        <f>'dod3'!N189-'dod3 до МВК'!N189</f>
        <v>0</v>
      </c>
      <c r="O189" s="631">
        <f>'dod3'!O189-'dod3 до МВК'!O189</f>
        <v>0</v>
      </c>
      <c r="P189" s="631">
        <f>'dod3'!P189-'dod3 до МВК'!P189</f>
        <v>0</v>
      </c>
    </row>
    <row r="190" spans="1:18" ht="46.5" x14ac:dyDescent="0.2">
      <c r="A190" s="629" t="s">
        <v>588</v>
      </c>
      <c r="B190" s="629" t="s">
        <v>589</v>
      </c>
      <c r="C190" s="629" t="s">
        <v>121</v>
      </c>
      <c r="D190" s="629" t="s">
        <v>590</v>
      </c>
      <c r="E190" s="631">
        <f>'dod3'!E190-'dod3 до МВК'!E190</f>
        <v>0</v>
      </c>
      <c r="F190" s="631">
        <f>'dod3'!F190-'dod3 до МВК'!F190</f>
        <v>0</v>
      </c>
      <c r="G190" s="631">
        <f>'dod3'!G190-'dod3 до МВК'!G190</f>
        <v>0</v>
      </c>
      <c r="H190" s="631">
        <f>'dod3'!H190-'dod3 до МВК'!H190</f>
        <v>0</v>
      </c>
      <c r="I190" s="631">
        <f>'dod3'!I190-'dod3 до МВК'!I190</f>
        <v>0</v>
      </c>
      <c r="J190" s="631">
        <f>'dod3'!J190-'dod3 до МВК'!J190</f>
        <v>0</v>
      </c>
      <c r="K190" s="631">
        <f>'dod3'!K190-'dod3 до МВК'!K190</f>
        <v>0</v>
      </c>
      <c r="L190" s="631">
        <f>'dod3'!L190-'dod3 до МВК'!L190</f>
        <v>0</v>
      </c>
      <c r="M190" s="631">
        <f>'dod3'!M190-'dod3 до МВК'!M190</f>
        <v>0</v>
      </c>
      <c r="N190" s="631">
        <f>'dod3'!N190-'dod3 до МВК'!N190</f>
        <v>0</v>
      </c>
      <c r="O190" s="631">
        <f>'dod3'!O190-'dod3 до МВК'!O190</f>
        <v>0</v>
      </c>
      <c r="P190" s="631">
        <f>'dod3'!P190-'dod3 до МВК'!P190</f>
        <v>0</v>
      </c>
    </row>
    <row r="191" spans="1:18" ht="91.5" x14ac:dyDescent="0.2">
      <c r="A191" s="621" t="s">
        <v>591</v>
      </c>
      <c r="B191" s="621" t="s">
        <v>592</v>
      </c>
      <c r="C191" s="621" t="s">
        <v>123</v>
      </c>
      <c r="D191" s="621" t="s">
        <v>130</v>
      </c>
      <c r="E191" s="631">
        <f>'dod3'!E191-'dod3 до МВК'!E191</f>
        <v>0</v>
      </c>
      <c r="F191" s="631">
        <f>'dod3'!F191-'dod3 до МВК'!F191</f>
        <v>0</v>
      </c>
      <c r="G191" s="631">
        <f>'dod3'!G191-'dod3 до МВК'!G191</f>
        <v>0</v>
      </c>
      <c r="H191" s="631">
        <f>'dod3'!H191-'dod3 до МВК'!H191</f>
        <v>0</v>
      </c>
      <c r="I191" s="631">
        <f>'dod3'!I191-'dod3 до МВК'!I191</f>
        <v>0</v>
      </c>
      <c r="J191" s="631">
        <f>'dod3'!J191-'dod3 до МВК'!J191</f>
        <v>0</v>
      </c>
      <c r="K191" s="631">
        <f>'dod3'!K191-'dod3 до МВК'!K191</f>
        <v>0</v>
      </c>
      <c r="L191" s="631">
        <f>'dod3'!L191-'dod3 до МВК'!L191</f>
        <v>0</v>
      </c>
      <c r="M191" s="631">
        <f>'dod3'!M191-'dod3 до МВК'!M191</f>
        <v>0</v>
      </c>
      <c r="N191" s="631">
        <f>'dod3'!N191-'dod3 до МВК'!N191</f>
        <v>0</v>
      </c>
      <c r="O191" s="631">
        <f>'dod3'!O191-'dod3 до МВК'!O191</f>
        <v>0</v>
      </c>
      <c r="P191" s="631">
        <f>'dod3'!P191-'dod3 до МВК'!P191</f>
        <v>0</v>
      </c>
    </row>
    <row r="192" spans="1:18" ht="91.5" x14ac:dyDescent="0.2">
      <c r="A192" s="621" t="s">
        <v>593</v>
      </c>
      <c r="B192" s="621" t="s">
        <v>594</v>
      </c>
      <c r="C192" s="621" t="s">
        <v>122</v>
      </c>
      <c r="D192" s="621" t="s">
        <v>595</v>
      </c>
      <c r="E192" s="631">
        <f>'dod3'!E192-'dod3 до МВК'!E192</f>
        <v>0</v>
      </c>
      <c r="F192" s="631">
        <f>'dod3'!F192-'dod3 до МВК'!F192</f>
        <v>0</v>
      </c>
      <c r="G192" s="631">
        <f>'dod3'!G192-'dod3 до МВК'!G192</f>
        <v>0</v>
      </c>
      <c r="H192" s="631">
        <f>'dod3'!H192-'dod3 до МВК'!H192</f>
        <v>0</v>
      </c>
      <c r="I192" s="631">
        <f>'dod3'!I192-'dod3 до МВК'!I192</f>
        <v>0</v>
      </c>
      <c r="J192" s="631">
        <f>'dod3'!J192-'dod3 до МВК'!J192</f>
        <v>0</v>
      </c>
      <c r="K192" s="631">
        <f>'dod3'!K192-'dod3 до МВК'!K192</f>
        <v>0</v>
      </c>
      <c r="L192" s="631">
        <f>'dod3'!L192-'dod3 до МВК'!L192</f>
        <v>0</v>
      </c>
      <c r="M192" s="631">
        <f>'dod3'!M192-'dod3 до МВК'!M192</f>
        <v>0</v>
      </c>
      <c r="N192" s="631">
        <f>'dod3'!N192-'dod3 до МВК'!N192</f>
        <v>0</v>
      </c>
      <c r="O192" s="631">
        <f>'dod3'!O192-'dod3 до МВК'!O192</f>
        <v>0</v>
      </c>
      <c r="P192" s="631">
        <f>'dod3'!P192-'dod3 до МВК'!P192</f>
        <v>0</v>
      </c>
    </row>
    <row r="193" spans="1:18" ht="315" x14ac:dyDescent="0.2">
      <c r="A193" s="277" t="s">
        <v>316</v>
      </c>
      <c r="B193" s="277"/>
      <c r="C193" s="277"/>
      <c r="D193" s="277" t="s">
        <v>766</v>
      </c>
      <c r="E193" s="243">
        <f>E194</f>
        <v>0</v>
      </c>
      <c r="F193" s="243">
        <f t="shared" ref="F193:P193" si="28">F194</f>
        <v>0</v>
      </c>
      <c r="G193" s="243">
        <f t="shared" si="28"/>
        <v>0</v>
      </c>
      <c r="H193" s="243">
        <f t="shared" si="28"/>
        <v>0</v>
      </c>
      <c r="I193" s="243">
        <f t="shared" si="28"/>
        <v>0</v>
      </c>
      <c r="J193" s="243">
        <f t="shared" si="28"/>
        <v>0</v>
      </c>
      <c r="K193" s="243">
        <f t="shared" si="28"/>
        <v>0</v>
      </c>
      <c r="L193" s="243">
        <f t="shared" si="28"/>
        <v>0</v>
      </c>
      <c r="M193" s="243">
        <f t="shared" si="28"/>
        <v>0</v>
      </c>
      <c r="N193" s="243">
        <f t="shared" si="28"/>
        <v>0</v>
      </c>
      <c r="O193" s="244">
        <f t="shared" si="28"/>
        <v>0</v>
      </c>
      <c r="P193" s="243">
        <f t="shared" si="28"/>
        <v>0</v>
      </c>
    </row>
    <row r="194" spans="1:18" ht="315" x14ac:dyDescent="0.2">
      <c r="A194" s="280" t="s">
        <v>317</v>
      </c>
      <c r="B194" s="280"/>
      <c r="C194" s="280"/>
      <c r="D194" s="280" t="s">
        <v>767</v>
      </c>
      <c r="E194" s="244">
        <f>E195+E196</f>
        <v>0</v>
      </c>
      <c r="F194" s="243">
        <f>F195+F196</f>
        <v>0</v>
      </c>
      <c r="G194" s="244">
        <f>G195+G196</f>
        <v>0</v>
      </c>
      <c r="H194" s="244">
        <f>H195+H196</f>
        <v>0</v>
      </c>
      <c r="I194" s="243">
        <f>I195+I196</f>
        <v>0</v>
      </c>
      <c r="J194" s="244">
        <f>K194+N194</f>
        <v>0</v>
      </c>
      <c r="K194" s="243">
        <f>K195+K196</f>
        <v>0</v>
      </c>
      <c r="L194" s="244">
        <f>L195+L196</f>
        <v>0</v>
      </c>
      <c r="M194" s="244">
        <f>M195+M196</f>
        <v>0</v>
      </c>
      <c r="N194" s="243">
        <f>O194</f>
        <v>0</v>
      </c>
      <c r="O194" s="244">
        <f>O195+O196</f>
        <v>0</v>
      </c>
      <c r="P194" s="244">
        <f>+J194+E194</f>
        <v>0</v>
      </c>
      <c r="Q194" s="311"/>
      <c r="R194" s="325"/>
    </row>
    <row r="195" spans="1:18" ht="91.5" x14ac:dyDescent="0.2">
      <c r="A195" s="621" t="s">
        <v>577</v>
      </c>
      <c r="B195" s="621" t="s">
        <v>578</v>
      </c>
      <c r="C195" s="621" t="s">
        <v>579</v>
      </c>
      <c r="D195" s="621" t="s">
        <v>576</v>
      </c>
      <c r="E195" s="631">
        <f>'dod3'!E195-'dod3 до МВК'!E195</f>
        <v>0</v>
      </c>
      <c r="F195" s="631">
        <f>'dod3'!F195-'dod3 до МВК'!F195</f>
        <v>0</v>
      </c>
      <c r="G195" s="631">
        <f>'dod3'!G195-'dod3 до МВК'!G195</f>
        <v>0</v>
      </c>
      <c r="H195" s="631">
        <f>'dod3'!H195-'dod3 до МВК'!H195</f>
        <v>0</v>
      </c>
      <c r="I195" s="631">
        <f>'dod3'!I195-'dod3 до МВК'!I195</f>
        <v>0</v>
      </c>
      <c r="J195" s="631">
        <f>'dod3'!J195-'dod3 до МВК'!J195</f>
        <v>0</v>
      </c>
      <c r="K195" s="631">
        <f>'dod3'!K195-'dod3 до МВК'!K195</f>
        <v>0</v>
      </c>
      <c r="L195" s="631">
        <f>'dod3'!L195-'dod3 до МВК'!L195</f>
        <v>0</v>
      </c>
      <c r="M195" s="631">
        <f>'dod3'!M195-'dod3 до МВК'!M195</f>
        <v>0</v>
      </c>
      <c r="N195" s="631">
        <f>'dod3'!N195-'dod3 до МВК'!N195</f>
        <v>0</v>
      </c>
      <c r="O195" s="631">
        <f>'dod3'!O195-'dod3 до МВК'!O195</f>
        <v>0</v>
      </c>
      <c r="P195" s="631">
        <f>'dod3'!P195-'dod3 до МВК'!P195</f>
        <v>0</v>
      </c>
    </row>
    <row r="196" spans="1:18" ht="137.25" x14ac:dyDescent="0.2">
      <c r="A196" s="621" t="s">
        <v>839</v>
      </c>
      <c r="B196" s="621" t="s">
        <v>840</v>
      </c>
      <c r="C196" s="621" t="s">
        <v>324</v>
      </c>
      <c r="D196" s="621" t="s">
        <v>841</v>
      </c>
      <c r="E196" s="631">
        <f>'dod3'!E196-'dod3 до МВК'!E196</f>
        <v>0</v>
      </c>
      <c r="F196" s="631">
        <f>'dod3'!F196-'dod3 до МВК'!F196</f>
        <v>0</v>
      </c>
      <c r="G196" s="631">
        <f>'dod3'!G196-'dod3 до МВК'!G196</f>
        <v>0</v>
      </c>
      <c r="H196" s="631">
        <f>'dod3'!H196-'dod3 до МВК'!H196</f>
        <v>0</v>
      </c>
      <c r="I196" s="631">
        <f>'dod3'!I196-'dod3 до МВК'!I196</f>
        <v>0</v>
      </c>
      <c r="J196" s="631">
        <f>'dod3'!J196-'dod3 до МВК'!J196</f>
        <v>0</v>
      </c>
      <c r="K196" s="631">
        <f>'dod3'!K196-'dod3 до МВК'!K196</f>
        <v>0</v>
      </c>
      <c r="L196" s="631">
        <f>'dod3'!L196-'dod3 до МВК'!L196</f>
        <v>0</v>
      </c>
      <c r="M196" s="631">
        <f>'dod3'!M196-'dod3 до МВК'!M196</f>
        <v>0</v>
      </c>
      <c r="N196" s="631">
        <f>'dod3'!N196-'dod3 до МВК'!N196</f>
        <v>0</v>
      </c>
      <c r="O196" s="631">
        <f>'dod3'!O196-'dod3 до МВК'!O196</f>
        <v>0</v>
      </c>
      <c r="P196" s="631">
        <f>'dod3'!P196-'dod3 до МВК'!P196</f>
        <v>0</v>
      </c>
    </row>
    <row r="197" spans="1:18" ht="135" x14ac:dyDescent="0.2">
      <c r="A197" s="277" t="s">
        <v>322</v>
      </c>
      <c r="B197" s="277"/>
      <c r="C197" s="277"/>
      <c r="D197" s="277" t="s">
        <v>74</v>
      </c>
      <c r="E197" s="243">
        <f>E198</f>
        <v>-120000</v>
      </c>
      <c r="F197" s="243">
        <f t="shared" ref="F197:P197" si="29">F198</f>
        <v>-120000</v>
      </c>
      <c r="G197" s="243">
        <f t="shared" si="29"/>
        <v>0</v>
      </c>
      <c r="H197" s="243">
        <f t="shared" si="29"/>
        <v>0</v>
      </c>
      <c r="I197" s="243">
        <f t="shared" si="29"/>
        <v>0</v>
      </c>
      <c r="J197" s="243">
        <f t="shared" si="29"/>
        <v>0</v>
      </c>
      <c r="K197" s="243">
        <f t="shared" si="29"/>
        <v>0</v>
      </c>
      <c r="L197" s="243">
        <f t="shared" si="29"/>
        <v>0</v>
      </c>
      <c r="M197" s="243">
        <f t="shared" si="29"/>
        <v>0</v>
      </c>
      <c r="N197" s="243">
        <f t="shared" si="29"/>
        <v>0</v>
      </c>
      <c r="O197" s="244">
        <f t="shared" si="29"/>
        <v>0</v>
      </c>
      <c r="P197" s="243">
        <f t="shared" si="29"/>
        <v>-120000</v>
      </c>
    </row>
    <row r="198" spans="1:18" ht="135" x14ac:dyDescent="0.2">
      <c r="A198" s="280" t="s">
        <v>323</v>
      </c>
      <c r="B198" s="280"/>
      <c r="C198" s="280"/>
      <c r="D198" s="280" t="s">
        <v>98</v>
      </c>
      <c r="E198" s="244">
        <f>E200+E199+E201</f>
        <v>-120000</v>
      </c>
      <c r="F198" s="243">
        <f>F200+F199+F201</f>
        <v>-120000</v>
      </c>
      <c r="G198" s="244">
        <f>SUM(G199:G201)</f>
        <v>0</v>
      </c>
      <c r="H198" s="244">
        <f>SUM(H199:H201)</f>
        <v>0</v>
      </c>
      <c r="I198" s="243">
        <v>0</v>
      </c>
      <c r="J198" s="244">
        <f>K198+N198</f>
        <v>0</v>
      </c>
      <c r="K198" s="243">
        <f>SUM(K199:K199)</f>
        <v>0</v>
      </c>
      <c r="L198" s="244">
        <f>SUM(L199:L201)</f>
        <v>0</v>
      </c>
      <c r="M198" s="244">
        <f>SUM(M199:M201)</f>
        <v>0</v>
      </c>
      <c r="N198" s="243">
        <f>SUM(N199:N199)</f>
        <v>0</v>
      </c>
      <c r="O198" s="244">
        <f>SUM(O199:O199)</f>
        <v>0</v>
      </c>
      <c r="P198" s="244">
        <f>E198+J198</f>
        <v>-120000</v>
      </c>
      <c r="Q198" s="311"/>
      <c r="R198" s="325"/>
    </row>
    <row r="199" spans="1:18" ht="91.5" x14ac:dyDescent="0.2">
      <c r="A199" s="335">
        <v>3718600</v>
      </c>
      <c r="B199" s="335">
        <v>8600</v>
      </c>
      <c r="C199" s="621" t="s">
        <v>781</v>
      </c>
      <c r="D199" s="335" t="s">
        <v>782</v>
      </c>
      <c r="E199" s="631">
        <f>'dod3'!E199-'dod3 до МВК'!E199</f>
        <v>0</v>
      </c>
      <c r="F199" s="631">
        <f>'dod3'!F199-'dod3 до МВК'!F199</f>
        <v>0</v>
      </c>
      <c r="G199" s="631">
        <f>'dod3'!G199-'dod3 до МВК'!G199</f>
        <v>0</v>
      </c>
      <c r="H199" s="631">
        <f>'dod3'!H199-'dod3 до МВК'!H199</f>
        <v>0</v>
      </c>
      <c r="I199" s="631">
        <f>'dod3'!I199-'dod3 до МВК'!I199</f>
        <v>0</v>
      </c>
      <c r="J199" s="631">
        <f>'dod3'!J199-'dod3 до МВК'!J199</f>
        <v>0</v>
      </c>
      <c r="K199" s="631">
        <f>'dod3'!K199-'dod3 до МВК'!K199</f>
        <v>0</v>
      </c>
      <c r="L199" s="631">
        <f>'dod3'!L199-'dod3 до МВК'!L199</f>
        <v>0</v>
      </c>
      <c r="M199" s="631">
        <f>'dod3'!M199-'dod3 до МВК'!M199</f>
        <v>0</v>
      </c>
      <c r="N199" s="631">
        <f>'dod3'!N199-'dod3 до МВК'!N199</f>
        <v>0</v>
      </c>
      <c r="O199" s="631">
        <f>'dod3'!O199-'dod3 до МВК'!O199</f>
        <v>0</v>
      </c>
      <c r="P199" s="631">
        <f>'dod3'!P199-'dod3 до МВК'!P199</f>
        <v>0</v>
      </c>
    </row>
    <row r="200" spans="1:18" ht="69" customHeight="1" x14ac:dyDescent="0.2">
      <c r="A200" s="335">
        <v>3718700</v>
      </c>
      <c r="B200" s="335">
        <v>8700</v>
      </c>
      <c r="C200" s="621" t="s">
        <v>102</v>
      </c>
      <c r="D200" s="309" t="s">
        <v>100</v>
      </c>
      <c r="E200" s="631">
        <f>'dod3'!E200-'dod3 до МВК'!E200</f>
        <v>-120000</v>
      </c>
      <c r="F200" s="631">
        <f>'dod3'!F200-'dod3 до МВК'!F200</f>
        <v>-120000</v>
      </c>
      <c r="G200" s="631">
        <f>'dod3'!G200-'dod3 до МВК'!G200</f>
        <v>0</v>
      </c>
      <c r="H200" s="631">
        <f>'dod3'!H200-'dod3 до МВК'!H200</f>
        <v>0</v>
      </c>
      <c r="I200" s="631">
        <f>'dod3'!I200-'dod3 до МВК'!I200</f>
        <v>0</v>
      </c>
      <c r="J200" s="631">
        <f>'dod3'!J200-'dod3 до МВК'!J200</f>
        <v>0</v>
      </c>
      <c r="K200" s="631">
        <f>'dod3'!K200-'dod3 до МВК'!K200</f>
        <v>0</v>
      </c>
      <c r="L200" s="631">
        <f>'dod3'!L200-'dod3 до МВК'!L200</f>
        <v>0</v>
      </c>
      <c r="M200" s="631">
        <f>'dod3'!M200-'dod3 до МВК'!M200</f>
        <v>0</v>
      </c>
      <c r="N200" s="631">
        <f>'dod3'!N200-'dod3 до МВК'!N200</f>
        <v>0</v>
      </c>
      <c r="O200" s="631">
        <f>'dod3'!O200-'dod3 до МВК'!O200</f>
        <v>0</v>
      </c>
      <c r="P200" s="631">
        <f>'dod3'!P200-'dod3 до МВК'!P200</f>
        <v>-120000</v>
      </c>
    </row>
    <row r="201" spans="1:18" ht="65.25" customHeight="1" x14ac:dyDescent="0.2">
      <c r="A201" s="335">
        <v>3719110</v>
      </c>
      <c r="B201" s="335">
        <v>9110</v>
      </c>
      <c r="C201" s="621" t="s">
        <v>103</v>
      </c>
      <c r="D201" s="309" t="s">
        <v>101</v>
      </c>
      <c r="E201" s="631">
        <f>'dod3'!E201-'dod3 до МВК'!E201</f>
        <v>0</v>
      </c>
      <c r="F201" s="631">
        <f>'dod3'!F201-'dod3 до МВК'!F201</f>
        <v>0</v>
      </c>
      <c r="G201" s="631">
        <f>'dod3'!G201-'dod3 до МВК'!G201</f>
        <v>0</v>
      </c>
      <c r="H201" s="631">
        <f>'dod3'!H201-'dod3 до МВК'!H201</f>
        <v>0</v>
      </c>
      <c r="I201" s="631">
        <f>'dod3'!I201-'dod3 до МВК'!I201</f>
        <v>0</v>
      </c>
      <c r="J201" s="631">
        <f>'dod3'!J201-'dod3 до МВК'!J201</f>
        <v>0</v>
      </c>
      <c r="K201" s="631">
        <f>'dod3'!K201-'dod3 до МВК'!K201</f>
        <v>0</v>
      </c>
      <c r="L201" s="631">
        <f>'dod3'!L201-'dod3 до МВК'!L201</f>
        <v>0</v>
      </c>
      <c r="M201" s="631">
        <f>'dod3'!M201-'dod3 до МВК'!M201</f>
        <v>0</v>
      </c>
      <c r="N201" s="631">
        <f>'dod3'!N201-'dod3 до МВК'!N201</f>
        <v>0</v>
      </c>
      <c r="O201" s="631">
        <f>'dod3'!O201-'dod3 до МВК'!O201</f>
        <v>0</v>
      </c>
      <c r="P201" s="631">
        <f>'dod3'!P201-'dod3 до МВК'!P201</f>
        <v>0</v>
      </c>
    </row>
    <row r="202" spans="1:18" s="5" customFormat="1" ht="81.75" customHeight="1" x14ac:dyDescent="0.55000000000000004">
      <c r="A202" s="731" t="s">
        <v>8</v>
      </c>
      <c r="B202" s="731"/>
      <c r="C202" s="731"/>
      <c r="D202" s="731"/>
      <c r="E202" s="249">
        <f>E13+E31+E123+E44+E59+E111+E148+E170+E177+E198+E180+E187+E194</f>
        <v>3325669</v>
      </c>
      <c r="F202" s="250">
        <f>F13+F31+F123+F44+F58+F111+F148+F170+F177+F198+F180+F187+F194</f>
        <v>3325669</v>
      </c>
      <c r="G202" s="249">
        <f t="shared" ref="G202:O202" si="30">G13+G31+G123+G44+G59+G111+G148+G170+G177+G198+G180+G187+G194</f>
        <v>0</v>
      </c>
      <c r="H202" s="249">
        <f t="shared" si="30"/>
        <v>0</v>
      </c>
      <c r="I202" s="250">
        <f t="shared" si="30"/>
        <v>0</v>
      </c>
      <c r="J202" s="249">
        <f t="shared" si="30"/>
        <v>-3325669</v>
      </c>
      <c r="K202" s="250">
        <f t="shared" si="30"/>
        <v>0</v>
      </c>
      <c r="L202" s="249">
        <f t="shared" si="30"/>
        <v>0</v>
      </c>
      <c r="M202" s="249">
        <f t="shared" si="30"/>
        <v>0</v>
      </c>
      <c r="N202" s="250">
        <f t="shared" si="30"/>
        <v>-3325669</v>
      </c>
      <c r="O202" s="249">
        <f t="shared" si="30"/>
        <v>-3325669</v>
      </c>
      <c r="P202" s="249">
        <f>P13+P31+P123+P44+P58+P111+P148+P170+P177+P198+P180+P187+P194</f>
        <v>0</v>
      </c>
      <c r="Q202" s="182"/>
    </row>
    <row r="203" spans="1:18" ht="31.5" customHeight="1" x14ac:dyDescent="0.2">
      <c r="A203" s="732" t="s">
        <v>574</v>
      </c>
      <c r="B203" s="733"/>
      <c r="C203" s="733"/>
      <c r="D203" s="733"/>
      <c r="E203" s="733"/>
      <c r="F203" s="733"/>
      <c r="G203" s="733"/>
      <c r="H203" s="733"/>
      <c r="I203" s="733"/>
      <c r="J203" s="733"/>
      <c r="K203" s="733"/>
      <c r="L203" s="733"/>
      <c r="M203" s="733"/>
      <c r="N203" s="733"/>
      <c r="O203" s="733"/>
      <c r="P203" s="733"/>
      <c r="Q203" s="24"/>
    </row>
    <row r="204" spans="1:18" ht="31.5" customHeight="1" x14ac:dyDescent="0.2">
      <c r="A204" s="198"/>
      <c r="B204" s="199"/>
      <c r="C204" s="199"/>
      <c r="D204" s="199"/>
      <c r="E204" s="199"/>
      <c r="F204" s="200"/>
      <c r="G204" s="199"/>
      <c r="H204" s="199"/>
      <c r="I204" s="200"/>
      <c r="J204" s="199"/>
      <c r="K204" s="200"/>
      <c r="L204" s="199"/>
      <c r="M204" s="199"/>
      <c r="N204" s="200"/>
      <c r="O204" s="199"/>
      <c r="P204" s="199"/>
      <c r="Q204" s="24"/>
    </row>
    <row r="205" spans="1:18" ht="61.5" customHeight="1" x14ac:dyDescent="0.65">
      <c r="A205" s="624"/>
      <c r="B205" s="624"/>
      <c r="C205" s="624"/>
      <c r="D205" s="734" t="s">
        <v>290</v>
      </c>
      <c r="E205" s="734"/>
      <c r="F205" s="734"/>
      <c r="G205" s="734"/>
      <c r="H205" s="734"/>
      <c r="I205" s="734"/>
      <c r="J205" s="734"/>
      <c r="K205" s="734"/>
      <c r="L205" s="734"/>
      <c r="M205" s="734"/>
      <c r="N205" s="734"/>
      <c r="O205" s="734"/>
      <c r="P205" s="734"/>
      <c r="Q205" s="25"/>
    </row>
    <row r="206" spans="1:18" ht="45.75" x14ac:dyDescent="0.2">
      <c r="E206" s="57"/>
      <c r="F206" s="12"/>
      <c r="J206" s="10"/>
      <c r="N206" s="52"/>
      <c r="O206" s="56"/>
      <c r="P206" s="48"/>
    </row>
    <row r="207" spans="1:18" ht="45" x14ac:dyDescent="0.55000000000000004">
      <c r="D207" s="7"/>
      <c r="E207" s="51"/>
      <c r="F207" s="230"/>
      <c r="H207" s="7"/>
      <c r="I207" s="205"/>
      <c r="J207" s="51"/>
      <c r="N207" s="205"/>
      <c r="O207" s="51"/>
      <c r="P207" s="51"/>
      <c r="Q207" s="26"/>
    </row>
    <row r="208" spans="1:18" x14ac:dyDescent="0.2">
      <c r="E208" s="8"/>
      <c r="F208" s="12"/>
      <c r="J208" s="8"/>
      <c r="O208" s="6"/>
    </row>
    <row r="209" spans="1:18" x14ac:dyDescent="0.2">
      <c r="E209" s="8"/>
      <c r="F209" s="12"/>
      <c r="J209" s="8"/>
    </row>
    <row r="210" spans="1:18" ht="45.75" x14ac:dyDescent="0.55000000000000004">
      <c r="E210" s="48"/>
      <c r="F210" s="50"/>
      <c r="G210" s="6"/>
      <c r="I210" s="202"/>
      <c r="J210" s="187"/>
      <c r="K210" s="202"/>
      <c r="L210" s="186"/>
      <c r="M210" s="186"/>
      <c r="N210" s="206"/>
      <c r="O210" s="188"/>
      <c r="P210" s="182" t="b">
        <f>E202+J202=P202</f>
        <v>1</v>
      </c>
    </row>
    <row r="211" spans="1:18" ht="13.5" x14ac:dyDescent="0.2">
      <c r="E211" s="11"/>
      <c r="F211" s="14"/>
      <c r="G211" s="4"/>
      <c r="H211" s="4"/>
      <c r="I211" s="4"/>
      <c r="J211" s="8"/>
    </row>
    <row r="212" spans="1:18" ht="45.75" x14ac:dyDescent="0.2">
      <c r="A212"/>
      <c r="B212"/>
      <c r="C212"/>
      <c r="D212" s="266" t="s">
        <v>943</v>
      </c>
      <c r="E212" s="267" t="b">
        <f>E202=F202</f>
        <v>1</v>
      </c>
      <c r="F212" s="52" t="e">
        <f>F200/P202*100</f>
        <v>#DIV/0!</v>
      </c>
      <c r="G212" s="218" t="s">
        <v>650</v>
      </c>
      <c r="I212" s="266"/>
      <c r="J212" s="267"/>
      <c r="K212" s="203"/>
      <c r="L212"/>
      <c r="M212"/>
      <c r="N212" s="203"/>
      <c r="O212"/>
      <c r="P212"/>
    </row>
    <row r="213" spans="1:18" ht="60.75" x14ac:dyDescent="0.2">
      <c r="D213" s="266" t="s">
        <v>944</v>
      </c>
      <c r="E213" s="267" t="b">
        <f>G202=839900+735946698</f>
        <v>0</v>
      </c>
      <c r="G213" s="55"/>
      <c r="I213" s="266" t="s">
        <v>944</v>
      </c>
      <c r="J213" s="267" t="b">
        <f>L202=0+27261672</f>
        <v>0</v>
      </c>
      <c r="O213" s="218"/>
      <c r="P213" s="196">
        <v>45276575.630000003</v>
      </c>
      <c r="Q213" s="197"/>
      <c r="R213" s="196"/>
    </row>
    <row r="214" spans="1:18" ht="60.75" x14ac:dyDescent="0.2">
      <c r="A214"/>
      <c r="B214"/>
      <c r="C214"/>
      <c r="D214" s="266" t="s">
        <v>945</v>
      </c>
      <c r="E214" s="267" t="b">
        <f>H202=97533765+11500</f>
        <v>0</v>
      </c>
      <c r="F214" s="52"/>
      <c r="G214" s="6"/>
      <c r="I214" s="266" t="s">
        <v>945</v>
      </c>
      <c r="J214" s="267" t="b">
        <f>M202=0+7617512</f>
        <v>0</v>
      </c>
      <c r="K214" s="203"/>
      <c r="L214"/>
      <c r="M214"/>
      <c r="N214" s="203"/>
      <c r="O214" s="196"/>
      <c r="P214" s="196" t="e">
        <f>P202-#REF!</f>
        <v>#REF!</v>
      </c>
      <c r="Q214" s="197"/>
      <c r="R214" s="196"/>
    </row>
    <row r="215" spans="1:18" ht="60.75" x14ac:dyDescent="0.2">
      <c r="D215" s="266"/>
      <c r="E215" s="267"/>
      <c r="F215" s="54"/>
      <c r="O215" s="218"/>
      <c r="P215" s="196" t="e">
        <f>P213=P214</f>
        <v>#REF!</v>
      </c>
    </row>
    <row r="216" spans="1:18" ht="60.75" x14ac:dyDescent="0.75">
      <c r="A216"/>
      <c r="B216"/>
      <c r="C216"/>
      <c r="D216" s="266"/>
      <c r="E216" s="267"/>
      <c r="F216" s="52"/>
      <c r="G216" s="6"/>
      <c r="J216" s="8"/>
      <c r="K216" s="203"/>
      <c r="L216"/>
      <c r="M216"/>
      <c r="N216" s="203"/>
      <c r="O216" s="361"/>
      <c r="P216" s="196" t="e">
        <f>IF(P213=P214,TRUE,FALSE)</f>
        <v>#REF!</v>
      </c>
    </row>
    <row r="217" spans="1:18" ht="62.25" x14ac:dyDescent="0.8">
      <c r="A217"/>
      <c r="B217"/>
      <c r="C217"/>
      <c r="D217"/>
      <c r="E217" s="51"/>
      <c r="F217" s="52"/>
      <c r="J217" s="8"/>
      <c r="K217" s="203"/>
      <c r="L217"/>
      <c r="M217"/>
      <c r="N217" s="203"/>
      <c r="O217"/>
      <c r="P217" s="360"/>
    </row>
    <row r="218" spans="1:18" ht="45.75" x14ac:dyDescent="0.2">
      <c r="E218" s="53"/>
      <c r="F218" s="54"/>
    </row>
    <row r="219" spans="1:18" ht="45.75" x14ac:dyDescent="0.2">
      <c r="A219"/>
      <c r="B219"/>
      <c r="C219"/>
      <c r="D219"/>
      <c r="E219" s="51"/>
      <c r="F219" s="52"/>
      <c r="K219" s="203"/>
      <c r="L219"/>
      <c r="M219"/>
      <c r="N219" s="203"/>
      <c r="O219"/>
      <c r="P219"/>
    </row>
    <row r="220" spans="1:18" ht="45.75" x14ac:dyDescent="0.2">
      <c r="E220" s="53"/>
      <c r="F220" s="54"/>
    </row>
    <row r="221" spans="1:18" ht="45.75" x14ac:dyDescent="0.2">
      <c r="E221" s="53"/>
      <c r="F221" s="54"/>
    </row>
    <row r="222" spans="1:18" ht="45.75" x14ac:dyDescent="0.2">
      <c r="E222" s="53"/>
      <c r="F222" s="54"/>
    </row>
    <row r="223" spans="1:18" ht="45.75" x14ac:dyDescent="0.2">
      <c r="A223"/>
      <c r="B223"/>
      <c r="C223"/>
      <c r="D223"/>
      <c r="E223" s="53"/>
      <c r="F223" s="54"/>
      <c r="G223"/>
      <c r="H223"/>
      <c r="I223" s="203"/>
      <c r="J223"/>
      <c r="K223" s="203"/>
      <c r="L223"/>
      <c r="M223"/>
      <c r="N223" s="203"/>
      <c r="O223"/>
      <c r="P223"/>
    </row>
    <row r="224" spans="1:18" ht="45.75" x14ac:dyDescent="0.2">
      <c r="A224"/>
      <c r="B224"/>
      <c r="C224"/>
      <c r="D224"/>
      <c r="E224" s="53"/>
      <c r="F224" s="54"/>
      <c r="G224"/>
      <c r="H224"/>
      <c r="I224" s="203"/>
      <c r="J224"/>
      <c r="K224" s="203"/>
      <c r="L224"/>
      <c r="M224"/>
      <c r="N224" s="203"/>
      <c r="O224"/>
      <c r="P224"/>
    </row>
    <row r="225" spans="1:16" ht="45.75" x14ac:dyDescent="0.2">
      <c r="A225"/>
      <c r="B225"/>
      <c r="C225"/>
      <c r="D225"/>
      <c r="E225" s="53"/>
      <c r="F225" s="54"/>
      <c r="G225"/>
      <c r="H225"/>
      <c r="I225" s="203"/>
      <c r="J225"/>
      <c r="K225" s="203"/>
      <c r="L225"/>
      <c r="M225"/>
      <c r="N225" s="203"/>
      <c r="O225"/>
      <c r="P225"/>
    </row>
    <row r="226" spans="1:16" ht="45.75" x14ac:dyDescent="0.2">
      <c r="A226"/>
      <c r="B226"/>
      <c r="C226"/>
      <c r="D226"/>
      <c r="E226" s="53"/>
      <c r="F226" s="54"/>
      <c r="G226"/>
      <c r="H226"/>
      <c r="I226" s="203"/>
      <c r="J226"/>
      <c r="K226" s="203"/>
      <c r="L226"/>
      <c r="M226"/>
      <c r="N226" s="203"/>
      <c r="O226"/>
      <c r="P226"/>
    </row>
  </sheetData>
  <mergeCells count="83">
    <mergeCell ref="A8:A10"/>
    <mergeCell ref="B8:B10"/>
    <mergeCell ref="C8:C10"/>
    <mergeCell ref="D8:D10"/>
    <mergeCell ref="E8:I8"/>
    <mergeCell ref="N1:P1"/>
    <mergeCell ref="N2:P2"/>
    <mergeCell ref="N3:P3"/>
    <mergeCell ref="A5:P5"/>
    <mergeCell ref="A6:P6"/>
    <mergeCell ref="G24:G25"/>
    <mergeCell ref="J8:N8"/>
    <mergeCell ref="P8:P10"/>
    <mergeCell ref="E9:E10"/>
    <mergeCell ref="F9:F10"/>
    <mergeCell ref="G9:H9"/>
    <mergeCell ref="I9:I10"/>
    <mergeCell ref="J9:J10"/>
    <mergeCell ref="K9:K10"/>
    <mergeCell ref="L9:M9"/>
    <mergeCell ref="N9:N10"/>
    <mergeCell ref="A24:A25"/>
    <mergeCell ref="B24:B25"/>
    <mergeCell ref="C24:C25"/>
    <mergeCell ref="E24:E25"/>
    <mergeCell ref="F24:F25"/>
    <mergeCell ref="N24:N25"/>
    <mergeCell ref="O24:O25"/>
    <mergeCell ref="P24:P25"/>
    <mergeCell ref="A81:A82"/>
    <mergeCell ref="B81:B82"/>
    <mergeCell ref="C81:C82"/>
    <mergeCell ref="E81:E82"/>
    <mergeCell ref="F81:F82"/>
    <mergeCell ref="G81:G82"/>
    <mergeCell ref="H81:H82"/>
    <mergeCell ref="H24:H25"/>
    <mergeCell ref="I24:I25"/>
    <mergeCell ref="J24:J25"/>
    <mergeCell ref="K24:K25"/>
    <mergeCell ref="L24:L25"/>
    <mergeCell ref="M24:M25"/>
    <mergeCell ref="O81:O82"/>
    <mergeCell ref="P81:P82"/>
    <mergeCell ref="A100:A102"/>
    <mergeCell ref="B100:B102"/>
    <mergeCell ref="C100:C102"/>
    <mergeCell ref="E100:E102"/>
    <mergeCell ref="F100:F102"/>
    <mergeCell ref="G100:G102"/>
    <mergeCell ref="H100:H102"/>
    <mergeCell ref="I100:I102"/>
    <mergeCell ref="I81:I82"/>
    <mergeCell ref="J81:J82"/>
    <mergeCell ref="K81:K82"/>
    <mergeCell ref="L81:L82"/>
    <mergeCell ref="M81:M82"/>
    <mergeCell ref="N81:N82"/>
    <mergeCell ref="P100:P102"/>
    <mergeCell ref="A103:A104"/>
    <mergeCell ref="B103:B104"/>
    <mergeCell ref="C103:C104"/>
    <mergeCell ref="E103:E104"/>
    <mergeCell ref="F103:F104"/>
    <mergeCell ref="G103:G104"/>
    <mergeCell ref="H103:H104"/>
    <mergeCell ref="I103:I104"/>
    <mergeCell ref="J103:J104"/>
    <mergeCell ref="J100:J102"/>
    <mergeCell ref="K100:K102"/>
    <mergeCell ref="L100:L102"/>
    <mergeCell ref="M100:M102"/>
    <mergeCell ref="N100:N102"/>
    <mergeCell ref="O100:O102"/>
    <mergeCell ref="A202:D202"/>
    <mergeCell ref="A203:P203"/>
    <mergeCell ref="D205:P205"/>
    <mergeCell ref="K103:K104"/>
    <mergeCell ref="L103:L104"/>
    <mergeCell ref="M103:M104"/>
    <mergeCell ref="N103:N104"/>
    <mergeCell ref="O103:O104"/>
    <mergeCell ref="P103:P104"/>
  </mergeCells>
  <conditionalFormatting sqref="Q177:R177">
    <cfRule type="iconSet" priority="5">
      <iconSet iconSet="3Arrows">
        <cfvo type="percent" val="0"/>
        <cfvo type="percent" val="33"/>
        <cfvo type="percent" val="67"/>
      </iconSet>
    </cfRule>
  </conditionalFormatting>
  <conditionalFormatting sqref="Q180:R180">
    <cfRule type="iconSet" priority="4">
      <iconSet iconSet="3Arrows">
        <cfvo type="percent" val="0"/>
        <cfvo type="percent" val="33"/>
        <cfvo type="percent" val="67"/>
      </iconSet>
    </cfRule>
  </conditionalFormatting>
  <conditionalFormatting sqref="Q187:R187">
    <cfRule type="iconSet" priority="3">
      <iconSet iconSet="3Arrows">
        <cfvo type="percent" val="0"/>
        <cfvo type="percent" val="33"/>
        <cfvo type="percent" val="67"/>
      </iconSet>
    </cfRule>
  </conditionalFormatting>
  <conditionalFormatting sqref="Q198:R198">
    <cfRule type="iconSet" priority="2">
      <iconSet iconSet="3Arrows">
        <cfvo type="percent" val="0"/>
        <cfvo type="percent" val="33"/>
        <cfvo type="percent" val="67"/>
      </iconSet>
    </cfRule>
  </conditionalFormatting>
  <conditionalFormatting sqref="Q194:R19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9" max="15" man="1"/>
    <brk id="50" max="15" man="1"/>
    <brk id="68" max="15" man="1"/>
    <brk id="87" max="15" man="1"/>
    <brk id="127" max="15" man="1"/>
    <brk id="15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view="pageBreakPreview" topLeftCell="A2" zoomScaleSheetLayoutView="100" workbookViewId="0">
      <selection activeCell="F35" sqref="F35"/>
    </sheetView>
  </sheetViews>
  <sheetFormatPr defaultColWidth="9.140625" defaultRowHeight="12.75" x14ac:dyDescent="0.2"/>
  <cols>
    <col min="1" max="1" width="9.7109375" style="130" customWidth="1"/>
    <col min="2" max="2" width="22.140625" style="130" customWidth="1"/>
    <col min="3" max="3" width="14.140625" style="130" customWidth="1"/>
    <col min="4" max="4" width="14" style="130" customWidth="1"/>
    <col min="5" max="5" width="13.140625" style="130" customWidth="1"/>
    <col min="6" max="6" width="13.85546875" style="130" customWidth="1"/>
    <col min="7" max="7" width="15.140625" style="130" customWidth="1"/>
    <col min="8" max="8" width="16.42578125" style="130" customWidth="1"/>
    <col min="9" max="9" width="8.28515625" style="130" customWidth="1"/>
    <col min="10" max="10" width="9.140625" style="130"/>
    <col min="11" max="11" width="9.7109375" style="130" customWidth="1"/>
    <col min="12" max="12" width="9.140625" style="130"/>
    <col min="13" max="13" width="8.140625" style="130" customWidth="1"/>
    <col min="14" max="16384" width="9.140625" style="130"/>
  </cols>
  <sheetData>
    <row r="1" spans="1:17" x14ac:dyDescent="0.2">
      <c r="E1" s="131" t="s">
        <v>224</v>
      </c>
      <c r="F1" s="131"/>
    </row>
    <row r="2" spans="1:17" x14ac:dyDescent="0.2">
      <c r="E2" s="131" t="s">
        <v>225</v>
      </c>
      <c r="F2" s="131"/>
    </row>
    <row r="3" spans="1:17" x14ac:dyDescent="0.2">
      <c r="E3" s="131" t="s">
        <v>226</v>
      </c>
      <c r="F3" s="131"/>
    </row>
    <row r="5" spans="1:17" ht="18.75" x14ac:dyDescent="0.3">
      <c r="A5" s="642" t="s">
        <v>711</v>
      </c>
      <c r="B5" s="642"/>
      <c r="C5" s="642"/>
      <c r="D5" s="642"/>
      <c r="E5" s="642"/>
      <c r="F5" s="642"/>
    </row>
    <row r="7" spans="1:17" x14ac:dyDescent="0.2">
      <c r="A7" s="643" t="s">
        <v>144</v>
      </c>
      <c r="B7" s="643" t="s">
        <v>227</v>
      </c>
      <c r="C7" s="222"/>
      <c r="D7" s="643" t="s">
        <v>124</v>
      </c>
      <c r="E7" s="643"/>
      <c r="F7" s="643" t="s">
        <v>35</v>
      </c>
    </row>
    <row r="8" spans="1:17" ht="24.75" customHeight="1" x14ac:dyDescent="0.2">
      <c r="A8" s="643"/>
      <c r="B8" s="643"/>
      <c r="C8" s="222" t="s">
        <v>36</v>
      </c>
      <c r="D8" s="222" t="s">
        <v>35</v>
      </c>
      <c r="E8" s="222" t="s">
        <v>228</v>
      </c>
      <c r="F8" s="643"/>
    </row>
    <row r="9" spans="1:17" x14ac:dyDescent="0.2">
      <c r="A9" s="132">
        <v>1</v>
      </c>
      <c r="B9" s="132">
        <v>2</v>
      </c>
      <c r="C9" s="132">
        <v>3</v>
      </c>
      <c r="D9" s="133">
        <v>4</v>
      </c>
      <c r="E9" s="133">
        <v>5</v>
      </c>
      <c r="F9" s="132">
        <v>6</v>
      </c>
    </row>
    <row r="10" spans="1:17" ht="25.5" x14ac:dyDescent="0.2">
      <c r="A10" s="132"/>
      <c r="B10" s="225" t="s">
        <v>773</v>
      </c>
      <c r="C10" s="132"/>
      <c r="D10" s="133"/>
      <c r="E10" s="133"/>
      <c r="F10" s="132"/>
    </row>
    <row r="11" spans="1:17" x14ac:dyDescent="0.2">
      <c r="A11" s="134" t="s">
        <v>229</v>
      </c>
      <c r="B11" s="134" t="s">
        <v>230</v>
      </c>
      <c r="C11" s="134">
        <f>C12+C14</f>
        <v>-184808544.09999999</v>
      </c>
      <c r="D11" s="134">
        <f>D12+D14</f>
        <v>313624181.00999999</v>
      </c>
      <c r="E11" s="134">
        <f>E12+E14</f>
        <v>312080188.63999999</v>
      </c>
      <c r="F11" s="134">
        <f>C11+D11</f>
        <v>128815636.91</v>
      </c>
      <c r="G11" s="184"/>
      <c r="H11" s="184"/>
      <c r="I11" s="184"/>
      <c r="J11" s="184"/>
      <c r="K11" s="184"/>
      <c r="L11" s="184"/>
      <c r="M11" s="184"/>
      <c r="N11" s="184"/>
      <c r="O11" s="184"/>
      <c r="P11" s="184"/>
      <c r="Q11" s="184"/>
    </row>
    <row r="12" spans="1:17" ht="16.5" customHeight="1" x14ac:dyDescent="0.2">
      <c r="A12" s="135" t="s">
        <v>231</v>
      </c>
      <c r="B12" s="135" t="s">
        <v>232</v>
      </c>
      <c r="C12" s="136">
        <v>118676107.09999999</v>
      </c>
      <c r="D12" s="136">
        <v>10139529.810000001</v>
      </c>
      <c r="E12" s="136">
        <v>8595537.4399999995</v>
      </c>
      <c r="F12" s="136">
        <f t="shared" ref="F12:F30" si="0">C12+D12</f>
        <v>128815636.91</v>
      </c>
      <c r="G12" s="184"/>
      <c r="H12" s="184"/>
      <c r="I12" s="184"/>
      <c r="J12" s="184"/>
      <c r="K12" s="184"/>
      <c r="L12" s="184"/>
      <c r="M12" s="184"/>
      <c r="N12" s="184"/>
      <c r="O12" s="184"/>
      <c r="P12" s="184"/>
      <c r="Q12" s="184"/>
    </row>
    <row r="13" spans="1:17" ht="18.75" hidden="1" customHeight="1" x14ac:dyDescent="0.2">
      <c r="A13" s="135">
        <v>208200</v>
      </c>
      <c r="B13" s="135" t="s">
        <v>233</v>
      </c>
      <c r="C13" s="136"/>
      <c r="D13" s="136"/>
      <c r="E13" s="134"/>
      <c r="F13" s="136">
        <f t="shared" si="0"/>
        <v>0</v>
      </c>
      <c r="G13" s="184"/>
      <c r="H13" s="184"/>
      <c r="I13" s="184"/>
      <c r="J13" s="184"/>
      <c r="K13" s="184"/>
      <c r="L13" s="184"/>
      <c r="M13" s="184"/>
      <c r="N13" s="184"/>
      <c r="O13" s="184"/>
      <c r="P13" s="184"/>
      <c r="Q13" s="184"/>
    </row>
    <row r="14" spans="1:17" ht="51" x14ac:dyDescent="0.2">
      <c r="A14" s="135">
        <v>208400</v>
      </c>
      <c r="B14" s="137" t="s">
        <v>234</v>
      </c>
      <c r="C14" s="134">
        <v>-303484651.19999999</v>
      </c>
      <c r="D14" s="134">
        <v>303484651.19999999</v>
      </c>
      <c r="E14" s="134">
        <v>303484651.19999999</v>
      </c>
      <c r="F14" s="134">
        <f t="shared" si="0"/>
        <v>0</v>
      </c>
      <c r="G14" s="184"/>
      <c r="H14" s="184"/>
      <c r="I14" s="184"/>
      <c r="J14" s="184"/>
      <c r="K14" s="184"/>
      <c r="L14" s="184"/>
      <c r="M14" s="184"/>
      <c r="N14" s="184"/>
      <c r="O14" s="184"/>
      <c r="P14" s="184"/>
      <c r="Q14" s="184"/>
    </row>
    <row r="15" spans="1:17" x14ac:dyDescent="0.2">
      <c r="A15" s="223">
        <v>300000</v>
      </c>
      <c r="B15" s="185" t="s">
        <v>768</v>
      </c>
      <c r="C15" s="134">
        <v>0</v>
      </c>
      <c r="D15" s="134">
        <v>5556846.3399999999</v>
      </c>
      <c r="E15" s="134">
        <v>5556846.3399999999</v>
      </c>
      <c r="F15" s="134">
        <v>5556846.3399999999</v>
      </c>
      <c r="G15" s="184"/>
      <c r="H15" s="184"/>
      <c r="I15" s="184"/>
      <c r="J15" s="184"/>
      <c r="K15" s="184"/>
      <c r="L15" s="184"/>
      <c r="M15" s="184"/>
      <c r="N15" s="184"/>
      <c r="O15" s="184"/>
      <c r="P15" s="184"/>
      <c r="Q15" s="184"/>
    </row>
    <row r="16" spans="1:17" ht="38.25" x14ac:dyDescent="0.2">
      <c r="A16" s="224">
        <v>301000</v>
      </c>
      <c r="B16" s="185" t="s">
        <v>769</v>
      </c>
      <c r="C16" s="134">
        <v>0</v>
      </c>
      <c r="D16" s="134">
        <v>5556846.3399999999</v>
      </c>
      <c r="E16" s="134">
        <v>5556846.3399999999</v>
      </c>
      <c r="F16" s="134">
        <v>5556846.3399999999</v>
      </c>
      <c r="G16" s="184"/>
      <c r="H16" s="184"/>
      <c r="I16" s="184"/>
      <c r="J16" s="184"/>
      <c r="K16" s="184"/>
      <c r="L16" s="184"/>
      <c r="M16" s="184"/>
      <c r="N16" s="184"/>
      <c r="O16" s="184"/>
      <c r="P16" s="184"/>
      <c r="Q16" s="184"/>
    </row>
    <row r="17" spans="1:17" x14ac:dyDescent="0.2">
      <c r="A17" s="135">
        <v>301100</v>
      </c>
      <c r="B17" s="137" t="s">
        <v>770</v>
      </c>
      <c r="C17" s="134"/>
      <c r="D17" s="134">
        <v>8287748</v>
      </c>
      <c r="E17" s="134">
        <v>8287748</v>
      </c>
      <c r="F17" s="134"/>
      <c r="G17" s="184"/>
      <c r="H17" s="184"/>
      <c r="I17" s="184"/>
      <c r="J17" s="184"/>
      <c r="K17" s="184"/>
      <c r="L17" s="184"/>
      <c r="M17" s="184"/>
      <c r="N17" s="184"/>
      <c r="O17" s="184"/>
      <c r="P17" s="184"/>
      <c r="Q17" s="184"/>
    </row>
    <row r="18" spans="1:17" x14ac:dyDescent="0.2">
      <c r="A18" s="135">
        <v>301200</v>
      </c>
      <c r="B18" s="137" t="s">
        <v>771</v>
      </c>
      <c r="C18" s="134"/>
      <c r="D18" s="134">
        <v>-2730901.66</v>
      </c>
      <c r="E18" s="134">
        <v>-2730901.66</v>
      </c>
      <c r="F18" s="134"/>
      <c r="G18" s="184"/>
      <c r="H18" s="184"/>
      <c r="I18" s="184"/>
      <c r="J18" s="184"/>
      <c r="K18" s="184"/>
      <c r="L18" s="184"/>
      <c r="M18" s="184"/>
      <c r="N18" s="184"/>
      <c r="O18" s="184"/>
      <c r="P18" s="184"/>
      <c r="Q18" s="184"/>
    </row>
    <row r="19" spans="1:17" ht="51" x14ac:dyDescent="0.2">
      <c r="A19" s="135"/>
      <c r="B19" s="185" t="s">
        <v>772</v>
      </c>
      <c r="C19" s="134">
        <v>-303484651.19999999</v>
      </c>
      <c r="D19" s="134">
        <v>309041497.54000002</v>
      </c>
      <c r="E19" s="134">
        <v>309041497.54000002</v>
      </c>
      <c r="F19" s="134">
        <v>5556846.3399999999</v>
      </c>
      <c r="G19" s="184"/>
      <c r="H19" s="184"/>
      <c r="I19" s="184"/>
      <c r="J19" s="184"/>
      <c r="K19" s="184"/>
      <c r="L19" s="184"/>
      <c r="M19" s="184"/>
      <c r="N19" s="184"/>
      <c r="O19" s="184"/>
      <c r="P19" s="184"/>
      <c r="Q19" s="184"/>
    </row>
    <row r="20" spans="1:17" ht="38.25" x14ac:dyDescent="0.2">
      <c r="A20" s="135"/>
      <c r="B20" s="185" t="s">
        <v>774</v>
      </c>
      <c r="C20" s="134"/>
      <c r="D20" s="134"/>
      <c r="E20" s="134"/>
      <c r="F20" s="134"/>
      <c r="G20" s="184"/>
      <c r="H20" s="184"/>
      <c r="I20" s="184"/>
      <c r="J20" s="184"/>
      <c r="K20" s="184"/>
      <c r="L20" s="184"/>
      <c r="M20" s="184"/>
      <c r="N20" s="184"/>
      <c r="O20" s="184"/>
      <c r="P20" s="184"/>
      <c r="Q20" s="184"/>
    </row>
    <row r="21" spans="1:17" ht="25.5" x14ac:dyDescent="0.2">
      <c r="A21" s="224">
        <v>400000</v>
      </c>
      <c r="B21" s="185" t="s">
        <v>235</v>
      </c>
      <c r="C21" s="134"/>
      <c r="D21" s="134">
        <v>5556846.3399999999</v>
      </c>
      <c r="E21" s="134">
        <v>5556846.3399999999</v>
      </c>
      <c r="F21" s="134">
        <v>5556846.3399999999</v>
      </c>
      <c r="G21" s="184"/>
      <c r="H21" s="184"/>
      <c r="I21" s="184"/>
      <c r="J21" s="184"/>
      <c r="K21" s="184"/>
      <c r="L21" s="184"/>
      <c r="M21" s="184"/>
      <c r="N21" s="184"/>
      <c r="O21" s="184"/>
      <c r="P21" s="184"/>
      <c r="Q21" s="184"/>
    </row>
    <row r="22" spans="1:17" x14ac:dyDescent="0.2">
      <c r="A22" s="224">
        <v>401000</v>
      </c>
      <c r="B22" s="185" t="s">
        <v>236</v>
      </c>
      <c r="C22" s="134"/>
      <c r="D22" s="134">
        <v>8287748</v>
      </c>
      <c r="E22" s="134">
        <v>8287748</v>
      </c>
      <c r="F22" s="134">
        <v>8287748</v>
      </c>
      <c r="G22" s="184"/>
      <c r="H22" s="184"/>
      <c r="I22" s="184"/>
      <c r="J22" s="184"/>
      <c r="K22" s="184"/>
      <c r="L22" s="184"/>
      <c r="M22" s="184"/>
      <c r="N22" s="184"/>
      <c r="O22" s="184"/>
      <c r="P22" s="184"/>
      <c r="Q22" s="184"/>
    </row>
    <row r="23" spans="1:17" s="227" customFormat="1" x14ac:dyDescent="0.2">
      <c r="A23" s="224">
        <v>401200</v>
      </c>
      <c r="B23" s="185" t="s">
        <v>775</v>
      </c>
      <c r="C23" s="134"/>
      <c r="D23" s="134">
        <v>8287748</v>
      </c>
      <c r="E23" s="134">
        <v>8287748</v>
      </c>
      <c r="F23" s="134">
        <v>8287748</v>
      </c>
      <c r="G23" s="226"/>
      <c r="H23" s="226"/>
      <c r="I23" s="226"/>
      <c r="J23" s="226"/>
      <c r="K23" s="226"/>
      <c r="L23" s="226"/>
      <c r="M23" s="226"/>
      <c r="N23" s="226"/>
      <c r="O23" s="226"/>
      <c r="P23" s="226"/>
      <c r="Q23" s="226"/>
    </row>
    <row r="24" spans="1:17" ht="25.5" x14ac:dyDescent="0.2">
      <c r="A24" s="135">
        <v>401202</v>
      </c>
      <c r="B24" s="137" t="s">
        <v>776</v>
      </c>
      <c r="C24" s="134"/>
      <c r="D24" s="136">
        <v>8287748</v>
      </c>
      <c r="E24" s="136">
        <v>8287748</v>
      </c>
      <c r="F24" s="136">
        <v>8287748</v>
      </c>
      <c r="G24" s="184"/>
      <c r="H24" s="184"/>
      <c r="I24" s="184"/>
      <c r="J24" s="184"/>
      <c r="K24" s="184"/>
      <c r="L24" s="184"/>
      <c r="M24" s="184"/>
      <c r="N24" s="184"/>
      <c r="O24" s="184"/>
      <c r="P24" s="184"/>
      <c r="Q24" s="184"/>
    </row>
    <row r="25" spans="1:17" s="227" customFormat="1" x14ac:dyDescent="0.2">
      <c r="A25" s="224">
        <v>402000</v>
      </c>
      <c r="B25" s="185" t="s">
        <v>777</v>
      </c>
      <c r="C25" s="134"/>
      <c r="D25" s="134">
        <v>-2730901.66</v>
      </c>
      <c r="E25" s="134">
        <v>-2730901.66</v>
      </c>
      <c r="F25" s="134">
        <v>-2730901.66</v>
      </c>
      <c r="G25" s="226"/>
      <c r="H25" s="226"/>
      <c r="I25" s="226"/>
      <c r="J25" s="226"/>
      <c r="K25" s="226"/>
      <c r="L25" s="226"/>
      <c r="M25" s="226"/>
      <c r="N25" s="226"/>
      <c r="O25" s="226"/>
      <c r="P25" s="226"/>
      <c r="Q25" s="226"/>
    </row>
    <row r="26" spans="1:17" s="227" customFormat="1" x14ac:dyDescent="0.2">
      <c r="A26" s="224">
        <v>402200</v>
      </c>
      <c r="B26" s="185" t="s">
        <v>778</v>
      </c>
      <c r="C26" s="134"/>
      <c r="D26" s="134">
        <v>-2730901.66</v>
      </c>
      <c r="E26" s="134">
        <v>-2730901.66</v>
      </c>
      <c r="F26" s="134">
        <v>-2730901.66</v>
      </c>
      <c r="G26" s="226"/>
      <c r="H26" s="226"/>
      <c r="I26" s="226"/>
      <c r="J26" s="226"/>
      <c r="K26" s="226"/>
      <c r="L26" s="226"/>
      <c r="M26" s="226"/>
      <c r="N26" s="226"/>
      <c r="O26" s="226"/>
      <c r="P26" s="226"/>
      <c r="Q26" s="226"/>
    </row>
    <row r="27" spans="1:17" ht="25.5" customHeight="1" x14ac:dyDescent="0.2">
      <c r="A27" s="135">
        <v>402202</v>
      </c>
      <c r="B27" s="137" t="s">
        <v>776</v>
      </c>
      <c r="C27" s="134"/>
      <c r="D27" s="136">
        <v>-2730901.66</v>
      </c>
      <c r="E27" s="136">
        <v>-2730901.66</v>
      </c>
      <c r="F27" s="136">
        <v>-2730901.66</v>
      </c>
      <c r="G27" s="184"/>
      <c r="H27" s="184"/>
      <c r="I27" s="184"/>
      <c r="J27" s="184"/>
      <c r="K27" s="184"/>
      <c r="L27" s="184"/>
      <c r="M27" s="184"/>
      <c r="N27" s="184"/>
      <c r="O27" s="184"/>
      <c r="P27" s="184"/>
      <c r="Q27" s="184"/>
    </row>
    <row r="28" spans="1:17" ht="25.5" customHeight="1" x14ac:dyDescent="0.2">
      <c r="A28" s="224"/>
      <c r="B28" s="185" t="s">
        <v>892</v>
      </c>
      <c r="C28" s="134">
        <v>-303484651.19999999</v>
      </c>
      <c r="D28" s="134">
        <v>437857134.44999999</v>
      </c>
      <c r="E28" s="134">
        <v>436979721.07999998</v>
      </c>
      <c r="F28" s="134">
        <v>134372483.25</v>
      </c>
      <c r="G28" s="184"/>
      <c r="H28" s="184"/>
      <c r="I28" s="184"/>
      <c r="J28" s="184"/>
      <c r="K28" s="184"/>
      <c r="L28" s="184"/>
      <c r="M28" s="184"/>
      <c r="N28" s="184"/>
      <c r="O28" s="184"/>
      <c r="P28" s="184"/>
      <c r="Q28" s="184"/>
    </row>
    <row r="29" spans="1:17" ht="25.5" x14ac:dyDescent="0.2">
      <c r="A29" s="221" t="s">
        <v>237</v>
      </c>
      <c r="B29" s="221" t="s">
        <v>238</v>
      </c>
      <c r="C29" s="134">
        <v>-303484651.19999999</v>
      </c>
      <c r="D29" s="134">
        <v>303484651.19999999</v>
      </c>
      <c r="E29" s="134">
        <v>303484651.19999999</v>
      </c>
      <c r="F29" s="134">
        <f t="shared" si="0"/>
        <v>0</v>
      </c>
      <c r="G29" s="184"/>
      <c r="H29" s="184"/>
      <c r="I29" s="184"/>
      <c r="J29" s="184"/>
      <c r="K29" s="184"/>
      <c r="L29" s="184"/>
      <c r="M29" s="184"/>
      <c r="N29" s="184"/>
      <c r="O29" s="184"/>
      <c r="P29" s="184"/>
      <c r="Q29" s="184"/>
    </row>
    <row r="30" spans="1:17" ht="36" customHeight="1" x14ac:dyDescent="0.2">
      <c r="A30" s="135">
        <v>602100</v>
      </c>
      <c r="B30" s="137" t="s">
        <v>239</v>
      </c>
      <c r="C30" s="136"/>
      <c r="D30" s="136"/>
      <c r="E30" s="136"/>
      <c r="F30" s="136">
        <f t="shared" si="0"/>
        <v>0</v>
      </c>
      <c r="G30" s="184"/>
      <c r="H30" s="184"/>
      <c r="I30" s="184"/>
      <c r="J30" s="184"/>
      <c r="K30" s="184"/>
      <c r="L30" s="184"/>
      <c r="M30" s="184"/>
      <c r="N30" s="184"/>
      <c r="O30" s="184"/>
      <c r="P30" s="184"/>
      <c r="Q30" s="184"/>
    </row>
    <row r="31" spans="1:17" ht="39.75" hidden="1" customHeight="1" x14ac:dyDescent="0.2">
      <c r="A31" s="135">
        <v>602200</v>
      </c>
      <c r="B31" s="137" t="s">
        <v>240</v>
      </c>
      <c r="C31" s="136"/>
      <c r="D31" s="136"/>
      <c r="E31" s="134"/>
      <c r="F31" s="136">
        <f>SUM(C31:D31)</f>
        <v>0</v>
      </c>
      <c r="G31" s="184"/>
      <c r="H31" s="184"/>
      <c r="I31" s="184"/>
      <c r="J31" s="184"/>
      <c r="K31" s="184"/>
      <c r="L31" s="184"/>
      <c r="M31" s="184"/>
      <c r="N31" s="184"/>
      <c r="O31" s="184"/>
      <c r="P31" s="184"/>
      <c r="Q31" s="184"/>
    </row>
    <row r="32" spans="1:17" ht="52.5" customHeight="1" x14ac:dyDescent="0.2">
      <c r="A32" s="135">
        <v>602400</v>
      </c>
      <c r="B32" s="137" t="s">
        <v>234</v>
      </c>
      <c r="C32" s="134">
        <v>-303484651.19999999</v>
      </c>
      <c r="D32" s="134">
        <v>303484651.19999999</v>
      </c>
      <c r="E32" s="134">
        <v>303484651.19999999</v>
      </c>
      <c r="F32" s="134">
        <v>0</v>
      </c>
      <c r="G32" s="184"/>
      <c r="H32" s="184"/>
      <c r="I32" s="184"/>
      <c r="J32" s="184"/>
      <c r="K32" s="184"/>
      <c r="L32" s="184"/>
      <c r="M32" s="184"/>
      <c r="N32" s="184"/>
      <c r="O32" s="184"/>
      <c r="P32" s="184"/>
      <c r="Q32" s="184"/>
    </row>
    <row r="33" spans="1:17" ht="66" customHeight="1" x14ac:dyDescent="0.2">
      <c r="A33" s="224"/>
      <c r="B33" s="185" t="s">
        <v>886</v>
      </c>
      <c r="C33" s="134">
        <v>-184808544.09999999</v>
      </c>
      <c r="D33" s="134">
        <v>319181027.35000002</v>
      </c>
      <c r="E33" s="134">
        <v>317637034.98000002</v>
      </c>
      <c r="F33" s="134">
        <f>C33+D33</f>
        <v>134372483.25000003</v>
      </c>
      <c r="G33" s="184"/>
      <c r="H33" s="184"/>
      <c r="I33" s="184"/>
      <c r="J33" s="184"/>
      <c r="K33" s="184"/>
      <c r="L33" s="184"/>
      <c r="M33" s="184"/>
      <c r="N33" s="184"/>
      <c r="O33" s="184"/>
      <c r="P33" s="184"/>
      <c r="Q33" s="184"/>
    </row>
    <row r="34" spans="1:17" x14ac:dyDescent="0.2">
      <c r="A34" s="208"/>
      <c r="B34" s="208"/>
      <c r="C34" s="208"/>
      <c r="D34" s="208"/>
      <c r="E34" s="208"/>
      <c r="F34" s="208"/>
      <c r="G34" s="208"/>
      <c r="H34" s="208"/>
      <c r="I34" s="208"/>
    </row>
    <row r="35" spans="1:17" x14ac:dyDescent="0.2">
      <c r="A35" s="208"/>
      <c r="B35" s="644" t="s">
        <v>1032</v>
      </c>
      <c r="C35" s="645"/>
      <c r="D35" s="208"/>
      <c r="E35" s="208" t="s">
        <v>1031</v>
      </c>
      <c r="F35" s="208"/>
      <c r="G35" s="208"/>
      <c r="H35" s="208"/>
      <c r="I35" s="208"/>
    </row>
    <row r="36" spans="1:17" x14ac:dyDescent="0.2">
      <c r="A36" s="208"/>
      <c r="B36" s="597"/>
      <c r="C36" s="208"/>
      <c r="D36" s="208"/>
      <c r="E36" s="208"/>
      <c r="F36" s="208"/>
      <c r="G36" s="208"/>
      <c r="H36" s="208"/>
      <c r="I36" s="208"/>
    </row>
    <row r="37" spans="1:17" x14ac:dyDescent="0.2">
      <c r="A37" s="641" t="s">
        <v>1039</v>
      </c>
      <c r="B37" s="641"/>
      <c r="C37" s="641"/>
      <c r="D37" s="641"/>
      <c r="E37" s="641"/>
      <c r="F37" s="641"/>
      <c r="G37" s="641"/>
      <c r="H37" s="641"/>
      <c r="I37" s="641"/>
    </row>
  </sheetData>
  <mergeCells count="7">
    <mergeCell ref="A37:I37"/>
    <mergeCell ref="A5:F5"/>
    <mergeCell ref="A7:A8"/>
    <mergeCell ref="B7:B8"/>
    <mergeCell ref="D7:E7"/>
    <mergeCell ref="F7:F8"/>
    <mergeCell ref="B35:C35"/>
  </mergeCells>
  <pageMargins left="1.1811023622047245" right="0.44" top="0.39370078740157483" bottom="0.19685039370078741" header="0.39370078740157483" footer="0.1574803149606299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0"/>
  <sheetViews>
    <sheetView showGridLines="0" showZeros="0" view="pageBreakPreview" topLeftCell="B1" zoomScale="85" zoomScaleNormal="85" zoomScaleSheetLayoutView="85" workbookViewId="0">
      <selection activeCell="I25" sqref="I25"/>
    </sheetView>
  </sheetViews>
  <sheetFormatPr defaultColWidth="7.85546875" defaultRowHeight="12.75" x14ac:dyDescent="0.2"/>
  <cols>
    <col min="1" max="1" width="0" style="29" hidden="1" customWidth="1"/>
    <col min="2" max="3" width="10.28515625" style="139" customWidth="1"/>
    <col min="4" max="4" width="10.140625" style="139" customWidth="1"/>
    <col min="5" max="5" width="35.140625" style="139" customWidth="1"/>
    <col min="6" max="6" width="10.5703125" style="139" customWidth="1"/>
    <col min="7" max="7" width="15.140625" style="139" customWidth="1"/>
    <col min="8" max="8" width="10.85546875" style="139" customWidth="1"/>
    <col min="9" max="9" width="12.5703125" style="139" customWidth="1"/>
    <col min="10" max="10" width="12.140625" style="139" customWidth="1"/>
    <col min="11" max="11" width="12.85546875" style="139" customWidth="1"/>
    <col min="12" max="12" width="11.140625" style="139" customWidth="1"/>
    <col min="13" max="13" width="13" style="139" customWidth="1"/>
    <col min="14" max="14" width="11.42578125" style="139" customWidth="1"/>
    <col min="15" max="15" width="12.7109375" style="139" customWidth="1"/>
    <col min="16" max="16" width="11.28515625" style="139" customWidth="1"/>
    <col min="17" max="17" width="12.7109375" style="139" customWidth="1"/>
    <col min="18" max="16384" width="7.85546875" style="139"/>
  </cols>
  <sheetData>
    <row r="2" spans="1:21" ht="64.5" customHeight="1" x14ac:dyDescent="0.2">
      <c r="B2" s="29"/>
      <c r="C2" s="29"/>
      <c r="D2" s="29"/>
      <c r="E2" s="138"/>
      <c r="F2" s="138"/>
      <c r="G2" s="138"/>
      <c r="H2" s="138"/>
      <c r="I2" s="138"/>
      <c r="J2" s="138"/>
      <c r="K2" s="138"/>
      <c r="L2" s="138"/>
      <c r="M2" s="647" t="s">
        <v>915</v>
      </c>
      <c r="N2" s="647"/>
      <c r="O2" s="647"/>
      <c r="P2" s="647"/>
      <c r="Q2" s="647"/>
    </row>
    <row r="3" spans="1:21" ht="32.450000000000003" customHeight="1" x14ac:dyDescent="0.2">
      <c r="B3" s="29"/>
      <c r="C3" s="29"/>
      <c r="D3" s="29"/>
      <c r="E3" s="648" t="s">
        <v>640</v>
      </c>
      <c r="F3" s="648"/>
      <c r="G3" s="648"/>
      <c r="H3" s="648"/>
      <c r="I3" s="648"/>
      <c r="J3" s="648"/>
      <c r="K3" s="648"/>
      <c r="L3" s="648"/>
      <c r="M3" s="648"/>
      <c r="N3" s="141"/>
      <c r="O3" s="141"/>
      <c r="P3" s="141"/>
      <c r="Q3" s="141"/>
    </row>
    <row r="4" spans="1:21" ht="12" customHeight="1" x14ac:dyDescent="0.3">
      <c r="B4" s="142"/>
      <c r="C4" s="142"/>
      <c r="D4" s="143"/>
      <c r="E4" s="648"/>
      <c r="F4" s="648"/>
      <c r="G4" s="648"/>
      <c r="H4" s="648"/>
      <c r="I4" s="648"/>
      <c r="J4" s="648"/>
      <c r="K4" s="648"/>
      <c r="L4" s="648"/>
      <c r="M4" s="648"/>
      <c r="N4" s="29"/>
      <c r="O4" s="29"/>
      <c r="P4" s="29"/>
      <c r="Q4" s="144"/>
      <c r="R4" s="138"/>
      <c r="S4" s="138"/>
      <c r="T4" s="138"/>
      <c r="U4" s="138"/>
    </row>
    <row r="5" spans="1:21" ht="7.5" customHeight="1" x14ac:dyDescent="0.3">
      <c r="B5" s="142"/>
      <c r="C5" s="142"/>
      <c r="D5" s="143"/>
      <c r="E5" s="140"/>
      <c r="F5" s="140"/>
      <c r="G5" s="140"/>
      <c r="H5" s="140"/>
      <c r="I5" s="140"/>
      <c r="J5" s="140"/>
      <c r="K5" s="140"/>
      <c r="L5" s="140"/>
      <c r="M5" s="140"/>
      <c r="N5" s="29"/>
      <c r="O5" s="29"/>
      <c r="P5" s="29"/>
      <c r="Q5" s="35" t="s">
        <v>134</v>
      </c>
      <c r="R5" s="138"/>
      <c r="S5" s="138"/>
      <c r="T5" s="138"/>
      <c r="U5" s="138"/>
    </row>
    <row r="6" spans="1:21" ht="30.75" customHeight="1" x14ac:dyDescent="0.2">
      <c r="A6" s="145"/>
      <c r="B6" s="654" t="s">
        <v>241</v>
      </c>
      <c r="C6" s="654" t="s">
        <v>61</v>
      </c>
      <c r="D6" s="654" t="s">
        <v>43</v>
      </c>
      <c r="E6" s="652" t="s">
        <v>56</v>
      </c>
      <c r="F6" s="650" t="s">
        <v>242</v>
      </c>
      <c r="G6" s="650"/>
      <c r="H6" s="650"/>
      <c r="I6" s="658"/>
      <c r="J6" s="649" t="s">
        <v>243</v>
      </c>
      <c r="K6" s="650"/>
      <c r="L6" s="650"/>
      <c r="M6" s="650"/>
      <c r="N6" s="651" t="s">
        <v>244</v>
      </c>
      <c r="O6" s="651"/>
      <c r="P6" s="651"/>
      <c r="Q6" s="651"/>
      <c r="R6" s="138"/>
      <c r="S6" s="138"/>
      <c r="T6" s="138"/>
      <c r="U6" s="138"/>
    </row>
    <row r="7" spans="1:21" ht="28.5" customHeight="1" x14ac:dyDescent="0.2">
      <c r="A7" s="146"/>
      <c r="B7" s="655"/>
      <c r="C7" s="655"/>
      <c r="D7" s="655"/>
      <c r="E7" s="657"/>
      <c r="F7" s="652" t="s">
        <v>36</v>
      </c>
      <c r="G7" s="652" t="s">
        <v>124</v>
      </c>
      <c r="H7" s="147" t="s">
        <v>245</v>
      </c>
      <c r="I7" s="652" t="s">
        <v>35</v>
      </c>
      <c r="J7" s="652" t="s">
        <v>36</v>
      </c>
      <c r="K7" s="652" t="s">
        <v>124</v>
      </c>
      <c r="L7" s="147" t="s">
        <v>245</v>
      </c>
      <c r="M7" s="652" t="s">
        <v>35</v>
      </c>
      <c r="N7" s="652" t="s">
        <v>36</v>
      </c>
      <c r="O7" s="652" t="s">
        <v>124</v>
      </c>
      <c r="P7" s="147" t="s">
        <v>245</v>
      </c>
      <c r="Q7" s="652" t="s">
        <v>35</v>
      </c>
      <c r="R7" s="138"/>
      <c r="S7" s="138"/>
      <c r="T7" s="138"/>
      <c r="U7" s="138"/>
    </row>
    <row r="8" spans="1:21" ht="60" customHeight="1" x14ac:dyDescent="0.2">
      <c r="A8" s="148"/>
      <c r="B8" s="656"/>
      <c r="C8" s="656"/>
      <c r="D8" s="656"/>
      <c r="E8" s="653"/>
      <c r="F8" s="653"/>
      <c r="G8" s="653"/>
      <c r="H8" s="147" t="s">
        <v>32</v>
      </c>
      <c r="I8" s="653"/>
      <c r="J8" s="653"/>
      <c r="K8" s="653"/>
      <c r="L8" s="147" t="s">
        <v>32</v>
      </c>
      <c r="M8" s="653"/>
      <c r="N8" s="653"/>
      <c r="O8" s="653"/>
      <c r="P8" s="147" t="s">
        <v>32</v>
      </c>
      <c r="Q8" s="653"/>
      <c r="R8" s="138"/>
      <c r="S8" s="138"/>
      <c r="T8" s="138"/>
      <c r="U8" s="138"/>
    </row>
    <row r="9" spans="1:21" s="153" customFormat="1" ht="42.75" x14ac:dyDescent="0.2">
      <c r="A9" s="149"/>
      <c r="B9" s="150" t="s">
        <v>65</v>
      </c>
      <c r="C9" s="150"/>
      <c r="D9" s="150"/>
      <c r="E9" s="151" t="s">
        <v>66</v>
      </c>
      <c r="F9" s="152">
        <f>F10</f>
        <v>0</v>
      </c>
      <c r="G9" s="152">
        <f>G10</f>
        <v>182000</v>
      </c>
      <c r="H9" s="152" t="s">
        <v>246</v>
      </c>
      <c r="I9" s="152">
        <f>I10</f>
        <v>182000</v>
      </c>
      <c r="J9" s="152" t="s">
        <v>246</v>
      </c>
      <c r="K9" s="152">
        <f>K10</f>
        <v>-182000</v>
      </c>
      <c r="L9" s="152" t="s">
        <v>246</v>
      </c>
      <c r="M9" s="152">
        <f>M10</f>
        <v>-182000</v>
      </c>
      <c r="N9" s="152">
        <f>F9+J9</f>
        <v>0</v>
      </c>
      <c r="O9" s="152" t="s">
        <v>246</v>
      </c>
      <c r="P9" s="152" t="s">
        <v>246</v>
      </c>
      <c r="Q9" s="152" t="s">
        <v>246</v>
      </c>
    </row>
    <row r="10" spans="1:21" ht="45" x14ac:dyDescent="0.2">
      <c r="B10" s="154" t="s">
        <v>64</v>
      </c>
      <c r="C10" s="154"/>
      <c r="D10" s="154"/>
      <c r="E10" s="155" t="s">
        <v>90</v>
      </c>
      <c r="F10" s="156">
        <f>F11</f>
        <v>0</v>
      </c>
      <c r="G10" s="156">
        <f>G11</f>
        <v>182000</v>
      </c>
      <c r="H10" s="156" t="s">
        <v>246</v>
      </c>
      <c r="I10" s="156">
        <f>I11</f>
        <v>182000</v>
      </c>
      <c r="J10" s="156" t="s">
        <v>246</v>
      </c>
      <c r="K10" s="156">
        <f>K11</f>
        <v>-182000</v>
      </c>
      <c r="L10" s="156" t="s">
        <v>246</v>
      </c>
      <c r="M10" s="156">
        <f>M11</f>
        <v>-182000</v>
      </c>
      <c r="N10" s="156">
        <f t="shared" ref="N10:N13" si="0">F10+J10</f>
        <v>0</v>
      </c>
      <c r="O10" s="156" t="s">
        <v>246</v>
      </c>
      <c r="P10" s="156" t="s">
        <v>246</v>
      </c>
      <c r="Q10" s="156" t="s">
        <v>246</v>
      </c>
    </row>
    <row r="11" spans="1:21" ht="45" x14ac:dyDescent="0.2">
      <c r="B11" s="150" t="s">
        <v>793</v>
      </c>
      <c r="C11" s="157" t="s">
        <v>794</v>
      </c>
      <c r="D11" s="157"/>
      <c r="E11" s="42" t="s">
        <v>792</v>
      </c>
      <c r="F11" s="156">
        <f>F12+F13</f>
        <v>0</v>
      </c>
      <c r="G11" s="152">
        <f>G12+G13</f>
        <v>182000</v>
      </c>
      <c r="H11" s="152" t="s">
        <v>246</v>
      </c>
      <c r="I11" s="152">
        <f>I12+I13</f>
        <v>182000</v>
      </c>
      <c r="J11" s="152" t="s">
        <v>246</v>
      </c>
      <c r="K11" s="152">
        <f>K12+K13</f>
        <v>-182000</v>
      </c>
      <c r="L11" s="152" t="s">
        <v>246</v>
      </c>
      <c r="M11" s="152">
        <f>M12+M13</f>
        <v>-182000</v>
      </c>
      <c r="N11" s="152">
        <f t="shared" si="0"/>
        <v>0</v>
      </c>
      <c r="O11" s="152" t="s">
        <v>246</v>
      </c>
      <c r="P11" s="152" t="s">
        <v>246</v>
      </c>
      <c r="Q11" s="152" t="s">
        <v>246</v>
      </c>
    </row>
    <row r="12" spans="1:21" ht="15" x14ac:dyDescent="0.2">
      <c r="B12" s="154" t="s">
        <v>795</v>
      </c>
      <c r="C12" s="158" t="s">
        <v>797</v>
      </c>
      <c r="D12" s="158" t="s">
        <v>117</v>
      </c>
      <c r="E12" s="46" t="s">
        <v>374</v>
      </c>
      <c r="F12" s="159">
        <v>0</v>
      </c>
      <c r="G12" s="159">
        <v>182000</v>
      </c>
      <c r="H12" s="159" t="s">
        <v>246</v>
      </c>
      <c r="I12" s="159">
        <f>F12+G12</f>
        <v>182000</v>
      </c>
      <c r="J12" s="159" t="s">
        <v>246</v>
      </c>
      <c r="K12" s="159" t="s">
        <v>246</v>
      </c>
      <c r="L12" s="159" t="s">
        <v>246</v>
      </c>
      <c r="M12" s="159" t="s">
        <v>246</v>
      </c>
      <c r="N12" s="159">
        <f t="shared" si="0"/>
        <v>0</v>
      </c>
      <c r="O12" s="180">
        <f>G12+K12</f>
        <v>182000</v>
      </c>
      <c r="P12" s="159" t="s">
        <v>246</v>
      </c>
      <c r="Q12" s="180">
        <f>I12+M12</f>
        <v>182000</v>
      </c>
    </row>
    <row r="13" spans="1:21" ht="15" x14ac:dyDescent="0.2">
      <c r="B13" s="154" t="s">
        <v>796</v>
      </c>
      <c r="C13" s="158" t="s">
        <v>798</v>
      </c>
      <c r="D13" s="158" t="s">
        <v>117</v>
      </c>
      <c r="E13" s="46" t="s">
        <v>375</v>
      </c>
      <c r="F13" s="159"/>
      <c r="G13" s="159"/>
      <c r="H13" s="159" t="s">
        <v>246</v>
      </c>
      <c r="I13" s="159" t="s">
        <v>246</v>
      </c>
      <c r="J13" s="159" t="s">
        <v>246</v>
      </c>
      <c r="K13" s="159">
        <v>-182000</v>
      </c>
      <c r="L13" s="159" t="s">
        <v>246</v>
      </c>
      <c r="M13" s="180">
        <f>J13+K13</f>
        <v>-182000</v>
      </c>
      <c r="N13" s="159">
        <f t="shared" si="0"/>
        <v>0</v>
      </c>
      <c r="O13" s="180">
        <f>G13+K13</f>
        <v>-182000</v>
      </c>
      <c r="P13" s="159" t="s">
        <v>246</v>
      </c>
      <c r="Q13" s="180">
        <f>I13+M13</f>
        <v>-182000</v>
      </c>
    </row>
    <row r="14" spans="1:21" ht="27.75" customHeight="1" x14ac:dyDescent="0.2">
      <c r="B14" s="251"/>
      <c r="C14" s="251"/>
      <c r="D14" s="252"/>
      <c r="E14" s="253" t="s">
        <v>60</v>
      </c>
      <c r="F14" s="254" t="str">
        <f>J14</f>
        <v>0,0</v>
      </c>
      <c r="G14" s="254">
        <f>G9</f>
        <v>182000</v>
      </c>
      <c r="H14" s="254" t="str">
        <f t="shared" ref="H14:O14" si="1">H9</f>
        <v>0,0</v>
      </c>
      <c r="I14" s="254">
        <f t="shared" si="1"/>
        <v>182000</v>
      </c>
      <c r="J14" s="254" t="str">
        <f>J9</f>
        <v>0,0</v>
      </c>
      <c r="K14" s="254">
        <f>K9</f>
        <v>-182000</v>
      </c>
      <c r="L14" s="254" t="str">
        <f>L9</f>
        <v>0,0</v>
      </c>
      <c r="M14" s="254">
        <f t="shared" si="1"/>
        <v>-182000</v>
      </c>
      <c r="N14" s="254" t="str">
        <f>L14</f>
        <v>0,0</v>
      </c>
      <c r="O14" s="254" t="str">
        <f t="shared" si="1"/>
        <v>0,0</v>
      </c>
      <c r="P14" s="254" t="str">
        <f>P9</f>
        <v>0,0</v>
      </c>
      <c r="Q14" s="254" t="str">
        <f>P14</f>
        <v>0,0</v>
      </c>
    </row>
    <row r="15" spans="1:21" ht="27.75" customHeight="1" x14ac:dyDescent="0.25">
      <c r="B15" s="598"/>
      <c r="C15" s="598"/>
      <c r="D15" s="646" t="s">
        <v>1035</v>
      </c>
      <c r="E15" s="646"/>
      <c r="F15" s="646"/>
      <c r="G15" s="646"/>
      <c r="H15" s="646"/>
      <c r="I15" s="646"/>
      <c r="J15" s="646"/>
      <c r="K15" s="646"/>
      <c r="L15" s="646"/>
      <c r="M15" s="646"/>
      <c r="N15" s="646"/>
      <c r="O15" s="646"/>
      <c r="P15" s="646"/>
      <c r="Q15" s="599"/>
    </row>
    <row r="16" spans="1:21" ht="15.75" customHeight="1" x14ac:dyDescent="0.25">
      <c r="B16" s="598"/>
      <c r="C16" s="598"/>
      <c r="D16" s="646"/>
      <c r="E16" s="646"/>
      <c r="F16" s="646"/>
      <c r="G16" s="646"/>
      <c r="H16" s="646"/>
      <c r="I16" s="646"/>
      <c r="J16" s="646"/>
      <c r="K16" s="646"/>
      <c r="L16" s="646"/>
      <c r="M16" s="646"/>
      <c r="N16" s="646"/>
      <c r="O16" s="646"/>
      <c r="P16" s="646"/>
      <c r="Q16" s="599"/>
    </row>
    <row r="17" spans="4:16" ht="15" x14ac:dyDescent="0.25">
      <c r="D17" s="646" t="s">
        <v>290</v>
      </c>
      <c r="E17" s="646"/>
      <c r="F17" s="646"/>
      <c r="G17" s="646"/>
      <c r="H17" s="646"/>
      <c r="I17" s="646"/>
      <c r="J17" s="646"/>
      <c r="K17" s="646"/>
      <c r="L17" s="646"/>
      <c r="M17" s="646"/>
      <c r="N17" s="646"/>
      <c r="O17" s="646"/>
      <c r="P17" s="646"/>
    </row>
    <row r="18" spans="4:16" ht="15" x14ac:dyDescent="0.25">
      <c r="D18" s="646"/>
      <c r="E18" s="646"/>
      <c r="F18" s="646"/>
      <c r="G18" s="646"/>
      <c r="H18" s="646"/>
      <c r="I18" s="646"/>
      <c r="J18" s="646"/>
      <c r="K18" s="646"/>
      <c r="L18" s="646"/>
      <c r="M18" s="646"/>
      <c r="N18" s="646"/>
      <c r="O18" s="646"/>
      <c r="P18" s="646"/>
    </row>
    <row r="19" spans="4:16" ht="15" x14ac:dyDescent="0.2">
      <c r="D19" s="600"/>
      <c r="E19" s="601"/>
      <c r="F19" s="602"/>
      <c r="G19" s="600"/>
      <c r="H19" s="600"/>
      <c r="I19" s="603"/>
      <c r="J19" s="601"/>
      <c r="K19" s="603"/>
      <c r="L19" s="600"/>
      <c r="M19" s="600"/>
      <c r="N19" s="603"/>
      <c r="O19" s="605"/>
      <c r="P19" s="606"/>
    </row>
    <row r="20" spans="4:16" ht="15" x14ac:dyDescent="0.25">
      <c r="D20" s="607"/>
      <c r="E20" s="607"/>
      <c r="F20" s="607"/>
      <c r="G20" s="607"/>
      <c r="H20" s="607"/>
      <c r="I20" s="607"/>
      <c r="J20" s="607"/>
      <c r="K20" s="607"/>
      <c r="L20" s="607"/>
      <c r="M20" s="607"/>
      <c r="N20" s="607"/>
      <c r="O20" s="607"/>
      <c r="P20" s="607"/>
    </row>
  </sheetData>
  <mergeCells count="22">
    <mergeCell ref="B6:B8"/>
    <mergeCell ref="C6:C8"/>
    <mergeCell ref="D6:D8"/>
    <mergeCell ref="E6:E8"/>
    <mergeCell ref="F6:I6"/>
    <mergeCell ref="F7:F8"/>
    <mergeCell ref="G7:G8"/>
    <mergeCell ref="I7:I8"/>
    <mergeCell ref="D18:P18"/>
    <mergeCell ref="D15:P15"/>
    <mergeCell ref="D17:P17"/>
    <mergeCell ref="M2:Q2"/>
    <mergeCell ref="E3:M4"/>
    <mergeCell ref="J6:M6"/>
    <mergeCell ref="N6:Q6"/>
    <mergeCell ref="O7:O8"/>
    <mergeCell ref="Q7:Q8"/>
    <mergeCell ref="M7:M8"/>
    <mergeCell ref="N7:N8"/>
    <mergeCell ref="J7:J8"/>
    <mergeCell ref="K7:K8"/>
    <mergeCell ref="D16:P16"/>
  </mergeCells>
  <printOptions horizontalCentered="1"/>
  <pageMargins left="0.19685039370078741" right="0" top="0.59055118110236227" bottom="0.39370078740157483" header="0.31496062992125984" footer="0.31496062992125984"/>
  <pageSetup paperSize="9" scale="65" fitToHeight="0"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65"/>
  <sheetViews>
    <sheetView view="pageBreakPreview" topLeftCell="B1" zoomScale="85" zoomScaleNormal="40" zoomScaleSheetLayoutView="85" workbookViewId="0">
      <pane ySplit="5" topLeftCell="A82" activePane="bottomLeft" state="frozen"/>
      <selection activeCell="B1" sqref="B1"/>
      <selection pane="bottomLeft" activeCell="J38" sqref="J38"/>
    </sheetView>
  </sheetViews>
  <sheetFormatPr defaultColWidth="7.85546875" defaultRowHeight="12.75" x14ac:dyDescent="0.2"/>
  <cols>
    <col min="1" max="1" width="3.28515625" style="29" hidden="1" customWidth="1"/>
    <col min="2" max="2" width="13" style="235" customWidth="1"/>
    <col min="3" max="3" width="12" style="235" customWidth="1"/>
    <col min="4" max="4" width="13.7109375" style="235" customWidth="1"/>
    <col min="5" max="5" width="41.5703125" style="235" customWidth="1"/>
    <col min="6" max="6" width="38.5703125" style="235" customWidth="1"/>
    <col min="7" max="10" width="18.140625" style="235" customWidth="1"/>
    <col min="11" max="11" width="10.5703125" style="30" bestFit="1" customWidth="1"/>
    <col min="12" max="12" width="16.5703125" style="30" customWidth="1"/>
    <col min="13" max="13" width="13.7109375" style="30" customWidth="1"/>
    <col min="14" max="14" width="12.7109375" style="30" customWidth="1"/>
    <col min="15" max="16384" width="7.85546875" style="30"/>
  </cols>
  <sheetData>
    <row r="1" spans="1:16" s="28" customFormat="1" ht="22.5" customHeight="1" x14ac:dyDescent="0.25">
      <c r="A1" s="27"/>
      <c r="B1" s="662"/>
      <c r="C1" s="662"/>
      <c r="D1" s="662"/>
      <c r="E1" s="662"/>
      <c r="F1" s="662"/>
      <c r="G1" s="662"/>
      <c r="H1" s="662"/>
      <c r="I1" s="662"/>
      <c r="J1" s="662"/>
    </row>
    <row r="2" spans="1:16" ht="69.75" customHeight="1" x14ac:dyDescent="0.2">
      <c r="G2" s="647" t="s">
        <v>916</v>
      </c>
      <c r="H2" s="647"/>
      <c r="I2" s="647"/>
      <c r="J2" s="647"/>
    </row>
    <row r="3" spans="1:16" ht="45.6" customHeight="1" x14ac:dyDescent="0.2">
      <c r="B3" s="663" t="s">
        <v>642</v>
      </c>
      <c r="C3" s="664"/>
      <c r="D3" s="664"/>
      <c r="E3" s="664"/>
      <c r="F3" s="664"/>
      <c r="G3" s="664"/>
      <c r="H3" s="664"/>
      <c r="I3" s="664"/>
      <c r="J3" s="664"/>
    </row>
    <row r="4" spans="1:16" ht="18.75" x14ac:dyDescent="0.2">
      <c r="B4" s="231"/>
      <c r="C4" s="232"/>
      <c r="D4" s="232"/>
      <c r="E4" s="232"/>
      <c r="F4" s="233"/>
      <c r="G4" s="233"/>
      <c r="H4" s="234"/>
      <c r="I4" s="233"/>
      <c r="J4" s="236" t="s">
        <v>134</v>
      </c>
    </row>
    <row r="5" spans="1:16" ht="107.25" customHeight="1" x14ac:dyDescent="0.2">
      <c r="A5" s="36"/>
      <c r="B5" s="37" t="s">
        <v>41</v>
      </c>
      <c r="C5" s="37" t="s">
        <v>61</v>
      </c>
      <c r="D5" s="37" t="s">
        <v>43</v>
      </c>
      <c r="E5" s="38" t="s">
        <v>56</v>
      </c>
      <c r="F5" s="39" t="s">
        <v>131</v>
      </c>
      <c r="G5" s="39" t="s">
        <v>132</v>
      </c>
      <c r="H5" s="39" t="s">
        <v>57</v>
      </c>
      <c r="I5" s="39" t="s">
        <v>58</v>
      </c>
      <c r="J5" s="39" t="s">
        <v>59</v>
      </c>
    </row>
    <row r="6" spans="1:16" ht="30" x14ac:dyDescent="0.2">
      <c r="A6" s="36"/>
      <c r="B6" s="282" t="s">
        <v>302</v>
      </c>
      <c r="C6" s="282"/>
      <c r="D6" s="282"/>
      <c r="E6" s="283" t="s">
        <v>304</v>
      </c>
      <c r="F6" s="284"/>
      <c r="G6" s="284"/>
      <c r="H6" s="284"/>
      <c r="I6" s="284"/>
      <c r="J6" s="285">
        <f>J7</f>
        <v>13135537.25</v>
      </c>
    </row>
    <row r="7" spans="1:16" ht="42.75" x14ac:dyDescent="0.2">
      <c r="A7" s="36"/>
      <c r="B7" s="286" t="s">
        <v>303</v>
      </c>
      <c r="C7" s="286"/>
      <c r="D7" s="286"/>
      <c r="E7" s="287" t="s">
        <v>305</v>
      </c>
      <c r="F7" s="284"/>
      <c r="G7" s="284"/>
      <c r="H7" s="284"/>
      <c r="I7" s="284"/>
      <c r="J7" s="288">
        <f>SUM(J8:J19)-J11</f>
        <v>13135537.25</v>
      </c>
    </row>
    <row r="8" spans="1:16" ht="93.75" customHeight="1" x14ac:dyDescent="0.2">
      <c r="A8" s="36"/>
      <c r="B8" s="367" t="s">
        <v>428</v>
      </c>
      <c r="C8" s="367" t="s">
        <v>429</v>
      </c>
      <c r="D8" s="367" t="s">
        <v>430</v>
      </c>
      <c r="E8" s="367" t="s">
        <v>427</v>
      </c>
      <c r="F8" s="368" t="s">
        <v>133</v>
      </c>
      <c r="G8" s="369"/>
      <c r="H8" s="369"/>
      <c r="I8" s="369"/>
      <c r="J8" s="370">
        <f>((525200)+1807600-86000)-501200</f>
        <v>1745600</v>
      </c>
    </row>
    <row r="9" spans="1:16" ht="45" x14ac:dyDescent="0.2">
      <c r="A9" s="36"/>
      <c r="B9" s="367" t="s">
        <v>432</v>
      </c>
      <c r="C9" s="367" t="s">
        <v>433</v>
      </c>
      <c r="D9" s="367" t="s">
        <v>430</v>
      </c>
      <c r="E9" s="367" t="s">
        <v>431</v>
      </c>
      <c r="F9" s="368" t="s">
        <v>133</v>
      </c>
      <c r="G9" s="369"/>
      <c r="H9" s="369"/>
      <c r="I9" s="369"/>
      <c r="J9" s="370">
        <f>((76000+50000)+318000)+6000</f>
        <v>450000</v>
      </c>
    </row>
    <row r="10" spans="1:16" ht="30" x14ac:dyDescent="0.2">
      <c r="A10" s="36"/>
      <c r="B10" s="367" t="s">
        <v>942</v>
      </c>
      <c r="C10" s="367" t="s">
        <v>706</v>
      </c>
      <c r="D10" s="367"/>
      <c r="E10" s="367" t="s">
        <v>833</v>
      </c>
      <c r="F10" s="368" t="s">
        <v>133</v>
      </c>
      <c r="G10" s="369"/>
      <c r="H10" s="369"/>
      <c r="I10" s="369"/>
      <c r="J10" s="370">
        <f>J11</f>
        <v>660842</v>
      </c>
    </row>
    <row r="11" spans="1:16" ht="90" x14ac:dyDescent="0.2">
      <c r="A11" s="36"/>
      <c r="B11" s="378" t="s">
        <v>939</v>
      </c>
      <c r="C11" s="378" t="s">
        <v>940</v>
      </c>
      <c r="D11" s="378" t="s">
        <v>708</v>
      </c>
      <c r="E11" s="378" t="s">
        <v>941</v>
      </c>
      <c r="F11" s="379" t="s">
        <v>133</v>
      </c>
      <c r="G11" s="380"/>
      <c r="H11" s="380"/>
      <c r="I11" s="380"/>
      <c r="J11" s="375">
        <v>660842</v>
      </c>
    </row>
    <row r="12" spans="1:16" ht="45" hidden="1" x14ac:dyDescent="0.2">
      <c r="A12" s="36"/>
      <c r="B12" s="341" t="s">
        <v>646</v>
      </c>
      <c r="C12" s="345" t="s">
        <v>373</v>
      </c>
      <c r="D12" s="345" t="s">
        <v>324</v>
      </c>
      <c r="E12" s="341" t="s">
        <v>89</v>
      </c>
      <c r="F12" s="346" t="s">
        <v>718</v>
      </c>
      <c r="G12" s="343"/>
      <c r="H12" s="343"/>
      <c r="I12" s="343"/>
      <c r="J12" s="344">
        <f>(1300000)-1300000</f>
        <v>0</v>
      </c>
      <c r="L12" s="195"/>
      <c r="M12" s="195"/>
      <c r="N12" s="195"/>
      <c r="O12" s="195"/>
      <c r="P12" s="195"/>
    </row>
    <row r="13" spans="1:16" ht="60" hidden="1" x14ac:dyDescent="0.2">
      <c r="A13" s="36"/>
      <c r="B13" s="341" t="s">
        <v>646</v>
      </c>
      <c r="C13" s="345" t="s">
        <v>373</v>
      </c>
      <c r="D13" s="345" t="s">
        <v>324</v>
      </c>
      <c r="E13" s="341" t="s">
        <v>89</v>
      </c>
      <c r="F13" s="346" t="s">
        <v>719</v>
      </c>
      <c r="G13" s="344">
        <v>1200000</v>
      </c>
      <c r="H13" s="347">
        <f>I13/G13*100</f>
        <v>0</v>
      </c>
      <c r="I13" s="344">
        <v>0</v>
      </c>
      <c r="J13" s="344">
        <f>(1200000)-1200000</f>
        <v>0</v>
      </c>
      <c r="L13" s="195"/>
      <c r="M13" s="195"/>
      <c r="N13" s="195"/>
      <c r="O13" s="195"/>
      <c r="P13" s="195"/>
    </row>
    <row r="14" spans="1:16" ht="30" x14ac:dyDescent="0.2">
      <c r="A14" s="36"/>
      <c r="B14" s="367" t="s">
        <v>438</v>
      </c>
      <c r="C14" s="367" t="s">
        <v>439</v>
      </c>
      <c r="D14" s="367" t="s">
        <v>440</v>
      </c>
      <c r="E14" s="373" t="s">
        <v>441</v>
      </c>
      <c r="F14" s="368" t="s">
        <v>133</v>
      </c>
      <c r="G14" s="370"/>
      <c r="H14" s="374"/>
      <c r="I14" s="370"/>
      <c r="J14" s="370">
        <f>(1200000)+2800000</f>
        <v>4000000</v>
      </c>
      <c r="L14" s="195"/>
      <c r="M14" s="195"/>
      <c r="N14" s="195"/>
      <c r="O14" s="195"/>
      <c r="P14" s="195"/>
    </row>
    <row r="15" spans="1:16" ht="60" x14ac:dyDescent="0.2">
      <c r="A15" s="36"/>
      <c r="B15" s="367" t="s">
        <v>966</v>
      </c>
      <c r="C15" s="367" t="s">
        <v>800</v>
      </c>
      <c r="D15" s="367" t="s">
        <v>103</v>
      </c>
      <c r="E15" s="367" t="s">
        <v>1006</v>
      </c>
      <c r="F15" s="368" t="s">
        <v>133</v>
      </c>
      <c r="G15" s="370"/>
      <c r="H15" s="374"/>
      <c r="I15" s="370"/>
      <c r="J15" s="370">
        <v>100000</v>
      </c>
      <c r="L15" s="195"/>
      <c r="M15" s="195"/>
      <c r="N15" s="195"/>
      <c r="O15" s="195"/>
      <c r="P15" s="195"/>
    </row>
    <row r="16" spans="1:16" ht="75" hidden="1" x14ac:dyDescent="0.2">
      <c r="A16" s="36"/>
      <c r="B16" s="367" t="s">
        <v>966</v>
      </c>
      <c r="C16" s="367" t="s">
        <v>800</v>
      </c>
      <c r="D16" s="367" t="s">
        <v>103</v>
      </c>
      <c r="E16" s="367" t="s">
        <v>967</v>
      </c>
      <c r="F16" s="368" t="s">
        <v>133</v>
      </c>
      <c r="G16" s="370"/>
      <c r="H16" s="374"/>
      <c r="I16" s="370"/>
      <c r="J16" s="370">
        <f>100000-100000</f>
        <v>0</v>
      </c>
      <c r="L16" s="195"/>
      <c r="M16" s="195"/>
      <c r="N16" s="195"/>
      <c r="O16" s="195"/>
      <c r="P16" s="195"/>
    </row>
    <row r="17" spans="1:16" ht="60" x14ac:dyDescent="0.2">
      <c r="A17" s="36"/>
      <c r="B17" s="367" t="s">
        <v>822</v>
      </c>
      <c r="C17" s="367" t="s">
        <v>823</v>
      </c>
      <c r="D17" s="367" t="s">
        <v>103</v>
      </c>
      <c r="E17" s="367" t="s">
        <v>824</v>
      </c>
      <c r="F17" s="368" t="s">
        <v>133</v>
      </c>
      <c r="G17" s="370"/>
      <c r="H17" s="374"/>
      <c r="I17" s="370"/>
      <c r="J17" s="370">
        <f>((5497336-100000)-1200000)+38000+302206.25</f>
        <v>4537542.25</v>
      </c>
      <c r="L17" s="195"/>
      <c r="M17" s="195"/>
      <c r="N17" s="195"/>
      <c r="O17" s="195"/>
      <c r="P17" s="195"/>
    </row>
    <row r="18" spans="1:16" ht="75" x14ac:dyDescent="0.2">
      <c r="A18" s="36"/>
      <c r="B18" s="514" t="s">
        <v>822</v>
      </c>
      <c r="C18" s="514" t="s">
        <v>823</v>
      </c>
      <c r="D18" s="514" t="s">
        <v>103</v>
      </c>
      <c r="E18" s="514" t="s">
        <v>824</v>
      </c>
      <c r="F18" s="371" t="s">
        <v>1002</v>
      </c>
      <c r="G18" s="515"/>
      <c r="H18" s="374"/>
      <c r="I18" s="515"/>
      <c r="J18" s="515">
        <v>441553</v>
      </c>
      <c r="L18" s="195"/>
      <c r="M18" s="195"/>
      <c r="N18" s="195"/>
      <c r="O18" s="195"/>
      <c r="P18" s="195"/>
    </row>
    <row r="19" spans="1:16" ht="60" x14ac:dyDescent="0.2">
      <c r="A19" s="36"/>
      <c r="B19" s="367" t="s">
        <v>822</v>
      </c>
      <c r="C19" s="367" t="s">
        <v>823</v>
      </c>
      <c r="D19" s="367" t="s">
        <v>103</v>
      </c>
      <c r="E19" s="367" t="s">
        <v>824</v>
      </c>
      <c r="F19" s="371" t="s">
        <v>935</v>
      </c>
      <c r="G19" s="370"/>
      <c r="H19" s="374"/>
      <c r="I19" s="370"/>
      <c r="J19" s="370">
        <v>1200000</v>
      </c>
      <c r="L19" s="195"/>
      <c r="M19" s="195"/>
      <c r="N19" s="195"/>
      <c r="O19" s="195"/>
      <c r="P19" s="195"/>
    </row>
    <row r="20" spans="1:16" ht="45" x14ac:dyDescent="0.2">
      <c r="A20" s="49"/>
      <c r="B20" s="282" t="s">
        <v>306</v>
      </c>
      <c r="C20" s="318"/>
      <c r="D20" s="318"/>
      <c r="E20" s="283" t="s">
        <v>1</v>
      </c>
      <c r="F20" s="319"/>
      <c r="G20" s="319"/>
      <c r="H20" s="319"/>
      <c r="I20" s="319"/>
      <c r="J20" s="316">
        <f>J21</f>
        <v>48055034</v>
      </c>
    </row>
    <row r="21" spans="1:16" ht="42.75" x14ac:dyDescent="0.2">
      <c r="A21" s="49"/>
      <c r="B21" s="286" t="s">
        <v>307</v>
      </c>
      <c r="C21" s="284"/>
      <c r="D21" s="320"/>
      <c r="E21" s="287" t="s">
        <v>2</v>
      </c>
      <c r="F21" s="315"/>
      <c r="G21" s="315"/>
      <c r="H21" s="315"/>
      <c r="I21" s="315"/>
      <c r="J21" s="317">
        <f>SUM(J22:J34)-J33</f>
        <v>48055034</v>
      </c>
    </row>
    <row r="22" spans="1:16" ht="15" x14ac:dyDescent="0.2">
      <c r="B22" s="367" t="s">
        <v>376</v>
      </c>
      <c r="C22" s="367" t="s">
        <v>377</v>
      </c>
      <c r="D22" s="367" t="s">
        <v>379</v>
      </c>
      <c r="E22" s="367" t="s">
        <v>380</v>
      </c>
      <c r="F22" s="368" t="s">
        <v>133</v>
      </c>
      <c r="G22" s="392"/>
      <c r="H22" s="392"/>
      <c r="I22" s="392"/>
      <c r="J22" s="370">
        <f>((2466200+2000000+60000+353242+55000+2*50000)+777000+1256600-41349+80000-100000+100000+(442000))+710000</f>
        <v>8258693</v>
      </c>
    </row>
    <row r="23" spans="1:16" ht="89.25" customHeight="1" x14ac:dyDescent="0.2">
      <c r="B23" s="367" t="s">
        <v>382</v>
      </c>
      <c r="C23" s="367" t="s">
        <v>378</v>
      </c>
      <c r="D23" s="367" t="s">
        <v>383</v>
      </c>
      <c r="E23" s="367" t="s">
        <v>914</v>
      </c>
      <c r="F23" s="368" t="s">
        <v>133</v>
      </c>
      <c r="G23" s="392"/>
      <c r="H23" s="392"/>
      <c r="I23" s="392"/>
      <c r="J23" s="370">
        <f>((1348532-150000+200000+500000+297437+100000)+4419450+583700+666579+2794000-86612+250000+1281056)+608092+600000</f>
        <v>13412234</v>
      </c>
    </row>
    <row r="24" spans="1:16" ht="89.25" customHeight="1" x14ac:dyDescent="0.2">
      <c r="B24" s="367" t="s">
        <v>382</v>
      </c>
      <c r="C24" s="367" t="s">
        <v>378</v>
      </c>
      <c r="D24" s="367" t="s">
        <v>383</v>
      </c>
      <c r="E24" s="367" t="s">
        <v>914</v>
      </c>
      <c r="F24" s="371" t="s">
        <v>712</v>
      </c>
      <c r="G24" s="392"/>
      <c r="H24" s="392"/>
      <c r="I24" s="392"/>
      <c r="J24" s="370">
        <v>150000</v>
      </c>
    </row>
    <row r="25" spans="1:16" ht="89.25" customHeight="1" x14ac:dyDescent="0.2">
      <c r="B25" s="367" t="s">
        <v>382</v>
      </c>
      <c r="C25" s="367" t="s">
        <v>378</v>
      </c>
      <c r="D25" s="367" t="s">
        <v>383</v>
      </c>
      <c r="E25" s="367" t="s">
        <v>914</v>
      </c>
      <c r="F25" s="371" t="s">
        <v>922</v>
      </c>
      <c r="G25" s="392"/>
      <c r="H25" s="392"/>
      <c r="I25" s="392"/>
      <c r="J25" s="370">
        <v>67900</v>
      </c>
    </row>
    <row r="26" spans="1:16" ht="89.25" customHeight="1" x14ac:dyDescent="0.2">
      <c r="B26" s="367" t="s">
        <v>382</v>
      </c>
      <c r="C26" s="367" t="s">
        <v>378</v>
      </c>
      <c r="D26" s="367" t="s">
        <v>383</v>
      </c>
      <c r="E26" s="367" t="s">
        <v>914</v>
      </c>
      <c r="F26" s="371" t="s">
        <v>757</v>
      </c>
      <c r="G26" s="392">
        <v>1498800</v>
      </c>
      <c r="H26" s="374">
        <f>I26/G26*100</f>
        <v>0</v>
      </c>
      <c r="I26" s="392">
        <v>0</v>
      </c>
      <c r="J26" s="370">
        <f>(749800)+22830</f>
        <v>772630</v>
      </c>
    </row>
    <row r="27" spans="1:16" ht="89.25" customHeight="1" x14ac:dyDescent="0.2">
      <c r="B27" s="367" t="s">
        <v>382</v>
      </c>
      <c r="C27" s="367" t="s">
        <v>378</v>
      </c>
      <c r="D27" s="367" t="s">
        <v>383</v>
      </c>
      <c r="E27" s="367" t="s">
        <v>914</v>
      </c>
      <c r="F27" s="371" t="s">
        <v>923</v>
      </c>
      <c r="G27" s="392">
        <v>1498800</v>
      </c>
      <c r="H27" s="374">
        <f>I27/G27*100</f>
        <v>0</v>
      </c>
      <c r="I27" s="392">
        <v>0</v>
      </c>
      <c r="J27" s="370">
        <f>(749800)+22830</f>
        <v>772630</v>
      </c>
    </row>
    <row r="28" spans="1:16" ht="90" x14ac:dyDescent="0.2">
      <c r="B28" s="367" t="s">
        <v>387</v>
      </c>
      <c r="C28" s="367" t="s">
        <v>386</v>
      </c>
      <c r="D28" s="367" t="s">
        <v>388</v>
      </c>
      <c r="E28" s="367" t="s">
        <v>47</v>
      </c>
      <c r="F28" s="368" t="s">
        <v>133</v>
      </c>
      <c r="G28" s="392"/>
      <c r="H28" s="392"/>
      <c r="I28" s="392"/>
      <c r="J28" s="370">
        <f>(300000)+138200+6849-200+33000</f>
        <v>477849</v>
      </c>
    </row>
    <row r="29" spans="1:16" ht="45" x14ac:dyDescent="0.2">
      <c r="B29" s="367" t="s">
        <v>389</v>
      </c>
      <c r="C29" s="367" t="s">
        <v>363</v>
      </c>
      <c r="D29" s="367" t="s">
        <v>344</v>
      </c>
      <c r="E29" s="367" t="s">
        <v>48</v>
      </c>
      <c r="F29" s="368" t="s">
        <v>133</v>
      </c>
      <c r="G29" s="392"/>
      <c r="H29" s="392"/>
      <c r="I29" s="392"/>
      <c r="J29" s="370">
        <f>((4000000)+605000-250000+(185000))+1800000</f>
        <v>6340000</v>
      </c>
    </row>
    <row r="30" spans="1:16" ht="45" x14ac:dyDescent="0.2">
      <c r="B30" s="367" t="s">
        <v>389</v>
      </c>
      <c r="C30" s="367" t="s">
        <v>363</v>
      </c>
      <c r="D30" s="367" t="s">
        <v>344</v>
      </c>
      <c r="E30" s="367" t="s">
        <v>48</v>
      </c>
      <c r="F30" s="371" t="s">
        <v>893</v>
      </c>
      <c r="G30" s="392"/>
      <c r="H30" s="392"/>
      <c r="I30" s="392"/>
      <c r="J30" s="370">
        <v>470000</v>
      </c>
    </row>
    <row r="31" spans="1:16" ht="30" x14ac:dyDescent="0.2">
      <c r="B31" s="367" t="s">
        <v>395</v>
      </c>
      <c r="C31" s="367" t="s">
        <v>396</v>
      </c>
      <c r="D31" s="367" t="s">
        <v>397</v>
      </c>
      <c r="E31" s="367" t="s">
        <v>394</v>
      </c>
      <c r="F31" s="368" t="s">
        <v>133</v>
      </c>
      <c r="G31" s="392"/>
      <c r="H31" s="392"/>
      <c r="I31" s="392"/>
      <c r="J31" s="370">
        <v>100450</v>
      </c>
    </row>
    <row r="32" spans="1:16" ht="30" x14ac:dyDescent="0.2">
      <c r="B32" s="367" t="s">
        <v>399</v>
      </c>
      <c r="C32" s="367" t="s">
        <v>400</v>
      </c>
      <c r="D32" s="367"/>
      <c r="E32" s="373" t="s">
        <v>398</v>
      </c>
      <c r="F32" s="368" t="s">
        <v>133</v>
      </c>
      <c r="G32" s="392"/>
      <c r="H32" s="392"/>
      <c r="I32" s="392"/>
      <c r="J32" s="370">
        <f>J33</f>
        <v>798900</v>
      </c>
    </row>
    <row r="33" spans="1:10" ht="30" x14ac:dyDescent="0.2">
      <c r="B33" s="378" t="s">
        <v>656</v>
      </c>
      <c r="C33" s="378" t="s">
        <v>657</v>
      </c>
      <c r="D33" s="378" t="s">
        <v>397</v>
      </c>
      <c r="E33" s="378" t="s">
        <v>655</v>
      </c>
      <c r="F33" s="379" t="s">
        <v>133</v>
      </c>
      <c r="G33" s="392"/>
      <c r="H33" s="392"/>
      <c r="I33" s="392"/>
      <c r="J33" s="375">
        <f>(48000)+750900</f>
        <v>798900</v>
      </c>
    </row>
    <row r="34" spans="1:10" ht="19.5" customHeight="1" x14ac:dyDescent="0.2">
      <c r="B34" s="367" t="s">
        <v>402</v>
      </c>
      <c r="C34" s="367" t="s">
        <v>403</v>
      </c>
      <c r="D34" s="367" t="s">
        <v>404</v>
      </c>
      <c r="E34" s="367" t="s">
        <v>99</v>
      </c>
      <c r="F34" s="368" t="s">
        <v>133</v>
      </c>
      <c r="G34" s="392"/>
      <c r="H34" s="392"/>
      <c r="I34" s="392"/>
      <c r="J34" s="370">
        <f>(9478748-106000)+7061000</f>
        <v>16433748</v>
      </c>
    </row>
    <row r="35" spans="1:10" ht="45" x14ac:dyDescent="0.2">
      <c r="B35" s="313" t="s">
        <v>308</v>
      </c>
      <c r="C35" s="314"/>
      <c r="D35" s="314"/>
      <c r="E35" s="283" t="s">
        <v>53</v>
      </c>
      <c r="F35" s="315"/>
      <c r="G35" s="315"/>
      <c r="H35" s="315"/>
      <c r="I35" s="315"/>
      <c r="J35" s="316">
        <f>J36</f>
        <v>27691255</v>
      </c>
    </row>
    <row r="36" spans="1:10" ht="42.75" x14ac:dyDescent="0.2">
      <c r="B36" s="282" t="s">
        <v>309</v>
      </c>
      <c r="C36" s="282"/>
      <c r="D36" s="282"/>
      <c r="E36" s="287" t="s">
        <v>91</v>
      </c>
      <c r="F36" s="315"/>
      <c r="G36" s="315"/>
      <c r="H36" s="315"/>
      <c r="I36" s="315"/>
      <c r="J36" s="317">
        <f>J37+J40+J41+J46+J47+J50+J52+J38+J39+J42+J44+J43+J45</f>
        <v>27691255</v>
      </c>
    </row>
    <row r="37" spans="1:10" ht="30" x14ac:dyDescent="0.2">
      <c r="A37" s="30"/>
      <c r="B37" s="367" t="s">
        <v>405</v>
      </c>
      <c r="C37" s="367" t="s">
        <v>401</v>
      </c>
      <c r="D37" s="367" t="s">
        <v>406</v>
      </c>
      <c r="E37" s="367" t="s">
        <v>55</v>
      </c>
      <c r="F37" s="368" t="s">
        <v>133</v>
      </c>
      <c r="G37" s="392"/>
      <c r="H37" s="392"/>
      <c r="I37" s="392"/>
      <c r="J37" s="370">
        <f>((4250000+1000000)+10417168-25620-12940+88000)+2678580+400000+163000-44000</f>
        <v>18914188</v>
      </c>
    </row>
    <row r="38" spans="1:10" ht="75" x14ac:dyDescent="0.2">
      <c r="A38" s="228"/>
      <c r="B38" s="367" t="s">
        <v>405</v>
      </c>
      <c r="C38" s="367" t="s">
        <v>401</v>
      </c>
      <c r="D38" s="367" t="s">
        <v>406</v>
      </c>
      <c r="E38" s="367" t="s">
        <v>55</v>
      </c>
      <c r="F38" s="371" t="s">
        <v>806</v>
      </c>
      <c r="G38" s="370">
        <v>1139887</v>
      </c>
      <c r="H38" s="374">
        <f>I38/G38*100</f>
        <v>0</v>
      </c>
      <c r="I38" s="370">
        <v>0</v>
      </c>
      <c r="J38" s="370">
        <v>1139887</v>
      </c>
    </row>
    <row r="39" spans="1:10" ht="120" x14ac:dyDescent="0.2">
      <c r="A39" s="228"/>
      <c r="B39" s="367" t="s">
        <v>405</v>
      </c>
      <c r="C39" s="367" t="s">
        <v>401</v>
      </c>
      <c r="D39" s="367" t="s">
        <v>406</v>
      </c>
      <c r="E39" s="367" t="s">
        <v>55</v>
      </c>
      <c r="F39" s="371" t="s">
        <v>805</v>
      </c>
      <c r="G39" s="392"/>
      <c r="H39" s="392"/>
      <c r="I39" s="392"/>
      <c r="J39" s="370">
        <v>93600</v>
      </c>
    </row>
    <row r="40" spans="1:10" ht="52.5" customHeight="1" x14ac:dyDescent="0.2">
      <c r="A40" s="30"/>
      <c r="B40" s="367" t="s">
        <v>407</v>
      </c>
      <c r="C40" s="367" t="s">
        <v>408</v>
      </c>
      <c r="D40" s="367" t="s">
        <v>409</v>
      </c>
      <c r="E40" s="367" t="s">
        <v>410</v>
      </c>
      <c r="F40" s="368" t="s">
        <v>133</v>
      </c>
      <c r="G40" s="393"/>
      <c r="H40" s="393"/>
      <c r="I40" s="393"/>
      <c r="J40" s="370">
        <f>(597150)+181500+90000</f>
        <v>868650</v>
      </c>
    </row>
    <row r="41" spans="1:10" ht="52.5" customHeight="1" x14ac:dyDescent="0.2">
      <c r="A41" s="30"/>
      <c r="B41" s="367" t="s">
        <v>411</v>
      </c>
      <c r="C41" s="367" t="s">
        <v>412</v>
      </c>
      <c r="D41" s="367" t="s">
        <v>413</v>
      </c>
      <c r="E41" s="367" t="s">
        <v>730</v>
      </c>
      <c r="F41" s="368" t="s">
        <v>133</v>
      </c>
      <c r="G41" s="393"/>
      <c r="H41" s="393"/>
      <c r="I41" s="393"/>
      <c r="J41" s="370">
        <f>((0)+1040960+22000+12148)+1101224+199000-239</f>
        <v>2375093</v>
      </c>
    </row>
    <row r="42" spans="1:10" ht="78" customHeight="1" x14ac:dyDescent="0.2">
      <c r="A42" s="30"/>
      <c r="B42" s="367" t="s">
        <v>411</v>
      </c>
      <c r="C42" s="367" t="s">
        <v>412</v>
      </c>
      <c r="D42" s="367" t="s">
        <v>413</v>
      </c>
      <c r="E42" s="367" t="s">
        <v>730</v>
      </c>
      <c r="F42" s="371" t="s">
        <v>807</v>
      </c>
      <c r="G42" s="392"/>
      <c r="H42" s="392"/>
      <c r="I42" s="392"/>
      <c r="J42" s="370">
        <v>26500</v>
      </c>
    </row>
    <row r="43" spans="1:10" ht="75.75" customHeight="1" x14ac:dyDescent="0.2">
      <c r="A43" s="30"/>
      <c r="B43" s="367" t="s">
        <v>411</v>
      </c>
      <c r="C43" s="367" t="s">
        <v>412</v>
      </c>
      <c r="D43" s="367" t="s">
        <v>413</v>
      </c>
      <c r="E43" s="367" t="s">
        <v>730</v>
      </c>
      <c r="F43" s="371" t="s">
        <v>808</v>
      </c>
      <c r="G43" s="370">
        <v>351000</v>
      </c>
      <c r="H43" s="374">
        <f>I43/G43*100</f>
        <v>0</v>
      </c>
      <c r="I43" s="370">
        <v>0</v>
      </c>
      <c r="J43" s="370">
        <v>351000</v>
      </c>
    </row>
    <row r="44" spans="1:10" ht="95.25" hidden="1" customHeight="1" x14ac:dyDescent="0.2">
      <c r="A44" s="30"/>
      <c r="B44" s="341" t="s">
        <v>411</v>
      </c>
      <c r="C44" s="341" t="s">
        <v>412</v>
      </c>
      <c r="D44" s="341" t="s">
        <v>413</v>
      </c>
      <c r="E44" s="341" t="s">
        <v>730</v>
      </c>
      <c r="F44" s="346" t="s">
        <v>809</v>
      </c>
      <c r="G44" s="348"/>
      <c r="H44" s="348"/>
      <c r="I44" s="348"/>
      <c r="J44" s="344">
        <f>(19000)-19000</f>
        <v>0</v>
      </c>
    </row>
    <row r="45" spans="1:10" ht="69.75" hidden="1" customHeight="1" x14ac:dyDescent="0.2">
      <c r="A45" s="30"/>
      <c r="B45" s="341" t="s">
        <v>411</v>
      </c>
      <c r="C45" s="341" t="s">
        <v>412</v>
      </c>
      <c r="D45" s="341" t="s">
        <v>413</v>
      </c>
      <c r="E45" s="341" t="s">
        <v>730</v>
      </c>
      <c r="F45" s="346" t="s">
        <v>810</v>
      </c>
      <c r="G45" s="344">
        <v>180000</v>
      </c>
      <c r="H45" s="347">
        <f>I45/G45*100</f>
        <v>0</v>
      </c>
      <c r="I45" s="344">
        <v>0</v>
      </c>
      <c r="J45" s="344">
        <f>(180000)-180000</f>
        <v>0</v>
      </c>
    </row>
    <row r="46" spans="1:10" ht="52.5" customHeight="1" x14ac:dyDescent="0.2">
      <c r="A46" s="30"/>
      <c r="B46" s="367" t="s">
        <v>414</v>
      </c>
      <c r="C46" s="367" t="s">
        <v>415</v>
      </c>
      <c r="D46" s="367" t="s">
        <v>416</v>
      </c>
      <c r="E46" s="367" t="s">
        <v>417</v>
      </c>
      <c r="F46" s="368" t="s">
        <v>133</v>
      </c>
      <c r="G46" s="393"/>
      <c r="H46" s="393"/>
      <c r="I46" s="393"/>
      <c r="J46" s="370">
        <f>(89000)+121000</f>
        <v>210000</v>
      </c>
    </row>
    <row r="47" spans="1:10" ht="52.5" customHeight="1" x14ac:dyDescent="0.2">
      <c r="A47" s="30"/>
      <c r="B47" s="367" t="s">
        <v>418</v>
      </c>
      <c r="C47" s="367" t="s">
        <v>419</v>
      </c>
      <c r="D47" s="367"/>
      <c r="E47" s="367" t="s">
        <v>731</v>
      </c>
      <c r="F47" s="368" t="s">
        <v>133</v>
      </c>
      <c r="G47" s="393"/>
      <c r="H47" s="393"/>
      <c r="I47" s="393"/>
      <c r="J47" s="370">
        <f>SUM(J48:J49)</f>
        <v>2287500</v>
      </c>
    </row>
    <row r="48" spans="1:10" ht="52.5" customHeight="1" x14ac:dyDescent="0.2">
      <c r="A48" s="30"/>
      <c r="B48" s="378" t="s">
        <v>420</v>
      </c>
      <c r="C48" s="415" t="s">
        <v>421</v>
      </c>
      <c r="D48" s="415" t="s">
        <v>732</v>
      </c>
      <c r="E48" s="378" t="s">
        <v>422</v>
      </c>
      <c r="F48" s="379" t="s">
        <v>133</v>
      </c>
      <c r="G48" s="393"/>
      <c r="H48" s="393"/>
      <c r="I48" s="393"/>
      <c r="J48" s="375">
        <f>((540000+1000000)+715000)+16000</f>
        <v>2271000</v>
      </c>
    </row>
    <row r="49" spans="1:10" ht="82.5" customHeight="1" x14ac:dyDescent="0.2">
      <c r="A49" s="30"/>
      <c r="B49" s="378" t="s">
        <v>420</v>
      </c>
      <c r="C49" s="415" t="s">
        <v>421</v>
      </c>
      <c r="D49" s="415" t="s">
        <v>732</v>
      </c>
      <c r="E49" s="378" t="s">
        <v>422</v>
      </c>
      <c r="F49" s="396" t="s">
        <v>973</v>
      </c>
      <c r="G49" s="447">
        <v>16503.599999999999</v>
      </c>
      <c r="H49" s="393"/>
      <c r="I49" s="393"/>
      <c r="J49" s="375">
        <v>16500</v>
      </c>
    </row>
    <row r="50" spans="1:10" ht="52.5" customHeight="1" x14ac:dyDescent="0.2">
      <c r="A50" s="30"/>
      <c r="B50" s="367" t="s">
        <v>423</v>
      </c>
      <c r="C50" s="373" t="s">
        <v>424</v>
      </c>
      <c r="D50" s="373"/>
      <c r="E50" s="373" t="s">
        <v>426</v>
      </c>
      <c r="F50" s="368" t="s">
        <v>133</v>
      </c>
      <c r="G50" s="393"/>
      <c r="H50" s="393"/>
      <c r="I50" s="393"/>
      <c r="J50" s="370">
        <f>J51</f>
        <v>2400</v>
      </c>
    </row>
    <row r="51" spans="1:10" ht="52.5" customHeight="1" x14ac:dyDescent="0.2">
      <c r="A51" s="30"/>
      <c r="B51" s="378" t="s">
        <v>660</v>
      </c>
      <c r="C51" s="378" t="s">
        <v>662</v>
      </c>
      <c r="D51" s="373" t="s">
        <v>425</v>
      </c>
      <c r="E51" s="448" t="s">
        <v>658</v>
      </c>
      <c r="F51" s="379" t="s">
        <v>133</v>
      </c>
      <c r="G51" s="393"/>
      <c r="H51" s="393"/>
      <c r="I51" s="393"/>
      <c r="J51" s="375">
        <f>(30000-10000)-17600</f>
        <v>2400</v>
      </c>
    </row>
    <row r="52" spans="1:10" ht="52.5" customHeight="1" x14ac:dyDescent="0.2">
      <c r="A52" s="30"/>
      <c r="B52" s="367" t="s">
        <v>799</v>
      </c>
      <c r="C52" s="373" t="s">
        <v>800</v>
      </c>
      <c r="D52" s="373" t="s">
        <v>103</v>
      </c>
      <c r="E52" s="373" t="s">
        <v>801</v>
      </c>
      <c r="F52" s="368" t="s">
        <v>133</v>
      </c>
      <c r="G52" s="393"/>
      <c r="H52" s="393"/>
      <c r="I52" s="393"/>
      <c r="J52" s="370">
        <f>(452800)+921000+48637</f>
        <v>1422437</v>
      </c>
    </row>
    <row r="53" spans="1:10" ht="45" x14ac:dyDescent="0.2">
      <c r="A53" s="30"/>
      <c r="B53" s="282" t="s">
        <v>310</v>
      </c>
      <c r="C53" s="282"/>
      <c r="D53" s="282"/>
      <c r="E53" s="283" t="s">
        <v>92</v>
      </c>
      <c r="F53" s="315"/>
      <c r="G53" s="315"/>
      <c r="H53" s="315"/>
      <c r="I53" s="315"/>
      <c r="J53" s="316">
        <f>J54</f>
        <v>10806222.629999999</v>
      </c>
    </row>
    <row r="54" spans="1:10" ht="57" x14ac:dyDescent="0.2">
      <c r="A54" s="30"/>
      <c r="B54" s="286" t="s">
        <v>311</v>
      </c>
      <c r="C54" s="286"/>
      <c r="D54" s="286"/>
      <c r="E54" s="287" t="s">
        <v>93</v>
      </c>
      <c r="F54" s="315"/>
      <c r="G54" s="315"/>
      <c r="H54" s="315"/>
      <c r="I54" s="315"/>
      <c r="J54" s="317">
        <f>J57+J55+J65+J71+J61</f>
        <v>10806222.629999999</v>
      </c>
    </row>
    <row r="55" spans="1:10" ht="75" x14ac:dyDescent="0.2">
      <c r="A55" s="30"/>
      <c r="B55" s="373" t="s">
        <v>514</v>
      </c>
      <c r="C55" s="373" t="s">
        <v>515</v>
      </c>
      <c r="D55" s="373"/>
      <c r="E55" s="474" t="s">
        <v>513</v>
      </c>
      <c r="F55" s="368" t="s">
        <v>133</v>
      </c>
      <c r="G55" s="470"/>
      <c r="H55" s="470"/>
      <c r="I55" s="470"/>
      <c r="J55" s="370">
        <f>J56</f>
        <v>100000</v>
      </c>
    </row>
    <row r="56" spans="1:10" ht="45" x14ac:dyDescent="0.2">
      <c r="A56" s="30"/>
      <c r="B56" s="415" t="s">
        <v>516</v>
      </c>
      <c r="C56" s="415" t="s">
        <v>517</v>
      </c>
      <c r="D56" s="415" t="s">
        <v>385</v>
      </c>
      <c r="E56" s="475" t="s">
        <v>518</v>
      </c>
      <c r="F56" s="379" t="s">
        <v>133</v>
      </c>
      <c r="G56" s="476"/>
      <c r="H56" s="476"/>
      <c r="I56" s="476"/>
      <c r="J56" s="375">
        <v>100000</v>
      </c>
    </row>
    <row r="57" spans="1:10" ht="60" x14ac:dyDescent="0.2">
      <c r="A57" s="30"/>
      <c r="B57" s="367" t="s">
        <v>507</v>
      </c>
      <c r="C57" s="367" t="s">
        <v>508</v>
      </c>
      <c r="D57" s="367"/>
      <c r="E57" s="367" t="s">
        <v>51</v>
      </c>
      <c r="F57" s="368" t="s">
        <v>133</v>
      </c>
      <c r="G57" s="368"/>
      <c r="H57" s="368"/>
      <c r="I57" s="368"/>
      <c r="J57" s="372">
        <f>J58+J60+J59</f>
        <v>609200</v>
      </c>
    </row>
    <row r="58" spans="1:10" ht="60" x14ac:dyDescent="0.2">
      <c r="A58" s="30"/>
      <c r="B58" s="378" t="s">
        <v>511</v>
      </c>
      <c r="C58" s="378" t="s">
        <v>509</v>
      </c>
      <c r="D58" s="378" t="s">
        <v>378</v>
      </c>
      <c r="E58" s="378" t="s">
        <v>52</v>
      </c>
      <c r="F58" s="379" t="s">
        <v>133</v>
      </c>
      <c r="G58" s="379"/>
      <c r="H58" s="379"/>
      <c r="I58" s="379"/>
      <c r="J58" s="376">
        <f>(112000)+43500</f>
        <v>155500</v>
      </c>
    </row>
    <row r="59" spans="1:10" ht="135" x14ac:dyDescent="0.2">
      <c r="A59" s="30"/>
      <c r="B59" s="512" t="s">
        <v>511</v>
      </c>
      <c r="C59" s="512" t="s">
        <v>509</v>
      </c>
      <c r="D59" s="512" t="s">
        <v>378</v>
      </c>
      <c r="E59" s="512" t="s">
        <v>52</v>
      </c>
      <c r="F59" s="396" t="s">
        <v>995</v>
      </c>
      <c r="G59" s="379"/>
      <c r="H59" s="379"/>
      <c r="I59" s="379"/>
      <c r="J59" s="376">
        <v>35000</v>
      </c>
    </row>
    <row r="60" spans="1:10" ht="30" x14ac:dyDescent="0.2">
      <c r="A60" s="30"/>
      <c r="B60" s="378" t="s">
        <v>512</v>
      </c>
      <c r="C60" s="378" t="s">
        <v>510</v>
      </c>
      <c r="D60" s="378" t="s">
        <v>377</v>
      </c>
      <c r="E60" s="378" t="s">
        <v>506</v>
      </c>
      <c r="F60" s="379" t="s">
        <v>133</v>
      </c>
      <c r="G60" s="379"/>
      <c r="H60" s="379"/>
      <c r="I60" s="379"/>
      <c r="J60" s="376">
        <f>12000+406700</f>
        <v>418700</v>
      </c>
    </row>
    <row r="61" spans="1:10" ht="60" x14ac:dyDescent="0.2">
      <c r="A61" s="30"/>
      <c r="B61" s="367" t="s">
        <v>947</v>
      </c>
      <c r="C61" s="367" t="s">
        <v>948</v>
      </c>
      <c r="D61" s="367"/>
      <c r="E61" s="464" t="s">
        <v>946</v>
      </c>
      <c r="F61" s="368" t="s">
        <v>133</v>
      </c>
      <c r="G61" s="376"/>
      <c r="H61" s="376"/>
      <c r="I61" s="376"/>
      <c r="J61" s="376">
        <f>J62</f>
        <v>6864875.6299999999</v>
      </c>
    </row>
    <row r="62" spans="1:10" ht="120" x14ac:dyDescent="0.2">
      <c r="A62" s="30"/>
      <c r="B62" s="665" t="s">
        <v>949</v>
      </c>
      <c r="C62" s="665" t="s">
        <v>950</v>
      </c>
      <c r="D62" s="668" t="s">
        <v>117</v>
      </c>
      <c r="E62" s="477" t="s">
        <v>951</v>
      </c>
      <c r="F62" s="668" t="s">
        <v>133</v>
      </c>
      <c r="G62" s="670"/>
      <c r="H62" s="670"/>
      <c r="I62" s="670"/>
      <c r="J62" s="670">
        <v>6864875.6299999999</v>
      </c>
    </row>
    <row r="63" spans="1:10" ht="103.5" customHeight="1" x14ac:dyDescent="0.2">
      <c r="A63" s="30"/>
      <c r="B63" s="666"/>
      <c r="C63" s="666"/>
      <c r="D63" s="669"/>
      <c r="E63" s="477" t="s">
        <v>954</v>
      </c>
      <c r="F63" s="669"/>
      <c r="G63" s="671"/>
      <c r="H63" s="671"/>
      <c r="I63" s="671"/>
      <c r="J63" s="671"/>
    </row>
    <row r="64" spans="1:10" ht="23.25" customHeight="1" x14ac:dyDescent="0.2">
      <c r="A64" s="30"/>
      <c r="B64" s="667"/>
      <c r="C64" s="667"/>
      <c r="D64" s="669"/>
      <c r="E64" s="477" t="s">
        <v>955</v>
      </c>
      <c r="F64" s="669"/>
      <c r="G64" s="671"/>
      <c r="H64" s="671"/>
      <c r="I64" s="671"/>
      <c r="J64" s="671"/>
    </row>
    <row r="65" spans="1:10" ht="36.75" customHeight="1" x14ac:dyDescent="0.2">
      <c r="A65" s="30"/>
      <c r="B65" s="367" t="s">
        <v>684</v>
      </c>
      <c r="C65" s="367" t="s">
        <v>685</v>
      </c>
      <c r="D65" s="367"/>
      <c r="E65" s="367" t="s">
        <v>364</v>
      </c>
      <c r="F65" s="368" t="s">
        <v>133</v>
      </c>
      <c r="G65" s="370"/>
      <c r="H65" s="374"/>
      <c r="I65" s="370"/>
      <c r="J65" s="372">
        <f>SUM(J66:J70)</f>
        <v>697800</v>
      </c>
    </row>
    <row r="66" spans="1:10" ht="45" x14ac:dyDescent="0.2">
      <c r="A66" s="30"/>
      <c r="B66" s="378" t="s">
        <v>682</v>
      </c>
      <c r="C66" s="378" t="s">
        <v>686</v>
      </c>
      <c r="D66" s="378" t="s">
        <v>363</v>
      </c>
      <c r="E66" s="448" t="s">
        <v>688</v>
      </c>
      <c r="F66" s="379" t="s">
        <v>133</v>
      </c>
      <c r="G66" s="370"/>
      <c r="H66" s="374"/>
      <c r="I66" s="370"/>
      <c r="J66" s="376">
        <f>(24000+81800)+12000</f>
        <v>117800</v>
      </c>
    </row>
    <row r="67" spans="1:10" ht="30" x14ac:dyDescent="0.2">
      <c r="A67" s="30"/>
      <c r="B67" s="378" t="s">
        <v>683</v>
      </c>
      <c r="C67" s="378" t="s">
        <v>687</v>
      </c>
      <c r="D67" s="378" t="s">
        <v>363</v>
      </c>
      <c r="E67" s="448" t="s">
        <v>689</v>
      </c>
      <c r="F67" s="379" t="s">
        <v>133</v>
      </c>
      <c r="G67" s="379"/>
      <c r="H67" s="379"/>
      <c r="I67" s="379"/>
      <c r="J67" s="376">
        <f>(100000)+100000</f>
        <v>200000</v>
      </c>
    </row>
    <row r="68" spans="1:10" ht="30" x14ac:dyDescent="0.2">
      <c r="A68" s="30"/>
      <c r="B68" s="378" t="s">
        <v>683</v>
      </c>
      <c r="C68" s="378" t="s">
        <v>687</v>
      </c>
      <c r="D68" s="378" t="s">
        <v>363</v>
      </c>
      <c r="E68" s="448" t="s">
        <v>689</v>
      </c>
      <c r="F68" s="396" t="s">
        <v>758</v>
      </c>
      <c r="G68" s="375">
        <v>200000</v>
      </c>
      <c r="H68" s="397">
        <f>I68/G68*100</f>
        <v>0</v>
      </c>
      <c r="I68" s="375">
        <v>0</v>
      </c>
      <c r="J68" s="376">
        <v>200000</v>
      </c>
    </row>
    <row r="69" spans="1:10" ht="30" x14ac:dyDescent="0.2">
      <c r="A69" s="30"/>
      <c r="B69" s="378" t="s">
        <v>683</v>
      </c>
      <c r="C69" s="378" t="s">
        <v>687</v>
      </c>
      <c r="D69" s="378" t="s">
        <v>363</v>
      </c>
      <c r="E69" s="448" t="s">
        <v>689</v>
      </c>
      <c r="F69" s="396" t="s">
        <v>759</v>
      </c>
      <c r="G69" s="375">
        <f>(50000)+40000</f>
        <v>90000</v>
      </c>
      <c r="H69" s="397">
        <f>I69/G69*100</f>
        <v>0</v>
      </c>
      <c r="I69" s="375">
        <v>0</v>
      </c>
      <c r="J69" s="376">
        <f>(50000)+40000</f>
        <v>90000</v>
      </c>
    </row>
    <row r="70" spans="1:10" ht="30" x14ac:dyDescent="0.2">
      <c r="A70" s="30"/>
      <c r="B70" s="378" t="s">
        <v>683</v>
      </c>
      <c r="C70" s="378" t="s">
        <v>687</v>
      </c>
      <c r="D70" s="378" t="s">
        <v>363</v>
      </c>
      <c r="E70" s="448" t="s">
        <v>689</v>
      </c>
      <c r="F70" s="396" t="s">
        <v>760</v>
      </c>
      <c r="G70" s="375">
        <f>(50000)+40000</f>
        <v>90000</v>
      </c>
      <c r="H70" s="397">
        <f>I70/G70*100</f>
        <v>0</v>
      </c>
      <c r="I70" s="375">
        <v>0</v>
      </c>
      <c r="J70" s="376">
        <f>(50000)+40000</f>
        <v>90000</v>
      </c>
    </row>
    <row r="71" spans="1:10" ht="30" x14ac:dyDescent="0.2">
      <c r="A71" s="30"/>
      <c r="B71" s="367" t="s">
        <v>832</v>
      </c>
      <c r="C71" s="367" t="s">
        <v>706</v>
      </c>
      <c r="D71" s="367"/>
      <c r="E71" s="367" t="s">
        <v>833</v>
      </c>
      <c r="F71" s="368" t="s">
        <v>133</v>
      </c>
      <c r="G71" s="370"/>
      <c r="H71" s="374"/>
      <c r="I71" s="370"/>
      <c r="J71" s="372">
        <f>J72</f>
        <v>2534347</v>
      </c>
    </row>
    <row r="72" spans="1:10" ht="45" x14ac:dyDescent="0.2">
      <c r="A72" s="30"/>
      <c r="B72" s="378" t="s">
        <v>836</v>
      </c>
      <c r="C72" s="378" t="s">
        <v>834</v>
      </c>
      <c r="D72" s="378" t="s">
        <v>708</v>
      </c>
      <c r="E72" s="448" t="s">
        <v>835</v>
      </c>
      <c r="F72" s="379" t="s">
        <v>133</v>
      </c>
      <c r="G72" s="370"/>
      <c r="H72" s="374"/>
      <c r="I72" s="370"/>
      <c r="J72" s="376">
        <f>(2500000)+34347</f>
        <v>2534347</v>
      </c>
    </row>
    <row r="73" spans="1:10" ht="45" x14ac:dyDescent="0.2">
      <c r="A73" s="30"/>
      <c r="B73" s="326">
        <v>1000000</v>
      </c>
      <c r="C73" s="326"/>
      <c r="D73" s="326"/>
      <c r="E73" s="282" t="s">
        <v>68</v>
      </c>
      <c r="F73" s="315"/>
      <c r="G73" s="315"/>
      <c r="H73" s="315"/>
      <c r="I73" s="315"/>
      <c r="J73" s="316">
        <f>J74</f>
        <v>7961855</v>
      </c>
    </row>
    <row r="74" spans="1:10" ht="42.75" x14ac:dyDescent="0.2">
      <c r="A74" s="30"/>
      <c r="B74" s="327">
        <v>1010000</v>
      </c>
      <c r="C74" s="327"/>
      <c r="D74" s="327"/>
      <c r="E74" s="286" t="s">
        <v>94</v>
      </c>
      <c r="F74" s="315"/>
      <c r="G74" s="315"/>
      <c r="H74" s="315"/>
      <c r="I74" s="315"/>
      <c r="J74" s="317">
        <f>SUM(J75:J85)+J87</f>
        <v>7961855</v>
      </c>
    </row>
    <row r="75" spans="1:10" ht="60" x14ac:dyDescent="0.2">
      <c r="A75" s="30"/>
      <c r="B75" s="367" t="s">
        <v>49</v>
      </c>
      <c r="C75" s="367" t="s">
        <v>343</v>
      </c>
      <c r="D75" s="367" t="s">
        <v>344</v>
      </c>
      <c r="E75" s="367" t="s">
        <v>342</v>
      </c>
      <c r="F75" s="368" t="s">
        <v>133</v>
      </c>
      <c r="G75" s="392"/>
      <c r="H75" s="392"/>
      <c r="I75" s="392"/>
      <c r="J75" s="372">
        <f>(1607000)+101000</f>
        <v>1708000</v>
      </c>
    </row>
    <row r="76" spans="1:10" ht="75" x14ac:dyDescent="0.2">
      <c r="A76" s="30"/>
      <c r="B76" s="367" t="s">
        <v>49</v>
      </c>
      <c r="C76" s="367" t="s">
        <v>343</v>
      </c>
      <c r="D76" s="367" t="s">
        <v>344</v>
      </c>
      <c r="E76" s="367" t="s">
        <v>342</v>
      </c>
      <c r="F76" s="371" t="s">
        <v>970</v>
      </c>
      <c r="G76" s="372">
        <v>10648092</v>
      </c>
      <c r="H76" s="374">
        <f t="shared" ref="H76" si="0">I76/G76*100</f>
        <v>95.877468000839954</v>
      </c>
      <c r="I76" s="372">
        <f>G76-J76-214936</f>
        <v>10209121</v>
      </c>
      <c r="J76" s="370">
        <v>224035</v>
      </c>
    </row>
    <row r="77" spans="1:10" ht="75" x14ac:dyDescent="0.2">
      <c r="A77" s="30"/>
      <c r="B77" s="367" t="s">
        <v>49</v>
      </c>
      <c r="C77" s="367" t="s">
        <v>343</v>
      </c>
      <c r="D77" s="367" t="s">
        <v>344</v>
      </c>
      <c r="E77" s="367" t="s">
        <v>342</v>
      </c>
      <c r="F77" s="371" t="s">
        <v>971</v>
      </c>
      <c r="G77" s="392"/>
      <c r="H77" s="392"/>
      <c r="I77" s="392"/>
      <c r="J77" s="372">
        <v>17700</v>
      </c>
    </row>
    <row r="78" spans="1:10" ht="15" x14ac:dyDescent="0.2">
      <c r="A78" s="30"/>
      <c r="B78" s="367" t="s">
        <v>332</v>
      </c>
      <c r="C78" s="367" t="s">
        <v>333</v>
      </c>
      <c r="D78" s="367" t="s">
        <v>334</v>
      </c>
      <c r="E78" s="367" t="s">
        <v>335</v>
      </c>
      <c r="F78" s="368" t="s">
        <v>133</v>
      </c>
      <c r="G78" s="392"/>
      <c r="H78" s="392"/>
      <c r="I78" s="392"/>
      <c r="J78" s="372">
        <f>(530000)+17000</f>
        <v>547000</v>
      </c>
    </row>
    <row r="79" spans="1:10" ht="15" x14ac:dyDescent="0.2">
      <c r="A79" s="30"/>
      <c r="B79" s="367" t="s">
        <v>336</v>
      </c>
      <c r="C79" s="367" t="s">
        <v>337</v>
      </c>
      <c r="D79" s="367" t="s">
        <v>334</v>
      </c>
      <c r="E79" s="367" t="s">
        <v>338</v>
      </c>
      <c r="F79" s="368" t="s">
        <v>133</v>
      </c>
      <c r="G79" s="392"/>
      <c r="H79" s="392"/>
      <c r="I79" s="392"/>
      <c r="J79" s="372">
        <f>(192720)+70000</f>
        <v>262720</v>
      </c>
    </row>
    <row r="80" spans="1:10" ht="75" hidden="1" x14ac:dyDescent="0.2">
      <c r="A80" s="30"/>
      <c r="B80" s="341" t="s">
        <v>336</v>
      </c>
      <c r="C80" s="341" t="s">
        <v>337</v>
      </c>
      <c r="D80" s="341" t="s">
        <v>334</v>
      </c>
      <c r="E80" s="341" t="s">
        <v>338</v>
      </c>
      <c r="F80" s="346" t="s">
        <v>813</v>
      </c>
      <c r="G80" s="348"/>
      <c r="H80" s="348"/>
      <c r="I80" s="348"/>
      <c r="J80" s="372">
        <f>(230000)-230000</f>
        <v>0</v>
      </c>
    </row>
    <row r="81" spans="1:10" ht="60" x14ac:dyDescent="0.2">
      <c r="A81" s="30"/>
      <c r="B81" s="367" t="s">
        <v>336</v>
      </c>
      <c r="C81" s="367" t="s">
        <v>337</v>
      </c>
      <c r="D81" s="367" t="s">
        <v>334</v>
      </c>
      <c r="E81" s="367" t="s">
        <v>338</v>
      </c>
      <c r="F81" s="371" t="s">
        <v>44</v>
      </c>
      <c r="G81" s="372">
        <v>26997397.190000001</v>
      </c>
      <c r="H81" s="374">
        <f t="shared" ref="H81:H83" si="1">I81/G81*100</f>
        <v>78.113445683613321</v>
      </c>
      <c r="I81" s="372">
        <f>G81-(2908800)-J81</f>
        <v>21088597.190000001</v>
      </c>
      <c r="J81" s="372">
        <v>3000000</v>
      </c>
    </row>
    <row r="82" spans="1:10" ht="45" x14ac:dyDescent="0.2">
      <c r="A82" s="30"/>
      <c r="B82" s="367" t="s">
        <v>339</v>
      </c>
      <c r="C82" s="367" t="s">
        <v>327</v>
      </c>
      <c r="D82" s="367" t="s">
        <v>340</v>
      </c>
      <c r="E82" s="367" t="s">
        <v>341</v>
      </c>
      <c r="F82" s="368" t="s">
        <v>133</v>
      </c>
      <c r="G82" s="372"/>
      <c r="H82" s="374"/>
      <c r="I82" s="372"/>
      <c r="J82" s="372">
        <f>(1955500)+214500-1000000</f>
        <v>1170000</v>
      </c>
    </row>
    <row r="83" spans="1:10" ht="75" x14ac:dyDescent="0.2">
      <c r="A83" s="30"/>
      <c r="B83" s="367" t="s">
        <v>339</v>
      </c>
      <c r="C83" s="367" t="s">
        <v>327</v>
      </c>
      <c r="D83" s="367" t="s">
        <v>340</v>
      </c>
      <c r="E83" s="514" t="s">
        <v>341</v>
      </c>
      <c r="F83" s="371" t="s">
        <v>294</v>
      </c>
      <c r="G83" s="372">
        <v>3495937</v>
      </c>
      <c r="H83" s="374">
        <f t="shared" si="1"/>
        <v>0</v>
      </c>
      <c r="I83" s="372">
        <f>(1229800-543800)-686000</f>
        <v>0</v>
      </c>
      <c r="J83" s="372">
        <f>(1229800)-686000</f>
        <v>543800</v>
      </c>
    </row>
    <row r="84" spans="1:10" ht="60" x14ac:dyDescent="0.2">
      <c r="A84" s="30"/>
      <c r="B84" s="367" t="s">
        <v>339</v>
      </c>
      <c r="C84" s="367" t="s">
        <v>327</v>
      </c>
      <c r="D84" s="367" t="s">
        <v>340</v>
      </c>
      <c r="E84" s="367" t="s">
        <v>341</v>
      </c>
      <c r="F84" s="371" t="s">
        <v>972</v>
      </c>
      <c r="G84" s="372">
        <v>21098534</v>
      </c>
      <c r="H84" s="374">
        <f t="shared" ref="H84" si="2">I84/G84*100</f>
        <v>98.578100260425671</v>
      </c>
      <c r="I84" s="372">
        <f>G84-300000</f>
        <v>20798534</v>
      </c>
      <c r="J84" s="372">
        <v>300000</v>
      </c>
    </row>
    <row r="85" spans="1:10" ht="30" x14ac:dyDescent="0.2">
      <c r="A85" s="30"/>
      <c r="B85" s="367" t="s">
        <v>346</v>
      </c>
      <c r="C85" s="367" t="s">
        <v>347</v>
      </c>
      <c r="D85" s="367"/>
      <c r="E85" s="367" t="s">
        <v>345</v>
      </c>
      <c r="F85" s="368" t="s">
        <v>133</v>
      </c>
      <c r="G85" s="372"/>
      <c r="H85" s="374"/>
      <c r="I85" s="372"/>
      <c r="J85" s="372">
        <f>J86</f>
        <v>106800</v>
      </c>
    </row>
    <row r="86" spans="1:10" ht="30" x14ac:dyDescent="0.2">
      <c r="A86" s="30"/>
      <c r="B86" s="378" t="s">
        <v>691</v>
      </c>
      <c r="C86" s="378" t="s">
        <v>692</v>
      </c>
      <c r="D86" s="378" t="s">
        <v>348</v>
      </c>
      <c r="E86" s="378" t="s">
        <v>690</v>
      </c>
      <c r="F86" s="379" t="s">
        <v>133</v>
      </c>
      <c r="G86" s="376"/>
      <c r="H86" s="397"/>
      <c r="I86" s="376"/>
      <c r="J86" s="376">
        <f>(87500)+19300</f>
        <v>106800</v>
      </c>
    </row>
    <row r="87" spans="1:10" ht="30" x14ac:dyDescent="0.2">
      <c r="A87" s="30"/>
      <c r="B87" s="367" t="s">
        <v>819</v>
      </c>
      <c r="C87" s="367" t="s">
        <v>373</v>
      </c>
      <c r="D87" s="367" t="s">
        <v>324</v>
      </c>
      <c r="E87" s="367" t="s">
        <v>818</v>
      </c>
      <c r="F87" s="368" t="s">
        <v>133</v>
      </c>
      <c r="G87" s="376"/>
      <c r="H87" s="397"/>
      <c r="I87" s="376"/>
      <c r="J87" s="376">
        <f>(27000)+54800</f>
        <v>81800</v>
      </c>
    </row>
    <row r="88" spans="1:10" ht="45" x14ac:dyDescent="0.2">
      <c r="A88" s="30"/>
      <c r="B88" s="282" t="s">
        <v>65</v>
      </c>
      <c r="C88" s="282"/>
      <c r="D88" s="282"/>
      <c r="E88" s="282" t="s">
        <v>66</v>
      </c>
      <c r="F88" s="330"/>
      <c r="G88" s="315"/>
      <c r="H88" s="315"/>
      <c r="I88" s="315"/>
      <c r="J88" s="331">
        <f>J89</f>
        <v>6353593.3200000003</v>
      </c>
    </row>
    <row r="89" spans="1:10" ht="42.75" x14ac:dyDescent="0.2">
      <c r="A89" s="30"/>
      <c r="B89" s="286" t="s">
        <v>64</v>
      </c>
      <c r="C89" s="286"/>
      <c r="D89" s="286"/>
      <c r="E89" s="286" t="s">
        <v>90</v>
      </c>
      <c r="F89" s="330"/>
      <c r="G89" s="315"/>
      <c r="H89" s="315"/>
      <c r="I89" s="315"/>
      <c r="J89" s="332">
        <f>J95+J105+J92+J90+J102+J100+J104</f>
        <v>6353593.3200000003</v>
      </c>
    </row>
    <row r="90" spans="1:10" ht="30" x14ac:dyDescent="0.2">
      <c r="A90" s="30"/>
      <c r="B90" s="367" t="s">
        <v>349</v>
      </c>
      <c r="C90" s="367" t="s">
        <v>350</v>
      </c>
      <c r="D90" s="367"/>
      <c r="E90" s="367" t="s">
        <v>106</v>
      </c>
      <c r="F90" s="368" t="s">
        <v>133</v>
      </c>
      <c r="G90" s="392"/>
      <c r="H90" s="392"/>
      <c r="I90" s="392"/>
      <c r="J90" s="370">
        <f>J91</f>
        <v>153092</v>
      </c>
    </row>
    <row r="91" spans="1:10" s="238" customFormat="1" ht="45" x14ac:dyDescent="0.2">
      <c r="B91" s="378" t="s">
        <v>351</v>
      </c>
      <c r="C91" s="378" t="s">
        <v>352</v>
      </c>
      <c r="D91" s="378" t="s">
        <v>353</v>
      </c>
      <c r="E91" s="378" t="s">
        <v>354</v>
      </c>
      <c r="F91" s="379" t="s">
        <v>133</v>
      </c>
      <c r="G91" s="393"/>
      <c r="H91" s="393"/>
      <c r="I91" s="393"/>
      <c r="J91" s="375">
        <v>153092</v>
      </c>
    </row>
    <row r="92" spans="1:10" ht="30" x14ac:dyDescent="0.2">
      <c r="A92" s="30"/>
      <c r="B92" s="367" t="s">
        <v>105</v>
      </c>
      <c r="C92" s="367" t="s">
        <v>328</v>
      </c>
      <c r="D92" s="367"/>
      <c r="E92" s="367" t="s">
        <v>76</v>
      </c>
      <c r="F92" s="368" t="s">
        <v>133</v>
      </c>
      <c r="G92" s="394"/>
      <c r="H92" s="394"/>
      <c r="I92" s="394"/>
      <c r="J92" s="370">
        <f>J93+J94</f>
        <v>1036872</v>
      </c>
    </row>
    <row r="93" spans="1:10" s="238" customFormat="1" ht="30" x14ac:dyDescent="0.2">
      <c r="B93" s="378" t="s">
        <v>360</v>
      </c>
      <c r="C93" s="378" t="s">
        <v>361</v>
      </c>
      <c r="D93" s="378" t="s">
        <v>353</v>
      </c>
      <c r="E93" s="378" t="s">
        <v>34</v>
      </c>
      <c r="F93" s="379" t="s">
        <v>133</v>
      </c>
      <c r="G93" s="395"/>
      <c r="H93" s="395"/>
      <c r="I93" s="395"/>
      <c r="J93" s="375">
        <f>(636872)+76000-76000</f>
        <v>636872</v>
      </c>
    </row>
    <row r="94" spans="1:10" s="238" customFormat="1" ht="30" x14ac:dyDescent="0.2">
      <c r="B94" s="512" t="s">
        <v>761</v>
      </c>
      <c r="C94" s="512" t="s">
        <v>762</v>
      </c>
      <c r="D94" s="512" t="s">
        <v>353</v>
      </c>
      <c r="E94" s="512" t="s">
        <v>763</v>
      </c>
      <c r="F94" s="379" t="s">
        <v>133</v>
      </c>
      <c r="G94" s="395"/>
      <c r="H94" s="395"/>
      <c r="I94" s="395"/>
      <c r="J94" s="513">
        <v>400000</v>
      </c>
    </row>
    <row r="95" spans="1:10" ht="30" x14ac:dyDescent="0.2">
      <c r="A95" s="30"/>
      <c r="B95" s="367" t="s">
        <v>78</v>
      </c>
      <c r="C95" s="367"/>
      <c r="D95" s="378"/>
      <c r="E95" s="367" t="s">
        <v>79</v>
      </c>
      <c r="F95" s="368"/>
      <c r="G95" s="392"/>
      <c r="H95" s="392"/>
      <c r="I95" s="392"/>
      <c r="J95" s="370">
        <f>SUM(J96:J99)</f>
        <v>2693929.3200000003</v>
      </c>
    </row>
    <row r="96" spans="1:10" s="238" customFormat="1" ht="45" x14ac:dyDescent="0.2">
      <c r="B96" s="378" t="s">
        <v>77</v>
      </c>
      <c r="C96" s="378" t="s">
        <v>366</v>
      </c>
      <c r="D96" s="378" t="s">
        <v>370</v>
      </c>
      <c r="E96" s="378" t="s">
        <v>114</v>
      </c>
      <c r="F96" s="379" t="s">
        <v>133</v>
      </c>
      <c r="G96" s="379"/>
      <c r="H96" s="379"/>
      <c r="I96" s="379"/>
      <c r="J96" s="375">
        <f>((1436800)-1374895.68+371460-60000)+3036</f>
        <v>376400.32000000007</v>
      </c>
    </row>
    <row r="97" spans="1:10" s="238" customFormat="1" ht="75" x14ac:dyDescent="0.2">
      <c r="B97" s="378" t="s">
        <v>77</v>
      </c>
      <c r="C97" s="378" t="s">
        <v>366</v>
      </c>
      <c r="D97" s="378" t="s">
        <v>370</v>
      </c>
      <c r="E97" s="378" t="s">
        <v>114</v>
      </c>
      <c r="F97" s="396" t="s">
        <v>884</v>
      </c>
      <c r="G97" s="379"/>
      <c r="H97" s="379"/>
      <c r="I97" s="379"/>
      <c r="J97" s="375">
        <v>195500</v>
      </c>
    </row>
    <row r="98" spans="1:10" ht="105" x14ac:dyDescent="0.2">
      <c r="A98" s="30"/>
      <c r="B98" s="378" t="s">
        <v>77</v>
      </c>
      <c r="C98" s="378" t="s">
        <v>366</v>
      </c>
      <c r="D98" s="378" t="s">
        <v>370</v>
      </c>
      <c r="E98" s="378" t="s">
        <v>114</v>
      </c>
      <c r="F98" s="396" t="s">
        <v>821</v>
      </c>
      <c r="G98" s="379">
        <v>5311662</v>
      </c>
      <c r="H98" s="397">
        <f t="shared" ref="H98:H105" si="3">I98/G98*100</f>
        <v>0</v>
      </c>
      <c r="I98" s="379">
        <v>0</v>
      </c>
      <c r="J98" s="375">
        <v>1002100</v>
      </c>
    </row>
    <row r="99" spans="1:10" ht="75" x14ac:dyDescent="0.2">
      <c r="A99" s="30"/>
      <c r="B99" s="378" t="s">
        <v>77</v>
      </c>
      <c r="C99" s="378" t="s">
        <v>366</v>
      </c>
      <c r="D99" s="378" t="s">
        <v>370</v>
      </c>
      <c r="E99" s="378" t="s">
        <v>114</v>
      </c>
      <c r="F99" s="396" t="s">
        <v>924</v>
      </c>
      <c r="G99" s="379">
        <v>4924335</v>
      </c>
      <c r="H99" s="397">
        <f t="shared" si="3"/>
        <v>8.1229242385806087E-7</v>
      </c>
      <c r="I99" s="379">
        <f>G99-3784849.36-17466-1122100+80.4</f>
        <v>4.0000000130390845E-2</v>
      </c>
      <c r="J99" s="375">
        <f>(1122100)-2171</f>
        <v>1119929</v>
      </c>
    </row>
    <row r="100" spans="1:10" ht="45" hidden="1" x14ac:dyDescent="0.2">
      <c r="A100" s="30"/>
      <c r="B100" s="544" t="s">
        <v>112</v>
      </c>
      <c r="C100" s="544" t="s">
        <v>358</v>
      </c>
      <c r="D100" s="544"/>
      <c r="E100" s="544" t="s">
        <v>753</v>
      </c>
      <c r="F100" s="368" t="s">
        <v>133</v>
      </c>
      <c r="G100" s="379"/>
      <c r="H100" s="397"/>
      <c r="I100" s="379"/>
      <c r="J100" s="542">
        <f>J101</f>
        <v>0</v>
      </c>
    </row>
    <row r="101" spans="1:10" ht="45" hidden="1" x14ac:dyDescent="0.2">
      <c r="A101" s="30"/>
      <c r="B101" s="541" t="s">
        <v>113</v>
      </c>
      <c r="C101" s="541" t="s">
        <v>359</v>
      </c>
      <c r="D101" s="541" t="s">
        <v>370</v>
      </c>
      <c r="E101" s="541" t="s">
        <v>754</v>
      </c>
      <c r="F101" s="379" t="s">
        <v>133</v>
      </c>
      <c r="G101" s="379"/>
      <c r="H101" s="397"/>
      <c r="I101" s="379"/>
      <c r="J101" s="542">
        <v>0</v>
      </c>
    </row>
    <row r="102" spans="1:10" ht="30" x14ac:dyDescent="0.2">
      <c r="A102" s="30"/>
      <c r="B102" s="367" t="s">
        <v>116</v>
      </c>
      <c r="C102" s="367" t="s">
        <v>368</v>
      </c>
      <c r="D102" s="367"/>
      <c r="E102" s="367" t="s">
        <v>81</v>
      </c>
      <c r="F102" s="368" t="s">
        <v>133</v>
      </c>
      <c r="G102" s="379"/>
      <c r="H102" s="397"/>
      <c r="I102" s="379"/>
      <c r="J102" s="370">
        <f>J103</f>
        <v>64400</v>
      </c>
    </row>
    <row r="103" spans="1:10" ht="30" x14ac:dyDescent="0.2">
      <c r="A103" s="30"/>
      <c r="B103" s="398" t="s">
        <v>84</v>
      </c>
      <c r="C103" s="398" t="s">
        <v>371</v>
      </c>
      <c r="D103" s="398" t="s">
        <v>370</v>
      </c>
      <c r="E103" s="378" t="s">
        <v>85</v>
      </c>
      <c r="F103" s="379" t="s">
        <v>133</v>
      </c>
      <c r="G103" s="379"/>
      <c r="H103" s="397"/>
      <c r="I103" s="379"/>
      <c r="J103" s="375">
        <f>(32400+45000)+387000-400000</f>
        <v>64400</v>
      </c>
    </row>
    <row r="104" spans="1:10" ht="30" x14ac:dyDescent="0.2">
      <c r="A104" s="30"/>
      <c r="B104" s="399" t="s">
        <v>372</v>
      </c>
      <c r="C104" s="399" t="s">
        <v>373</v>
      </c>
      <c r="D104" s="399" t="s">
        <v>324</v>
      </c>
      <c r="E104" s="548" t="s">
        <v>89</v>
      </c>
      <c r="F104" s="368" t="s">
        <v>133</v>
      </c>
      <c r="G104" s="379"/>
      <c r="H104" s="397"/>
      <c r="I104" s="379"/>
      <c r="J104" s="549">
        <f>509606-499606+18300</f>
        <v>28300</v>
      </c>
    </row>
    <row r="105" spans="1:10" ht="105" x14ac:dyDescent="0.2">
      <c r="A105" s="30"/>
      <c r="B105" s="399" t="s">
        <v>372</v>
      </c>
      <c r="C105" s="399" t="s">
        <v>373</v>
      </c>
      <c r="D105" s="399" t="s">
        <v>324</v>
      </c>
      <c r="E105" s="367" t="s">
        <v>89</v>
      </c>
      <c r="F105" s="371" t="s">
        <v>713</v>
      </c>
      <c r="G105" s="372">
        <v>6319252.7999999998</v>
      </c>
      <c r="H105" s="374">
        <f t="shared" si="3"/>
        <v>62.38479334138998</v>
      </c>
      <c r="I105" s="372">
        <f>G105-J105</f>
        <v>3942252.8</v>
      </c>
      <c r="J105" s="370">
        <f>(2500000)-123000</f>
        <v>2377000</v>
      </c>
    </row>
    <row r="106" spans="1:10" ht="45" x14ac:dyDescent="0.2">
      <c r="A106" s="30"/>
      <c r="B106" s="282" t="s">
        <v>312</v>
      </c>
      <c r="C106" s="282"/>
      <c r="D106" s="282"/>
      <c r="E106" s="282" t="s">
        <v>67</v>
      </c>
      <c r="F106" s="315"/>
      <c r="G106" s="315"/>
      <c r="H106" s="315"/>
      <c r="I106" s="315"/>
      <c r="J106" s="316">
        <f>J107</f>
        <v>219017779.88</v>
      </c>
    </row>
    <row r="107" spans="1:10" ht="45" customHeight="1" x14ac:dyDescent="0.2">
      <c r="A107" s="30"/>
      <c r="B107" s="286" t="s">
        <v>313</v>
      </c>
      <c r="C107" s="286"/>
      <c r="D107" s="286"/>
      <c r="E107" s="286" t="s">
        <v>95</v>
      </c>
      <c r="F107" s="315"/>
      <c r="G107" s="315"/>
      <c r="H107" s="315"/>
      <c r="I107" s="315"/>
      <c r="J107" s="317">
        <f>J108+J112+J113+J127+J134+J136+J137+J128</f>
        <v>219017779.88</v>
      </c>
    </row>
    <row r="108" spans="1:10" ht="53.25" customHeight="1" x14ac:dyDescent="0.2">
      <c r="A108" s="30"/>
      <c r="B108" s="367" t="s">
        <v>527</v>
      </c>
      <c r="C108" s="367" t="s">
        <v>528</v>
      </c>
      <c r="D108" s="367"/>
      <c r="E108" s="452" t="s">
        <v>531</v>
      </c>
      <c r="F108" s="368" t="s">
        <v>133</v>
      </c>
      <c r="G108" s="392"/>
      <c r="H108" s="392"/>
      <c r="I108" s="392"/>
      <c r="J108" s="420">
        <f>J109+J110+J111</f>
        <v>41471500</v>
      </c>
    </row>
    <row r="109" spans="1:10" ht="36" customHeight="1" x14ac:dyDescent="0.2">
      <c r="A109" s="30"/>
      <c r="B109" s="378" t="s">
        <v>529</v>
      </c>
      <c r="C109" s="378" t="s">
        <v>530</v>
      </c>
      <c r="D109" s="378" t="s">
        <v>533</v>
      </c>
      <c r="E109" s="453" t="s">
        <v>532</v>
      </c>
      <c r="F109" s="379" t="s">
        <v>133</v>
      </c>
      <c r="G109" s="379"/>
      <c r="H109" s="379"/>
      <c r="I109" s="379"/>
      <c r="J109" s="451">
        <f>((1400000)+2866500)+805000</f>
        <v>5071500</v>
      </c>
    </row>
    <row r="110" spans="1:10" ht="37.5" customHeight="1" x14ac:dyDescent="0.2">
      <c r="A110" s="30"/>
      <c r="B110" s="378" t="s">
        <v>567</v>
      </c>
      <c r="C110" s="378" t="s">
        <v>568</v>
      </c>
      <c r="D110" s="378" t="s">
        <v>533</v>
      </c>
      <c r="E110" s="453" t="s">
        <v>569</v>
      </c>
      <c r="F110" s="379" t="s">
        <v>133</v>
      </c>
      <c r="G110" s="379"/>
      <c r="H110" s="379"/>
      <c r="I110" s="379"/>
      <c r="J110" s="451">
        <f>(5000000)+600000</f>
        <v>5600000</v>
      </c>
    </row>
    <row r="111" spans="1:10" ht="53.25" customHeight="1" x14ac:dyDescent="0.2">
      <c r="A111" s="30"/>
      <c r="B111" s="378" t="s">
        <v>534</v>
      </c>
      <c r="C111" s="378" t="s">
        <v>535</v>
      </c>
      <c r="D111" s="378" t="s">
        <v>533</v>
      </c>
      <c r="E111" s="453" t="s">
        <v>536</v>
      </c>
      <c r="F111" s="379" t="s">
        <v>133</v>
      </c>
      <c r="G111" s="379"/>
      <c r="H111" s="379"/>
      <c r="I111" s="379"/>
      <c r="J111" s="451">
        <f>((34000000)+2000000)-2188000-3012000</f>
        <v>30800000</v>
      </c>
    </row>
    <row r="112" spans="1:10" ht="37.5" customHeight="1" x14ac:dyDescent="0.2">
      <c r="A112" s="30"/>
      <c r="B112" s="367" t="s">
        <v>540</v>
      </c>
      <c r="C112" s="367" t="s">
        <v>541</v>
      </c>
      <c r="D112" s="367" t="s">
        <v>533</v>
      </c>
      <c r="E112" s="452" t="s">
        <v>542</v>
      </c>
      <c r="F112" s="368" t="s">
        <v>133</v>
      </c>
      <c r="G112" s="368"/>
      <c r="H112" s="368"/>
      <c r="I112" s="368"/>
      <c r="J112" s="420">
        <f>((10282110)+8145732+450000)+737600</f>
        <v>19615442</v>
      </c>
    </row>
    <row r="113" spans="1:10" ht="37.5" customHeight="1" x14ac:dyDescent="0.2">
      <c r="A113" s="30"/>
      <c r="B113" s="367" t="s">
        <v>571</v>
      </c>
      <c r="C113" s="367" t="s">
        <v>572</v>
      </c>
      <c r="D113" s="367" t="s">
        <v>570</v>
      </c>
      <c r="E113" s="452" t="s">
        <v>625</v>
      </c>
      <c r="F113" s="368" t="s">
        <v>118</v>
      </c>
      <c r="G113" s="368"/>
      <c r="H113" s="368"/>
      <c r="I113" s="368"/>
      <c r="J113" s="370">
        <f>J114+J115+J116+J117+J118+J119+J120+J121+J122+J123+J124+J125+J126</f>
        <v>13738415.879999999</v>
      </c>
    </row>
    <row r="114" spans="1:10" ht="38.25" customHeight="1" x14ac:dyDescent="0.2">
      <c r="A114" s="30"/>
      <c r="B114" s="378" t="s">
        <v>571</v>
      </c>
      <c r="C114" s="378" t="s">
        <v>572</v>
      </c>
      <c r="D114" s="378" t="s">
        <v>570</v>
      </c>
      <c r="E114" s="453" t="s">
        <v>625</v>
      </c>
      <c r="F114" s="454" t="s">
        <v>135</v>
      </c>
      <c r="G114" s="379"/>
      <c r="H114" s="379"/>
      <c r="I114" s="379"/>
      <c r="J114" s="451">
        <f>(1500000)-402032</f>
        <v>1097968</v>
      </c>
    </row>
    <row r="115" spans="1:10" ht="126.75" customHeight="1" x14ac:dyDescent="0.2">
      <c r="A115" s="30"/>
      <c r="B115" s="378" t="s">
        <v>571</v>
      </c>
      <c r="C115" s="378" t="s">
        <v>572</v>
      </c>
      <c r="D115" s="378" t="s">
        <v>570</v>
      </c>
      <c r="E115" s="453" t="s">
        <v>625</v>
      </c>
      <c r="F115" s="454" t="s">
        <v>714</v>
      </c>
      <c r="G115" s="379">
        <v>12358847</v>
      </c>
      <c r="H115" s="397">
        <f t="shared" ref="H115" si="4">I115/G115*100</f>
        <v>97.572589093464785</v>
      </c>
      <c r="I115" s="379">
        <f>(7358847)+4700000</f>
        <v>12058847</v>
      </c>
      <c r="J115" s="451">
        <f>(5000000)-4700000</f>
        <v>300000</v>
      </c>
    </row>
    <row r="116" spans="1:10" ht="55.5" customHeight="1" x14ac:dyDescent="0.2">
      <c r="A116" s="30"/>
      <c r="B116" s="378" t="s">
        <v>571</v>
      </c>
      <c r="C116" s="378" t="s">
        <v>572</v>
      </c>
      <c r="D116" s="378" t="s">
        <v>570</v>
      </c>
      <c r="E116" s="453" t="s">
        <v>625</v>
      </c>
      <c r="F116" s="454" t="s">
        <v>297</v>
      </c>
      <c r="G116" s="379"/>
      <c r="H116" s="379"/>
      <c r="I116" s="379"/>
      <c r="J116" s="451">
        <f>(4000000)-3500000</f>
        <v>500000</v>
      </c>
    </row>
    <row r="117" spans="1:10" ht="33.75" customHeight="1" x14ac:dyDescent="0.2">
      <c r="A117" s="30"/>
      <c r="B117" s="378" t="s">
        <v>571</v>
      </c>
      <c r="C117" s="378" t="s">
        <v>572</v>
      </c>
      <c r="D117" s="378" t="s">
        <v>570</v>
      </c>
      <c r="E117" s="453" t="s">
        <v>625</v>
      </c>
      <c r="F117" s="454" t="s">
        <v>626</v>
      </c>
      <c r="G117" s="379"/>
      <c r="H117" s="379"/>
      <c r="I117" s="379"/>
      <c r="J117" s="451">
        <f>(2000000)-1900000</f>
        <v>100000</v>
      </c>
    </row>
    <row r="118" spans="1:10" ht="58.5" customHeight="1" x14ac:dyDescent="0.2">
      <c r="A118" s="30"/>
      <c r="B118" s="378" t="s">
        <v>571</v>
      </c>
      <c r="C118" s="378" t="s">
        <v>572</v>
      </c>
      <c r="D118" s="378" t="s">
        <v>570</v>
      </c>
      <c r="E118" s="453" t="s">
        <v>625</v>
      </c>
      <c r="F118" s="454" t="s">
        <v>627</v>
      </c>
      <c r="G118" s="379"/>
      <c r="H118" s="379"/>
      <c r="I118" s="379"/>
      <c r="J118" s="451">
        <f>(2000000)-1798554</f>
        <v>201446</v>
      </c>
    </row>
    <row r="119" spans="1:10" ht="66" customHeight="1" x14ac:dyDescent="0.2">
      <c r="A119" s="30"/>
      <c r="B119" s="378" t="s">
        <v>571</v>
      </c>
      <c r="C119" s="378" t="s">
        <v>572</v>
      </c>
      <c r="D119" s="378" t="s">
        <v>570</v>
      </c>
      <c r="E119" s="453" t="s">
        <v>625</v>
      </c>
      <c r="F119" s="454" t="s">
        <v>628</v>
      </c>
      <c r="G119" s="379"/>
      <c r="H119" s="379"/>
      <c r="I119" s="379"/>
      <c r="J119" s="451">
        <f>(500000)-109930</f>
        <v>390070</v>
      </c>
    </row>
    <row r="120" spans="1:10" ht="59.25" customHeight="1" x14ac:dyDescent="0.2">
      <c r="A120" s="30"/>
      <c r="B120" s="378" t="s">
        <v>571</v>
      </c>
      <c r="C120" s="378" t="s">
        <v>572</v>
      </c>
      <c r="D120" s="378" t="s">
        <v>570</v>
      </c>
      <c r="E120" s="453" t="s">
        <v>625</v>
      </c>
      <c r="F120" s="454" t="s">
        <v>3</v>
      </c>
      <c r="G120" s="379">
        <v>181970000</v>
      </c>
      <c r="H120" s="397">
        <f t="shared" ref="H120" si="5">I120/G120*100</f>
        <v>28.724515029949991</v>
      </c>
      <c r="I120" s="379">
        <f>57270000-5000000</f>
        <v>52270000</v>
      </c>
      <c r="J120" s="451">
        <f>(5000000)+5000000</f>
        <v>10000000</v>
      </c>
    </row>
    <row r="121" spans="1:10" ht="59.25" customHeight="1" x14ac:dyDescent="0.2">
      <c r="A121" s="30"/>
      <c r="B121" s="530" t="s">
        <v>571</v>
      </c>
      <c r="C121" s="530" t="s">
        <v>572</v>
      </c>
      <c r="D121" s="530" t="s">
        <v>570</v>
      </c>
      <c r="E121" s="453" t="s">
        <v>625</v>
      </c>
      <c r="F121" s="454" t="s">
        <v>1013</v>
      </c>
      <c r="G121" s="379"/>
      <c r="H121" s="397"/>
      <c r="I121" s="379"/>
      <c r="J121" s="451">
        <v>206000</v>
      </c>
    </row>
    <row r="122" spans="1:10" ht="114.75" customHeight="1" x14ac:dyDescent="0.2">
      <c r="A122" s="30"/>
      <c r="B122" s="503" t="s">
        <v>571</v>
      </c>
      <c r="C122" s="503" t="s">
        <v>572</v>
      </c>
      <c r="D122" s="503" t="s">
        <v>570</v>
      </c>
      <c r="E122" s="453" t="s">
        <v>625</v>
      </c>
      <c r="F122" s="457" t="s">
        <v>984</v>
      </c>
      <c r="G122" s="379"/>
      <c r="H122" s="379"/>
      <c r="I122" s="379"/>
      <c r="J122" s="451">
        <v>108.68</v>
      </c>
    </row>
    <row r="123" spans="1:10" ht="111" customHeight="1" x14ac:dyDescent="0.2">
      <c r="A123" s="30"/>
      <c r="B123" s="503" t="s">
        <v>571</v>
      </c>
      <c r="C123" s="503" t="s">
        <v>572</v>
      </c>
      <c r="D123" s="503" t="s">
        <v>570</v>
      </c>
      <c r="E123" s="453" t="s">
        <v>625</v>
      </c>
      <c r="F123" s="457" t="s">
        <v>985</v>
      </c>
      <c r="G123" s="379"/>
      <c r="H123" s="379"/>
      <c r="I123" s="379"/>
      <c r="J123" s="451">
        <v>115362.2</v>
      </c>
    </row>
    <row r="124" spans="1:10" ht="67.5" customHeight="1" x14ac:dyDescent="0.2">
      <c r="A124" s="30"/>
      <c r="B124" s="503" t="s">
        <v>571</v>
      </c>
      <c r="C124" s="503" t="s">
        <v>572</v>
      </c>
      <c r="D124" s="503" t="s">
        <v>570</v>
      </c>
      <c r="E124" s="453" t="s">
        <v>625</v>
      </c>
      <c r="F124" s="457" t="s">
        <v>986</v>
      </c>
      <c r="G124" s="379"/>
      <c r="H124" s="379"/>
      <c r="I124" s="379"/>
      <c r="J124" s="451">
        <v>3461</v>
      </c>
    </row>
    <row r="125" spans="1:10" ht="93" customHeight="1" x14ac:dyDescent="0.2">
      <c r="A125" s="30"/>
      <c r="B125" s="503" t="s">
        <v>571</v>
      </c>
      <c r="C125" s="503" t="s">
        <v>572</v>
      </c>
      <c r="D125" s="503" t="s">
        <v>570</v>
      </c>
      <c r="E125" s="453" t="s">
        <v>625</v>
      </c>
      <c r="F125" s="457" t="s">
        <v>987</v>
      </c>
      <c r="G125" s="379"/>
      <c r="H125" s="379"/>
      <c r="I125" s="379"/>
      <c r="J125" s="451">
        <v>800000</v>
      </c>
    </row>
    <row r="126" spans="1:10" ht="59.25" customHeight="1" x14ac:dyDescent="0.2">
      <c r="A126" s="30"/>
      <c r="B126" s="503" t="s">
        <v>571</v>
      </c>
      <c r="C126" s="503" t="s">
        <v>572</v>
      </c>
      <c r="D126" s="503" t="s">
        <v>570</v>
      </c>
      <c r="E126" s="453" t="s">
        <v>625</v>
      </c>
      <c r="F126" s="457" t="s">
        <v>991</v>
      </c>
      <c r="G126" s="379"/>
      <c r="H126" s="379"/>
      <c r="I126" s="379"/>
      <c r="J126" s="451">
        <v>24000</v>
      </c>
    </row>
    <row r="127" spans="1:10" ht="63" customHeight="1" x14ac:dyDescent="0.2">
      <c r="A127" s="30"/>
      <c r="B127" s="378" t="s">
        <v>722</v>
      </c>
      <c r="C127" s="378" t="s">
        <v>609</v>
      </c>
      <c r="D127" s="378" t="s">
        <v>570</v>
      </c>
      <c r="E127" s="453" t="s">
        <v>723</v>
      </c>
      <c r="F127" s="454" t="s">
        <v>724</v>
      </c>
      <c r="G127" s="379"/>
      <c r="H127" s="379"/>
      <c r="I127" s="379"/>
      <c r="J127" s="451">
        <v>700000</v>
      </c>
    </row>
    <row r="128" spans="1:10" ht="15" hidden="1" x14ac:dyDescent="0.2">
      <c r="A128" s="30"/>
      <c r="B128" s="367" t="s">
        <v>979</v>
      </c>
      <c r="C128" s="367" t="s">
        <v>980</v>
      </c>
      <c r="D128" s="367"/>
      <c r="E128" s="367" t="s">
        <v>978</v>
      </c>
      <c r="F128" s="368"/>
      <c r="G128" s="379"/>
      <c r="H128" s="379"/>
      <c r="I128" s="379"/>
      <c r="J128" s="420">
        <f>SUM(J129:J133)</f>
        <v>0</v>
      </c>
    </row>
    <row r="129" spans="1:10" ht="120" hidden="1" x14ac:dyDescent="0.2">
      <c r="A129" s="30"/>
      <c r="B129" s="504" t="s">
        <v>981</v>
      </c>
      <c r="C129" s="504" t="s">
        <v>983</v>
      </c>
      <c r="D129" s="504" t="s">
        <v>324</v>
      </c>
      <c r="E129" s="504" t="s">
        <v>982</v>
      </c>
      <c r="F129" s="505" t="s">
        <v>984</v>
      </c>
      <c r="G129" s="506"/>
      <c r="H129" s="506"/>
      <c r="I129" s="506"/>
      <c r="J129" s="507"/>
    </row>
    <row r="130" spans="1:10" ht="135" hidden="1" x14ac:dyDescent="0.2">
      <c r="A130" s="30"/>
      <c r="B130" s="504" t="s">
        <v>981</v>
      </c>
      <c r="C130" s="504" t="s">
        <v>983</v>
      </c>
      <c r="D130" s="504" t="s">
        <v>324</v>
      </c>
      <c r="E130" s="504" t="s">
        <v>982</v>
      </c>
      <c r="F130" s="505" t="s">
        <v>985</v>
      </c>
      <c r="G130" s="506"/>
      <c r="H130" s="506"/>
      <c r="I130" s="506"/>
      <c r="J130" s="507"/>
    </row>
    <row r="131" spans="1:10" ht="75" hidden="1" x14ac:dyDescent="0.2">
      <c r="A131" s="30"/>
      <c r="B131" s="504" t="s">
        <v>981</v>
      </c>
      <c r="C131" s="504" t="s">
        <v>983</v>
      </c>
      <c r="D131" s="504" t="s">
        <v>324</v>
      </c>
      <c r="E131" s="504" t="s">
        <v>982</v>
      </c>
      <c r="F131" s="505" t="s">
        <v>986</v>
      </c>
      <c r="G131" s="506"/>
      <c r="H131" s="506"/>
      <c r="I131" s="506"/>
      <c r="J131" s="507"/>
    </row>
    <row r="132" spans="1:10" ht="105" hidden="1" x14ac:dyDescent="0.2">
      <c r="A132" s="30"/>
      <c r="B132" s="504" t="s">
        <v>981</v>
      </c>
      <c r="C132" s="504" t="s">
        <v>983</v>
      </c>
      <c r="D132" s="504" t="s">
        <v>324</v>
      </c>
      <c r="E132" s="504" t="s">
        <v>982</v>
      </c>
      <c r="F132" s="505" t="s">
        <v>987</v>
      </c>
      <c r="G132" s="506"/>
      <c r="H132" s="506"/>
      <c r="I132" s="506"/>
      <c r="J132" s="507"/>
    </row>
    <row r="133" spans="1:10" ht="60" hidden="1" x14ac:dyDescent="0.2">
      <c r="A133" s="30"/>
      <c r="B133" s="504" t="s">
        <v>981</v>
      </c>
      <c r="C133" s="504" t="s">
        <v>983</v>
      </c>
      <c r="D133" s="504" t="s">
        <v>324</v>
      </c>
      <c r="E133" s="504" t="s">
        <v>982</v>
      </c>
      <c r="F133" s="505" t="s">
        <v>991</v>
      </c>
      <c r="G133" s="506"/>
      <c r="H133" s="506"/>
      <c r="I133" s="506"/>
      <c r="J133" s="507"/>
    </row>
    <row r="134" spans="1:10" ht="42" customHeight="1" x14ac:dyDescent="0.2">
      <c r="A134" s="30"/>
      <c r="B134" s="367" t="s">
        <v>550</v>
      </c>
      <c r="C134" s="367" t="s">
        <v>551</v>
      </c>
      <c r="D134" s="367"/>
      <c r="E134" s="452" t="s">
        <v>552</v>
      </c>
      <c r="F134" s="368" t="s">
        <v>133</v>
      </c>
      <c r="G134" s="368"/>
      <c r="H134" s="368"/>
      <c r="I134" s="368"/>
      <c r="J134" s="420">
        <f>J135</f>
        <v>85396860</v>
      </c>
    </row>
    <row r="135" spans="1:10" ht="66" customHeight="1" x14ac:dyDescent="0.2">
      <c r="A135" s="30"/>
      <c r="B135" s="378" t="s">
        <v>553</v>
      </c>
      <c r="C135" s="378" t="s">
        <v>554</v>
      </c>
      <c r="D135" s="378" t="s">
        <v>556</v>
      </c>
      <c r="E135" s="453" t="s">
        <v>555</v>
      </c>
      <c r="F135" s="379" t="s">
        <v>133</v>
      </c>
      <c r="G135" s="379"/>
      <c r="H135" s="379"/>
      <c r="I135" s="379"/>
      <c r="J135" s="451">
        <f>((58865000)+25301210-1200000)+2430650</f>
        <v>85396860</v>
      </c>
    </row>
    <row r="136" spans="1:10" ht="26.25" customHeight="1" x14ac:dyDescent="0.2">
      <c r="A136" s="30"/>
      <c r="B136" s="367" t="s">
        <v>557</v>
      </c>
      <c r="C136" s="367" t="s">
        <v>403</v>
      </c>
      <c r="D136" s="367" t="s">
        <v>404</v>
      </c>
      <c r="E136" s="452" t="s">
        <v>99</v>
      </c>
      <c r="F136" s="368" t="s">
        <v>133</v>
      </c>
      <c r="G136" s="379"/>
      <c r="H136" s="379"/>
      <c r="I136" s="379"/>
      <c r="J136" s="420">
        <f>((2000000)+1500000)-1700000</f>
        <v>1800000</v>
      </c>
    </row>
    <row r="137" spans="1:10" ht="36.75" customHeight="1" x14ac:dyDescent="0.2">
      <c r="A137" s="30"/>
      <c r="B137" s="367" t="s">
        <v>575</v>
      </c>
      <c r="C137" s="367" t="s">
        <v>373</v>
      </c>
      <c r="D137" s="367" t="s">
        <v>324</v>
      </c>
      <c r="E137" s="452" t="s">
        <v>89</v>
      </c>
      <c r="F137" s="368" t="s">
        <v>118</v>
      </c>
      <c r="G137" s="379" t="s">
        <v>291</v>
      </c>
      <c r="H137" s="379"/>
      <c r="I137" s="379"/>
      <c r="J137" s="420">
        <f>SUM(J138:J204)</f>
        <v>56295562</v>
      </c>
    </row>
    <row r="138" spans="1:10" ht="75" x14ac:dyDescent="0.2">
      <c r="A138" s="30"/>
      <c r="B138" s="378" t="s">
        <v>575</v>
      </c>
      <c r="C138" s="378" t="s">
        <v>373</v>
      </c>
      <c r="D138" s="378" t="s">
        <v>324</v>
      </c>
      <c r="E138" s="458" t="s">
        <v>89</v>
      </c>
      <c r="F138" s="455" t="s">
        <v>858</v>
      </c>
      <c r="G138" s="379"/>
      <c r="H138" s="379"/>
      <c r="I138" s="379"/>
      <c r="J138" s="451">
        <v>625000</v>
      </c>
    </row>
    <row r="139" spans="1:10" ht="60" x14ac:dyDescent="0.2">
      <c r="A139" s="30"/>
      <c r="B139" s="378" t="s">
        <v>575</v>
      </c>
      <c r="C139" s="378" t="s">
        <v>373</v>
      </c>
      <c r="D139" s="378" t="s">
        <v>324</v>
      </c>
      <c r="E139" s="458" t="s">
        <v>89</v>
      </c>
      <c r="F139" s="455" t="s">
        <v>859</v>
      </c>
      <c r="G139" s="379"/>
      <c r="H139" s="379"/>
      <c r="I139" s="379"/>
      <c r="J139" s="451">
        <f>322000-60676</f>
        <v>261324</v>
      </c>
    </row>
    <row r="140" spans="1:10" ht="45" x14ac:dyDescent="0.2">
      <c r="A140" s="30"/>
      <c r="B140" s="378" t="s">
        <v>575</v>
      </c>
      <c r="C140" s="378" t="s">
        <v>373</v>
      </c>
      <c r="D140" s="378" t="s">
        <v>324</v>
      </c>
      <c r="E140" s="458" t="s">
        <v>89</v>
      </c>
      <c r="F140" s="455" t="s">
        <v>860</v>
      </c>
      <c r="G140" s="379"/>
      <c r="H140" s="379"/>
      <c r="I140" s="379"/>
      <c r="J140" s="451">
        <f>71904-5702</f>
        <v>66202</v>
      </c>
    </row>
    <row r="141" spans="1:10" ht="45" x14ac:dyDescent="0.2">
      <c r="A141" s="30"/>
      <c r="B141" s="378" t="s">
        <v>575</v>
      </c>
      <c r="C141" s="378" t="s">
        <v>373</v>
      </c>
      <c r="D141" s="378" t="s">
        <v>324</v>
      </c>
      <c r="E141" s="458" t="s">
        <v>89</v>
      </c>
      <c r="F141" s="455" t="s">
        <v>861</v>
      </c>
      <c r="G141" s="379"/>
      <c r="H141" s="379"/>
      <c r="I141" s="379"/>
      <c r="J141" s="451">
        <v>3325590</v>
      </c>
    </row>
    <row r="142" spans="1:10" ht="60" x14ac:dyDescent="0.2">
      <c r="A142" s="30"/>
      <c r="B142" s="378" t="s">
        <v>575</v>
      </c>
      <c r="C142" s="378" t="s">
        <v>373</v>
      </c>
      <c r="D142" s="378" t="s">
        <v>324</v>
      </c>
      <c r="E142" s="458" t="s">
        <v>89</v>
      </c>
      <c r="F142" s="455" t="s">
        <v>862</v>
      </c>
      <c r="G142" s="379"/>
      <c r="H142" s="379"/>
      <c r="I142" s="379"/>
      <c r="J142" s="451">
        <v>120752</v>
      </c>
    </row>
    <row r="143" spans="1:10" ht="65.25" customHeight="1" x14ac:dyDescent="0.2">
      <c r="A143" s="30"/>
      <c r="B143" s="378" t="s">
        <v>575</v>
      </c>
      <c r="C143" s="378" t="s">
        <v>373</v>
      </c>
      <c r="D143" s="378" t="s">
        <v>324</v>
      </c>
      <c r="E143" s="453" t="s">
        <v>89</v>
      </c>
      <c r="F143" s="453" t="s">
        <v>629</v>
      </c>
      <c r="G143" s="379"/>
      <c r="H143" s="379"/>
      <c r="I143" s="379"/>
      <c r="J143" s="451">
        <v>353700</v>
      </c>
    </row>
    <row r="144" spans="1:10" ht="77.25" customHeight="1" x14ac:dyDescent="0.2">
      <c r="A144" s="30"/>
      <c r="B144" s="378" t="s">
        <v>575</v>
      </c>
      <c r="C144" s="378" t="s">
        <v>373</v>
      </c>
      <c r="D144" s="378" t="s">
        <v>324</v>
      </c>
      <c r="E144" s="453" t="s">
        <v>89</v>
      </c>
      <c r="F144" s="455" t="s">
        <v>630</v>
      </c>
      <c r="G144" s="379"/>
      <c r="H144" s="379"/>
      <c r="I144" s="379"/>
      <c r="J144" s="451">
        <f>450000-450000</f>
        <v>0</v>
      </c>
    </row>
    <row r="145" spans="1:10" ht="77.25" customHeight="1" x14ac:dyDescent="0.2">
      <c r="A145" s="30"/>
      <c r="B145" s="378" t="s">
        <v>575</v>
      </c>
      <c r="C145" s="378" t="s">
        <v>373</v>
      </c>
      <c r="D145" s="378" t="s">
        <v>324</v>
      </c>
      <c r="E145" s="453" t="s">
        <v>89</v>
      </c>
      <c r="F145" s="455" t="s">
        <v>863</v>
      </c>
      <c r="G145" s="379"/>
      <c r="H145" s="379"/>
      <c r="I145" s="379"/>
      <c r="J145" s="451">
        <f>(1820000)-380000</f>
        <v>1440000</v>
      </c>
    </row>
    <row r="146" spans="1:10" ht="77.25" customHeight="1" x14ac:dyDescent="0.2">
      <c r="A146" s="30"/>
      <c r="B146" s="378" t="s">
        <v>575</v>
      </c>
      <c r="C146" s="378" t="s">
        <v>373</v>
      </c>
      <c r="D146" s="378" t="s">
        <v>324</v>
      </c>
      <c r="E146" s="453" t="s">
        <v>89</v>
      </c>
      <c r="F146" s="455" t="s">
        <v>864</v>
      </c>
      <c r="G146" s="379"/>
      <c r="H146" s="379"/>
      <c r="I146" s="379"/>
      <c r="J146" s="451">
        <f>(797000)-52000</f>
        <v>745000</v>
      </c>
    </row>
    <row r="147" spans="1:10" ht="77.25" customHeight="1" x14ac:dyDescent="0.2">
      <c r="A147" s="30"/>
      <c r="B147" s="378" t="s">
        <v>575</v>
      </c>
      <c r="C147" s="378" t="s">
        <v>373</v>
      </c>
      <c r="D147" s="378" t="s">
        <v>324</v>
      </c>
      <c r="E147" s="453" t="s">
        <v>89</v>
      </c>
      <c r="F147" s="455" t="s">
        <v>865</v>
      </c>
      <c r="G147" s="379"/>
      <c r="H147" s="379"/>
      <c r="I147" s="379"/>
      <c r="J147" s="451">
        <v>238000</v>
      </c>
    </row>
    <row r="148" spans="1:10" ht="132" customHeight="1" x14ac:dyDescent="0.2">
      <c r="A148" s="30"/>
      <c r="B148" s="378" t="s">
        <v>575</v>
      </c>
      <c r="C148" s="378" t="s">
        <v>373</v>
      </c>
      <c r="D148" s="378" t="s">
        <v>324</v>
      </c>
      <c r="E148" s="453" t="s">
        <v>89</v>
      </c>
      <c r="F148" s="455" t="s">
        <v>925</v>
      </c>
      <c r="G148" s="379"/>
      <c r="H148" s="379"/>
      <c r="I148" s="379"/>
      <c r="J148" s="451">
        <v>1200000</v>
      </c>
    </row>
    <row r="149" spans="1:10" ht="77.25" customHeight="1" x14ac:dyDescent="0.2">
      <c r="A149" s="30"/>
      <c r="B149" s="378" t="s">
        <v>575</v>
      </c>
      <c r="C149" s="378" t="s">
        <v>373</v>
      </c>
      <c r="D149" s="378" t="s">
        <v>324</v>
      </c>
      <c r="E149" s="453" t="s">
        <v>89</v>
      </c>
      <c r="F149" s="455" t="s">
        <v>866</v>
      </c>
      <c r="G149" s="379"/>
      <c r="H149" s="379"/>
      <c r="I149" s="379"/>
      <c r="J149" s="451">
        <v>90000</v>
      </c>
    </row>
    <row r="150" spans="1:10" ht="77.25" customHeight="1" x14ac:dyDescent="0.2">
      <c r="A150" s="30"/>
      <c r="B150" s="378" t="s">
        <v>575</v>
      </c>
      <c r="C150" s="378" t="s">
        <v>373</v>
      </c>
      <c r="D150" s="378" t="s">
        <v>324</v>
      </c>
      <c r="E150" s="453" t="s">
        <v>89</v>
      </c>
      <c r="F150" s="455" t="s">
        <v>867</v>
      </c>
      <c r="G150" s="379"/>
      <c r="H150" s="379"/>
      <c r="I150" s="379"/>
      <c r="J150" s="451">
        <f>(109200)-3576</f>
        <v>105624</v>
      </c>
    </row>
    <row r="151" spans="1:10" ht="77.25" customHeight="1" x14ac:dyDescent="0.2">
      <c r="A151" s="30"/>
      <c r="B151" s="378" t="s">
        <v>575</v>
      </c>
      <c r="C151" s="378" t="s">
        <v>373</v>
      </c>
      <c r="D151" s="378" t="s">
        <v>324</v>
      </c>
      <c r="E151" s="453" t="s">
        <v>89</v>
      </c>
      <c r="F151" s="455" t="s">
        <v>993</v>
      </c>
      <c r="G151" s="379"/>
      <c r="H151" s="379"/>
      <c r="I151" s="379"/>
      <c r="J151" s="451">
        <f>(350000)-25000</f>
        <v>325000</v>
      </c>
    </row>
    <row r="152" spans="1:10" ht="77.25" customHeight="1" x14ac:dyDescent="0.2">
      <c r="A152" s="30"/>
      <c r="B152" s="378" t="s">
        <v>575</v>
      </c>
      <c r="C152" s="378" t="s">
        <v>373</v>
      </c>
      <c r="D152" s="378" t="s">
        <v>324</v>
      </c>
      <c r="E152" s="453" t="s">
        <v>89</v>
      </c>
      <c r="F152" s="455" t="s">
        <v>1017</v>
      </c>
      <c r="G152" s="379"/>
      <c r="H152" s="379"/>
      <c r="I152" s="379"/>
      <c r="J152" s="451">
        <v>21998</v>
      </c>
    </row>
    <row r="153" spans="1:10" ht="75" x14ac:dyDescent="0.2">
      <c r="A153" s="30"/>
      <c r="B153" s="529" t="s">
        <v>575</v>
      </c>
      <c r="C153" s="529" t="s">
        <v>373</v>
      </c>
      <c r="D153" s="529" t="s">
        <v>324</v>
      </c>
      <c r="E153" s="453" t="s">
        <v>89</v>
      </c>
      <c r="F153" s="455" t="s">
        <v>996</v>
      </c>
      <c r="G153" s="379"/>
      <c r="H153" s="379"/>
      <c r="I153" s="379"/>
      <c r="J153" s="451">
        <v>200000</v>
      </c>
    </row>
    <row r="154" spans="1:10" ht="51.75" customHeight="1" x14ac:dyDescent="0.2">
      <c r="A154" s="30"/>
      <c r="B154" s="378" t="s">
        <v>575</v>
      </c>
      <c r="C154" s="378" t="s">
        <v>373</v>
      </c>
      <c r="D154" s="378" t="s">
        <v>324</v>
      </c>
      <c r="E154" s="453" t="s">
        <v>89</v>
      </c>
      <c r="F154" s="455" t="s">
        <v>635</v>
      </c>
      <c r="G154" s="379"/>
      <c r="H154" s="379"/>
      <c r="I154" s="379"/>
      <c r="J154" s="459">
        <v>550000</v>
      </c>
    </row>
    <row r="155" spans="1:10" ht="135" x14ac:dyDescent="0.2">
      <c r="A155" s="30"/>
      <c r="B155" s="378" t="s">
        <v>575</v>
      </c>
      <c r="C155" s="378" t="s">
        <v>373</v>
      </c>
      <c r="D155" s="378" t="s">
        <v>324</v>
      </c>
      <c r="E155" s="453" t="s">
        <v>89</v>
      </c>
      <c r="F155" s="455" t="s">
        <v>647</v>
      </c>
      <c r="G155" s="379"/>
      <c r="H155" s="379"/>
      <c r="I155" s="379"/>
      <c r="J155" s="451">
        <f>(2000000)+5371102</f>
        <v>7371102</v>
      </c>
    </row>
    <row r="156" spans="1:10" ht="120" x14ac:dyDescent="0.2">
      <c r="A156" s="30"/>
      <c r="B156" s="378" t="s">
        <v>575</v>
      </c>
      <c r="C156" s="378" t="s">
        <v>373</v>
      </c>
      <c r="D156" s="378" t="s">
        <v>324</v>
      </c>
      <c r="E156" s="453" t="s">
        <v>89</v>
      </c>
      <c r="F156" s="455" t="s">
        <v>868</v>
      </c>
      <c r="G156" s="379"/>
      <c r="H156" s="379"/>
      <c r="I156" s="379"/>
      <c r="J156" s="451">
        <v>298804</v>
      </c>
    </row>
    <row r="157" spans="1:10" ht="90" x14ac:dyDescent="0.2">
      <c r="A157" s="30"/>
      <c r="B157" s="378" t="s">
        <v>575</v>
      </c>
      <c r="C157" s="378" t="s">
        <v>373</v>
      </c>
      <c r="D157" s="378" t="s">
        <v>324</v>
      </c>
      <c r="E157" s="453" t="s">
        <v>89</v>
      </c>
      <c r="F157" s="455" t="s">
        <v>926</v>
      </c>
      <c r="G157" s="379"/>
      <c r="H157" s="379"/>
      <c r="I157" s="379"/>
      <c r="J157" s="451">
        <v>1908200</v>
      </c>
    </row>
    <row r="158" spans="1:10" ht="105" x14ac:dyDescent="0.2">
      <c r="A158" s="30"/>
      <c r="B158" s="378" t="s">
        <v>575</v>
      </c>
      <c r="C158" s="378" t="s">
        <v>373</v>
      </c>
      <c r="D158" s="378" t="s">
        <v>324</v>
      </c>
      <c r="E158" s="453" t="s">
        <v>89</v>
      </c>
      <c r="F158" s="455" t="s">
        <v>869</v>
      </c>
      <c r="G158" s="379"/>
      <c r="H158" s="379"/>
      <c r="I158" s="379"/>
      <c r="J158" s="451">
        <f>(543210)-1687</f>
        <v>541523</v>
      </c>
    </row>
    <row r="159" spans="1:10" ht="105" x14ac:dyDescent="0.2">
      <c r="A159" s="30"/>
      <c r="B159" s="378" t="s">
        <v>575</v>
      </c>
      <c r="C159" s="378" t="s">
        <v>373</v>
      </c>
      <c r="D159" s="378" t="s">
        <v>324</v>
      </c>
      <c r="E159" s="453" t="s">
        <v>89</v>
      </c>
      <c r="F159" s="455" t="s">
        <v>870</v>
      </c>
      <c r="G159" s="379"/>
      <c r="H159" s="379"/>
      <c r="I159" s="379"/>
      <c r="J159" s="451">
        <v>517586</v>
      </c>
    </row>
    <row r="160" spans="1:10" ht="90" x14ac:dyDescent="0.2">
      <c r="A160" s="30"/>
      <c r="B160" s="378" t="s">
        <v>575</v>
      </c>
      <c r="C160" s="378" t="s">
        <v>373</v>
      </c>
      <c r="D160" s="378" t="s">
        <v>324</v>
      </c>
      <c r="E160" s="453" t="s">
        <v>89</v>
      </c>
      <c r="F160" s="455" t="s">
        <v>1025</v>
      </c>
      <c r="G160" s="379"/>
      <c r="H160" s="379"/>
      <c r="I160" s="379"/>
      <c r="J160" s="451">
        <f>(700000)+1798554</f>
        <v>2498554</v>
      </c>
    </row>
    <row r="161" spans="1:10" ht="150" x14ac:dyDescent="0.2">
      <c r="A161" s="30"/>
      <c r="B161" s="378" t="s">
        <v>575</v>
      </c>
      <c r="C161" s="378" t="s">
        <v>373</v>
      </c>
      <c r="D161" s="378" t="s">
        <v>324</v>
      </c>
      <c r="E161" s="453" t="s">
        <v>89</v>
      </c>
      <c r="F161" s="455" t="s">
        <v>1026</v>
      </c>
      <c r="G161" s="456"/>
      <c r="H161" s="456"/>
      <c r="I161" s="456"/>
      <c r="J161" s="451">
        <v>1750000</v>
      </c>
    </row>
    <row r="162" spans="1:10" ht="102" customHeight="1" x14ac:dyDescent="0.2">
      <c r="A162" s="30"/>
      <c r="B162" s="378" t="s">
        <v>575</v>
      </c>
      <c r="C162" s="378" t="s">
        <v>373</v>
      </c>
      <c r="D162" s="378" t="s">
        <v>324</v>
      </c>
      <c r="E162" s="453" t="s">
        <v>89</v>
      </c>
      <c r="F162" s="455" t="s">
        <v>896</v>
      </c>
      <c r="G162" s="379"/>
      <c r="H162" s="379"/>
      <c r="I162" s="379"/>
      <c r="J162" s="451">
        <f>(1330000)-200000</f>
        <v>1130000</v>
      </c>
    </row>
    <row r="163" spans="1:10" ht="89.25" customHeight="1" x14ac:dyDescent="0.2">
      <c r="A163" s="30"/>
      <c r="B163" s="378" t="s">
        <v>575</v>
      </c>
      <c r="C163" s="378" t="s">
        <v>373</v>
      </c>
      <c r="D163" s="378" t="s">
        <v>324</v>
      </c>
      <c r="E163" s="453" t="s">
        <v>89</v>
      </c>
      <c r="F163" s="455" t="s">
        <v>897</v>
      </c>
      <c r="G163" s="379"/>
      <c r="H163" s="379"/>
      <c r="I163" s="379"/>
      <c r="J163" s="451">
        <v>2000000</v>
      </c>
    </row>
    <row r="164" spans="1:10" ht="135" x14ac:dyDescent="0.2">
      <c r="A164" s="30"/>
      <c r="B164" s="378" t="s">
        <v>575</v>
      </c>
      <c r="C164" s="378" t="s">
        <v>373</v>
      </c>
      <c r="D164" s="378" t="s">
        <v>324</v>
      </c>
      <c r="E164" s="453" t="s">
        <v>89</v>
      </c>
      <c r="F164" s="455" t="s">
        <v>898</v>
      </c>
      <c r="G164" s="379"/>
      <c r="H164" s="379"/>
      <c r="I164" s="379"/>
      <c r="J164" s="451">
        <v>2000000</v>
      </c>
    </row>
    <row r="165" spans="1:10" ht="75" x14ac:dyDescent="0.2">
      <c r="A165" s="30"/>
      <c r="B165" s="378" t="s">
        <v>575</v>
      </c>
      <c r="C165" s="378" t="s">
        <v>373</v>
      </c>
      <c r="D165" s="378" t="s">
        <v>324</v>
      </c>
      <c r="E165" s="453" t="s">
        <v>89</v>
      </c>
      <c r="F165" s="455" t="s">
        <v>899</v>
      </c>
      <c r="G165" s="379"/>
      <c r="H165" s="379"/>
      <c r="I165" s="379"/>
      <c r="J165" s="451">
        <v>383000</v>
      </c>
    </row>
    <row r="166" spans="1:10" ht="90" x14ac:dyDescent="0.2">
      <c r="A166" s="30"/>
      <c r="B166" s="378" t="s">
        <v>575</v>
      </c>
      <c r="C166" s="378" t="s">
        <v>373</v>
      </c>
      <c r="D166" s="378" t="s">
        <v>324</v>
      </c>
      <c r="E166" s="453" t="s">
        <v>89</v>
      </c>
      <c r="F166" s="455" t="s">
        <v>871</v>
      </c>
      <c r="G166" s="379"/>
      <c r="H166" s="379"/>
      <c r="I166" s="379"/>
      <c r="J166" s="451">
        <v>208964</v>
      </c>
    </row>
    <row r="167" spans="1:10" ht="105" x14ac:dyDescent="0.2">
      <c r="A167" s="30"/>
      <c r="B167" s="378" t="s">
        <v>575</v>
      </c>
      <c r="C167" s="378" t="s">
        <v>373</v>
      </c>
      <c r="D167" s="378" t="s">
        <v>324</v>
      </c>
      <c r="E167" s="453" t="s">
        <v>89</v>
      </c>
      <c r="F167" s="455" t="s">
        <v>872</v>
      </c>
      <c r="G167" s="379"/>
      <c r="H167" s="379"/>
      <c r="I167" s="379"/>
      <c r="J167" s="451">
        <f>(546450)-44439</f>
        <v>502011</v>
      </c>
    </row>
    <row r="168" spans="1:10" ht="90" x14ac:dyDescent="0.2">
      <c r="A168" s="30"/>
      <c r="B168" s="378" t="s">
        <v>575</v>
      </c>
      <c r="C168" s="378" t="s">
        <v>373</v>
      </c>
      <c r="D168" s="378" t="s">
        <v>324</v>
      </c>
      <c r="E168" s="453" t="s">
        <v>89</v>
      </c>
      <c r="F168" s="455" t="s">
        <v>1015</v>
      </c>
      <c r="G168" s="379"/>
      <c r="H168" s="379"/>
      <c r="I168" s="379"/>
      <c r="J168" s="451">
        <f>(421426)+168570</f>
        <v>589996</v>
      </c>
    </row>
    <row r="169" spans="1:10" ht="90" x14ac:dyDescent="0.2">
      <c r="A169" s="30"/>
      <c r="B169" s="378" t="s">
        <v>575</v>
      </c>
      <c r="C169" s="378" t="s">
        <v>373</v>
      </c>
      <c r="D169" s="378" t="s">
        <v>324</v>
      </c>
      <c r="E169" s="453" t="s">
        <v>89</v>
      </c>
      <c r="F169" s="455" t="s">
        <v>1016</v>
      </c>
      <c r="G169" s="379"/>
      <c r="H169" s="379"/>
      <c r="I169" s="379"/>
      <c r="J169" s="451">
        <f>(109000)+44000</f>
        <v>153000</v>
      </c>
    </row>
    <row r="170" spans="1:10" ht="75" x14ac:dyDescent="0.2">
      <c r="A170" s="30"/>
      <c r="B170" s="378" t="s">
        <v>575</v>
      </c>
      <c r="C170" s="378" t="s">
        <v>373</v>
      </c>
      <c r="D170" s="378" t="s">
        <v>324</v>
      </c>
      <c r="E170" s="453" t="s">
        <v>89</v>
      </c>
      <c r="F170" s="455" t="s">
        <v>900</v>
      </c>
      <c r="G170" s="379"/>
      <c r="H170" s="379"/>
      <c r="I170" s="379"/>
      <c r="J170" s="451">
        <v>675000</v>
      </c>
    </row>
    <row r="171" spans="1:10" ht="156" customHeight="1" x14ac:dyDescent="0.2">
      <c r="A171" s="30"/>
      <c r="B171" s="378" t="s">
        <v>575</v>
      </c>
      <c r="C171" s="378" t="s">
        <v>373</v>
      </c>
      <c r="D171" s="378" t="s">
        <v>324</v>
      </c>
      <c r="E171" s="453" t="s">
        <v>89</v>
      </c>
      <c r="F171" s="455" t="s">
        <v>887</v>
      </c>
      <c r="G171" s="379"/>
      <c r="H171" s="379"/>
      <c r="I171" s="379"/>
      <c r="J171" s="451">
        <v>3385670</v>
      </c>
    </row>
    <row r="172" spans="1:10" ht="105" x14ac:dyDescent="0.2">
      <c r="A172" s="30"/>
      <c r="B172" s="378" t="s">
        <v>575</v>
      </c>
      <c r="C172" s="378" t="s">
        <v>373</v>
      </c>
      <c r="D172" s="378" t="s">
        <v>324</v>
      </c>
      <c r="E172" s="453" t="s">
        <v>89</v>
      </c>
      <c r="F172" s="455" t="s">
        <v>888</v>
      </c>
      <c r="G172" s="379"/>
      <c r="H172" s="379"/>
      <c r="I172" s="379"/>
      <c r="J172" s="451">
        <v>898020</v>
      </c>
    </row>
    <row r="173" spans="1:10" ht="97.5" customHeight="1" x14ac:dyDescent="0.2">
      <c r="A173" s="30"/>
      <c r="B173" s="378" t="s">
        <v>575</v>
      </c>
      <c r="C173" s="378" t="s">
        <v>373</v>
      </c>
      <c r="D173" s="378" t="s">
        <v>324</v>
      </c>
      <c r="E173" s="453" t="s">
        <v>89</v>
      </c>
      <c r="F173" s="455" t="s">
        <v>889</v>
      </c>
      <c r="G173" s="379"/>
      <c r="H173" s="379"/>
      <c r="I173" s="379"/>
      <c r="J173" s="451">
        <f>(300000)-1670</f>
        <v>298330</v>
      </c>
    </row>
    <row r="174" spans="1:10" ht="90" x14ac:dyDescent="0.2">
      <c r="A174" s="30"/>
      <c r="B174" s="378" t="s">
        <v>575</v>
      </c>
      <c r="C174" s="378" t="s">
        <v>373</v>
      </c>
      <c r="D174" s="378" t="s">
        <v>324</v>
      </c>
      <c r="E174" s="453" t="s">
        <v>89</v>
      </c>
      <c r="F174" s="455" t="s">
        <v>1027</v>
      </c>
      <c r="G174" s="379"/>
      <c r="H174" s="379"/>
      <c r="I174" s="379"/>
      <c r="J174" s="451">
        <v>100000</v>
      </c>
    </row>
    <row r="175" spans="1:10" ht="75" x14ac:dyDescent="0.2">
      <c r="A175" s="30"/>
      <c r="B175" s="378" t="s">
        <v>575</v>
      </c>
      <c r="C175" s="378" t="s">
        <v>373</v>
      </c>
      <c r="D175" s="378" t="s">
        <v>324</v>
      </c>
      <c r="E175" s="453" t="s">
        <v>89</v>
      </c>
      <c r="F175" s="455" t="s">
        <v>989</v>
      </c>
      <c r="G175" s="379"/>
      <c r="H175" s="379"/>
      <c r="I175" s="379"/>
      <c r="J175" s="451">
        <v>93914</v>
      </c>
    </row>
    <row r="176" spans="1:10" ht="75" x14ac:dyDescent="0.2">
      <c r="A176" s="30"/>
      <c r="B176" s="378" t="s">
        <v>575</v>
      </c>
      <c r="C176" s="378" t="s">
        <v>373</v>
      </c>
      <c r="D176" s="378" t="s">
        <v>324</v>
      </c>
      <c r="E176" s="453" t="s">
        <v>89</v>
      </c>
      <c r="F176" s="455" t="s">
        <v>997</v>
      </c>
      <c r="G176" s="379"/>
      <c r="H176" s="379"/>
      <c r="I176" s="379"/>
      <c r="J176" s="451">
        <v>299976</v>
      </c>
    </row>
    <row r="177" spans="1:10" ht="90" x14ac:dyDescent="0.2">
      <c r="A177" s="30"/>
      <c r="B177" s="378" t="s">
        <v>575</v>
      </c>
      <c r="C177" s="378" t="s">
        <v>373</v>
      </c>
      <c r="D177" s="378" t="s">
        <v>324</v>
      </c>
      <c r="E177" s="453" t="s">
        <v>89</v>
      </c>
      <c r="F177" s="455" t="s">
        <v>998</v>
      </c>
      <c r="G177" s="379"/>
      <c r="H177" s="379"/>
      <c r="I177" s="379"/>
      <c r="J177" s="451">
        <v>555871</v>
      </c>
    </row>
    <row r="178" spans="1:10" ht="90" x14ac:dyDescent="0.2">
      <c r="A178" s="30"/>
      <c r="B178" s="378" t="s">
        <v>575</v>
      </c>
      <c r="C178" s="378" t="s">
        <v>373</v>
      </c>
      <c r="D178" s="378" t="s">
        <v>324</v>
      </c>
      <c r="E178" s="453" t="s">
        <v>89</v>
      </c>
      <c r="F178" s="455" t="s">
        <v>999</v>
      </c>
      <c r="G178" s="379"/>
      <c r="H178" s="379"/>
      <c r="I178" s="379"/>
      <c r="J178" s="451">
        <v>172344</v>
      </c>
    </row>
    <row r="179" spans="1:10" ht="90" x14ac:dyDescent="0.2">
      <c r="A179" s="30"/>
      <c r="B179" s="378" t="s">
        <v>575</v>
      </c>
      <c r="C179" s="378" t="s">
        <v>373</v>
      </c>
      <c r="D179" s="378" t="s">
        <v>324</v>
      </c>
      <c r="E179" s="453" t="s">
        <v>89</v>
      </c>
      <c r="F179" s="455" t="s">
        <v>1000</v>
      </c>
      <c r="G179" s="379"/>
      <c r="H179" s="379"/>
      <c r="I179" s="379"/>
      <c r="J179" s="451">
        <v>276116</v>
      </c>
    </row>
    <row r="180" spans="1:10" ht="105" x14ac:dyDescent="0.2">
      <c r="A180" s="30"/>
      <c r="B180" s="378" t="s">
        <v>575</v>
      </c>
      <c r="C180" s="378" t="s">
        <v>373</v>
      </c>
      <c r="D180" s="378" t="s">
        <v>324</v>
      </c>
      <c r="E180" s="453" t="s">
        <v>89</v>
      </c>
      <c r="F180" s="455" t="s">
        <v>990</v>
      </c>
      <c r="G180" s="379"/>
      <c r="H180" s="379"/>
      <c r="I180" s="379"/>
      <c r="J180" s="451">
        <v>200000</v>
      </c>
    </row>
    <row r="181" spans="1:10" ht="84" customHeight="1" x14ac:dyDescent="0.2">
      <c r="A181" s="30"/>
      <c r="B181" s="378" t="s">
        <v>575</v>
      </c>
      <c r="C181" s="378" t="s">
        <v>373</v>
      </c>
      <c r="D181" s="378" t="s">
        <v>324</v>
      </c>
      <c r="E181" s="453" t="s">
        <v>89</v>
      </c>
      <c r="F181" s="455" t="s">
        <v>910</v>
      </c>
      <c r="G181" s="379"/>
      <c r="H181" s="379"/>
      <c r="I181" s="379"/>
      <c r="J181" s="451">
        <v>2500000</v>
      </c>
    </row>
    <row r="182" spans="1:10" ht="81.75" customHeight="1" x14ac:dyDescent="0.2">
      <c r="A182" s="30"/>
      <c r="B182" s="378" t="s">
        <v>575</v>
      </c>
      <c r="C182" s="378" t="s">
        <v>373</v>
      </c>
      <c r="D182" s="378" t="s">
        <v>324</v>
      </c>
      <c r="E182" s="453" t="s">
        <v>89</v>
      </c>
      <c r="F182" s="455" t="s">
        <v>911</v>
      </c>
      <c r="G182" s="379"/>
      <c r="H182" s="379"/>
      <c r="I182" s="379"/>
      <c r="J182" s="451">
        <v>900000</v>
      </c>
    </row>
    <row r="183" spans="1:10" ht="92.25" customHeight="1" x14ac:dyDescent="0.2">
      <c r="A183" s="30"/>
      <c r="B183" s="378" t="s">
        <v>575</v>
      </c>
      <c r="C183" s="378" t="s">
        <v>373</v>
      </c>
      <c r="D183" s="378" t="s">
        <v>324</v>
      </c>
      <c r="E183" s="453" t="s">
        <v>89</v>
      </c>
      <c r="F183" s="455" t="s">
        <v>912</v>
      </c>
      <c r="G183" s="379"/>
      <c r="H183" s="379"/>
      <c r="I183" s="379"/>
      <c r="J183" s="451">
        <v>900000</v>
      </c>
    </row>
    <row r="184" spans="1:10" ht="94.5" customHeight="1" x14ac:dyDescent="0.2">
      <c r="A184" s="30"/>
      <c r="B184" s="378" t="s">
        <v>575</v>
      </c>
      <c r="C184" s="378" t="s">
        <v>373</v>
      </c>
      <c r="D184" s="378" t="s">
        <v>324</v>
      </c>
      <c r="E184" s="453" t="s">
        <v>89</v>
      </c>
      <c r="F184" s="455" t="s">
        <v>913</v>
      </c>
      <c r="G184" s="379"/>
      <c r="H184" s="379"/>
      <c r="I184" s="379"/>
      <c r="J184" s="451">
        <v>1100000</v>
      </c>
    </row>
    <row r="185" spans="1:10" ht="107.25" customHeight="1" x14ac:dyDescent="0.2">
      <c r="A185" s="30"/>
      <c r="B185" s="378" t="s">
        <v>575</v>
      </c>
      <c r="C185" s="378" t="s">
        <v>373</v>
      </c>
      <c r="D185" s="378" t="s">
        <v>324</v>
      </c>
      <c r="E185" s="453" t="s">
        <v>89</v>
      </c>
      <c r="F185" s="455" t="s">
        <v>890</v>
      </c>
      <c r="G185" s="379"/>
      <c r="H185" s="379"/>
      <c r="I185" s="379"/>
      <c r="J185" s="451">
        <v>1170000</v>
      </c>
    </row>
    <row r="186" spans="1:10" ht="88.5" customHeight="1" x14ac:dyDescent="0.2">
      <c r="A186" s="30"/>
      <c r="B186" s="378" t="s">
        <v>575</v>
      </c>
      <c r="C186" s="378" t="s">
        <v>373</v>
      </c>
      <c r="D186" s="378" t="s">
        <v>324</v>
      </c>
      <c r="E186" s="453" t="s">
        <v>89</v>
      </c>
      <c r="F186" s="455" t="s">
        <v>908</v>
      </c>
      <c r="G186" s="379"/>
      <c r="H186" s="379"/>
      <c r="I186" s="379"/>
      <c r="J186" s="451">
        <v>1300000</v>
      </c>
    </row>
    <row r="187" spans="1:10" ht="73.5" customHeight="1" x14ac:dyDescent="0.2">
      <c r="A187" s="30"/>
      <c r="B187" s="378" t="s">
        <v>575</v>
      </c>
      <c r="C187" s="378" t="s">
        <v>373</v>
      </c>
      <c r="D187" s="378" t="s">
        <v>324</v>
      </c>
      <c r="E187" s="453" t="s">
        <v>89</v>
      </c>
      <c r="F187" s="455" t="s">
        <v>909</v>
      </c>
      <c r="G187" s="379"/>
      <c r="H187" s="379"/>
      <c r="I187" s="379"/>
      <c r="J187" s="451">
        <v>1430000</v>
      </c>
    </row>
    <row r="188" spans="1:10" ht="96" customHeight="1" x14ac:dyDescent="0.2">
      <c r="A188" s="30"/>
      <c r="B188" s="378" t="s">
        <v>575</v>
      </c>
      <c r="C188" s="378" t="s">
        <v>373</v>
      </c>
      <c r="D188" s="378" t="s">
        <v>324</v>
      </c>
      <c r="E188" s="453" t="s">
        <v>89</v>
      </c>
      <c r="F188" s="455" t="s">
        <v>891</v>
      </c>
      <c r="G188" s="379"/>
      <c r="H188" s="379"/>
      <c r="I188" s="379"/>
      <c r="J188" s="451">
        <v>1000000</v>
      </c>
    </row>
    <row r="189" spans="1:10" ht="77.25" customHeight="1" x14ac:dyDescent="0.2">
      <c r="A189" s="30"/>
      <c r="B189" s="378" t="s">
        <v>575</v>
      </c>
      <c r="C189" s="378" t="s">
        <v>373</v>
      </c>
      <c r="D189" s="378" t="s">
        <v>324</v>
      </c>
      <c r="E189" s="453" t="s">
        <v>89</v>
      </c>
      <c r="F189" s="455" t="s">
        <v>873</v>
      </c>
      <c r="G189" s="379"/>
      <c r="H189" s="379"/>
      <c r="I189" s="379"/>
      <c r="J189" s="451">
        <v>2326868</v>
      </c>
    </row>
    <row r="190" spans="1:10" ht="105" x14ac:dyDescent="0.2">
      <c r="A190" s="30"/>
      <c r="B190" s="378" t="s">
        <v>575</v>
      </c>
      <c r="C190" s="378" t="s">
        <v>373</v>
      </c>
      <c r="D190" s="378" t="s">
        <v>324</v>
      </c>
      <c r="E190" s="453" t="s">
        <v>89</v>
      </c>
      <c r="F190" s="455" t="s">
        <v>874</v>
      </c>
      <c r="G190" s="379"/>
      <c r="H190" s="379"/>
      <c r="I190" s="379"/>
      <c r="J190" s="451">
        <v>3496790</v>
      </c>
    </row>
    <row r="191" spans="1:10" ht="132.75" customHeight="1" x14ac:dyDescent="0.2">
      <c r="A191" s="30"/>
      <c r="B191" s="378" t="s">
        <v>575</v>
      </c>
      <c r="C191" s="378" t="s">
        <v>373</v>
      </c>
      <c r="D191" s="378" t="s">
        <v>324</v>
      </c>
      <c r="E191" s="453" t="s">
        <v>89</v>
      </c>
      <c r="F191" s="455" t="s">
        <v>994</v>
      </c>
      <c r="G191" s="379"/>
      <c r="H191" s="379"/>
      <c r="I191" s="379"/>
      <c r="J191" s="451">
        <v>280881</v>
      </c>
    </row>
    <row r="192" spans="1:10" ht="135" x14ac:dyDescent="0.2">
      <c r="A192" s="30"/>
      <c r="B192" s="378" t="s">
        <v>575</v>
      </c>
      <c r="C192" s="378" t="s">
        <v>373</v>
      </c>
      <c r="D192" s="378" t="s">
        <v>324</v>
      </c>
      <c r="E192" s="453" t="s">
        <v>89</v>
      </c>
      <c r="F192" s="455" t="s">
        <v>1001</v>
      </c>
      <c r="G192" s="379"/>
      <c r="H192" s="379"/>
      <c r="I192" s="379"/>
      <c r="J192" s="451">
        <v>122352</v>
      </c>
    </row>
    <row r="193" spans="1:10" ht="15" hidden="1" x14ac:dyDescent="0.2">
      <c r="A193" s="30"/>
      <c r="B193" s="378"/>
      <c r="C193" s="378"/>
      <c r="D193" s="378"/>
      <c r="E193" s="453"/>
      <c r="F193" s="455"/>
      <c r="G193" s="379"/>
      <c r="H193" s="379"/>
      <c r="I193" s="379"/>
      <c r="J193" s="451"/>
    </row>
    <row r="194" spans="1:10" ht="15" hidden="1" x14ac:dyDescent="0.2">
      <c r="A194" s="30"/>
      <c r="B194" s="378"/>
      <c r="C194" s="378"/>
      <c r="D194" s="378"/>
      <c r="E194" s="453"/>
      <c r="F194" s="455"/>
      <c r="G194" s="379"/>
      <c r="H194" s="379"/>
      <c r="I194" s="379"/>
      <c r="J194" s="451"/>
    </row>
    <row r="195" spans="1:10" ht="60" x14ac:dyDescent="0.2">
      <c r="A195" s="30"/>
      <c r="B195" s="378" t="s">
        <v>575</v>
      </c>
      <c r="C195" s="378" t="s">
        <v>373</v>
      </c>
      <c r="D195" s="378" t="s">
        <v>324</v>
      </c>
      <c r="E195" s="453" t="s">
        <v>89</v>
      </c>
      <c r="F195" s="455" t="s">
        <v>875</v>
      </c>
      <c r="G195" s="379"/>
      <c r="H195" s="379"/>
      <c r="I195" s="379"/>
      <c r="J195" s="451">
        <v>960000</v>
      </c>
    </row>
    <row r="196" spans="1:10" ht="90" x14ac:dyDescent="0.2">
      <c r="A196" s="30"/>
      <c r="B196" s="378" t="s">
        <v>575</v>
      </c>
      <c r="C196" s="378" t="s">
        <v>373</v>
      </c>
      <c r="D196" s="378" t="s">
        <v>324</v>
      </c>
      <c r="E196" s="453" t="s">
        <v>89</v>
      </c>
      <c r="F196" s="455" t="s">
        <v>876</v>
      </c>
      <c r="G196" s="379"/>
      <c r="H196" s="379"/>
      <c r="I196" s="379"/>
      <c r="J196" s="451">
        <v>15500</v>
      </c>
    </row>
    <row r="197" spans="1:10" ht="90" x14ac:dyDescent="0.2">
      <c r="A197" s="30"/>
      <c r="B197" s="378" t="s">
        <v>575</v>
      </c>
      <c r="C197" s="378" t="s">
        <v>373</v>
      </c>
      <c r="D197" s="378" t="s">
        <v>324</v>
      </c>
      <c r="E197" s="453" t="s">
        <v>89</v>
      </c>
      <c r="F197" s="455" t="s">
        <v>877</v>
      </c>
      <c r="G197" s="379"/>
      <c r="H197" s="379"/>
      <c r="I197" s="379"/>
      <c r="J197" s="451">
        <v>31000</v>
      </c>
    </row>
    <row r="198" spans="1:10" ht="90" x14ac:dyDescent="0.2">
      <c r="A198" s="30"/>
      <c r="B198" s="378" t="s">
        <v>575</v>
      </c>
      <c r="C198" s="378" t="s">
        <v>373</v>
      </c>
      <c r="D198" s="378" t="s">
        <v>324</v>
      </c>
      <c r="E198" s="453" t="s">
        <v>89</v>
      </c>
      <c r="F198" s="455" t="s">
        <v>878</v>
      </c>
      <c r="G198" s="379"/>
      <c r="H198" s="379"/>
      <c r="I198" s="379"/>
      <c r="J198" s="451">
        <v>31000</v>
      </c>
    </row>
    <row r="199" spans="1:10" ht="75" x14ac:dyDescent="0.2">
      <c r="A199" s="30"/>
      <c r="B199" s="378" t="s">
        <v>575</v>
      </c>
      <c r="C199" s="378" t="s">
        <v>373</v>
      </c>
      <c r="D199" s="378" t="s">
        <v>324</v>
      </c>
      <c r="E199" s="453" t="s">
        <v>89</v>
      </c>
      <c r="F199" s="455" t="s">
        <v>879</v>
      </c>
      <c r="G199" s="379"/>
      <c r="H199" s="379"/>
      <c r="I199" s="379"/>
      <c r="J199" s="451">
        <v>31000</v>
      </c>
    </row>
    <row r="200" spans="1:10" ht="75" x14ac:dyDescent="0.2">
      <c r="A200" s="30"/>
      <c r="B200" s="378" t="s">
        <v>575</v>
      </c>
      <c r="C200" s="378" t="s">
        <v>373</v>
      </c>
      <c r="D200" s="378" t="s">
        <v>324</v>
      </c>
      <c r="E200" s="453" t="s">
        <v>89</v>
      </c>
      <c r="F200" s="455" t="s">
        <v>880</v>
      </c>
      <c r="G200" s="379"/>
      <c r="H200" s="379"/>
      <c r="I200" s="379"/>
      <c r="J200" s="451">
        <v>62000</v>
      </c>
    </row>
    <row r="201" spans="1:10" ht="75" x14ac:dyDescent="0.2">
      <c r="A201" s="30"/>
      <c r="B201" s="378" t="s">
        <v>575</v>
      </c>
      <c r="C201" s="378" t="s">
        <v>373</v>
      </c>
      <c r="D201" s="378" t="s">
        <v>324</v>
      </c>
      <c r="E201" s="453" t="s">
        <v>89</v>
      </c>
      <c r="F201" s="455" t="s">
        <v>881</v>
      </c>
      <c r="G201" s="379"/>
      <c r="H201" s="379"/>
      <c r="I201" s="379"/>
      <c r="J201" s="451">
        <v>62000</v>
      </c>
    </row>
    <row r="202" spans="1:10" ht="90" x14ac:dyDescent="0.2">
      <c r="A202" s="30"/>
      <c r="B202" s="378" t="s">
        <v>575</v>
      </c>
      <c r="C202" s="378" t="s">
        <v>373</v>
      </c>
      <c r="D202" s="378" t="s">
        <v>324</v>
      </c>
      <c r="E202" s="453" t="s">
        <v>89</v>
      </c>
      <c r="F202" s="455" t="s">
        <v>882</v>
      </c>
      <c r="G202" s="379"/>
      <c r="H202" s="379"/>
      <c r="I202" s="379"/>
      <c r="J202" s="451">
        <f>(31000)-31000</f>
        <v>0</v>
      </c>
    </row>
    <row r="203" spans="1:10" ht="90" x14ac:dyDescent="0.2">
      <c r="A203" s="30"/>
      <c r="B203" s="378" t="s">
        <v>575</v>
      </c>
      <c r="C203" s="378" t="s">
        <v>373</v>
      </c>
      <c r="D203" s="378" t="s">
        <v>324</v>
      </c>
      <c r="E203" s="453" t="s">
        <v>89</v>
      </c>
      <c r="F203" s="455" t="s">
        <v>883</v>
      </c>
      <c r="G203" s="379"/>
      <c r="H203" s="379"/>
      <c r="I203" s="379"/>
      <c r="J203" s="451">
        <v>100000</v>
      </c>
    </row>
    <row r="204" spans="1:10" ht="15" hidden="1" customHeight="1" x14ac:dyDescent="0.2">
      <c r="A204" s="30"/>
      <c r="B204" s="378"/>
      <c r="C204" s="378"/>
      <c r="D204" s="378"/>
      <c r="E204" s="453"/>
      <c r="F204" s="455"/>
      <c r="G204" s="379"/>
      <c r="H204" s="379"/>
      <c r="I204" s="379"/>
      <c r="J204" s="451"/>
    </row>
    <row r="205" spans="1:10" ht="75" x14ac:dyDescent="0.2">
      <c r="A205" s="30"/>
      <c r="B205" s="282" t="s">
        <v>69</v>
      </c>
      <c r="C205" s="282"/>
      <c r="D205" s="282"/>
      <c r="E205" s="282" t="s">
        <v>933</v>
      </c>
      <c r="F205" s="315"/>
      <c r="G205" s="315"/>
      <c r="H205" s="315"/>
      <c r="I205" s="315"/>
      <c r="J205" s="316">
        <f>J206</f>
        <v>134630394</v>
      </c>
    </row>
    <row r="206" spans="1:10" ht="85.5" x14ac:dyDescent="0.2">
      <c r="A206" s="30"/>
      <c r="B206" s="286" t="s">
        <v>70</v>
      </c>
      <c r="C206" s="286"/>
      <c r="D206" s="286"/>
      <c r="E206" s="286" t="s">
        <v>932</v>
      </c>
      <c r="F206" s="315"/>
      <c r="G206" s="315"/>
      <c r="H206" s="315"/>
      <c r="I206" s="315"/>
      <c r="J206" s="317">
        <f>J207+J224+J226+J228+J229+J230+J231+J232+J233+J234+J235+J238+J227+J236+J237+J225</f>
        <v>134630394</v>
      </c>
    </row>
    <row r="207" spans="1:10" ht="30" x14ac:dyDescent="0.2">
      <c r="A207" s="30"/>
      <c r="B207" s="514" t="s">
        <v>599</v>
      </c>
      <c r="C207" s="514" t="s">
        <v>600</v>
      </c>
      <c r="D207" s="514"/>
      <c r="E207" s="514" t="s">
        <v>598</v>
      </c>
      <c r="F207" s="528"/>
      <c r="G207" s="368"/>
      <c r="H207" s="368"/>
      <c r="I207" s="368"/>
      <c r="J207" s="525">
        <f>SUM(J208:J223)</f>
        <v>98225000</v>
      </c>
    </row>
    <row r="208" spans="1:10" ht="45" x14ac:dyDescent="0.2">
      <c r="A208" s="30"/>
      <c r="B208" s="512" t="s">
        <v>602</v>
      </c>
      <c r="C208" s="512" t="s">
        <v>603</v>
      </c>
      <c r="D208" s="512" t="s">
        <v>570</v>
      </c>
      <c r="E208" s="512" t="s">
        <v>601</v>
      </c>
      <c r="F208" s="522" t="s">
        <v>901</v>
      </c>
      <c r="G208" s="376">
        <f>(107107060)+7608340</f>
        <v>114715400</v>
      </c>
      <c r="H208" s="397">
        <f t="shared" ref="H208:H217" si="6">I208/G208*100</f>
        <v>38.968351241420066</v>
      </c>
      <c r="I208" s="376">
        <f>((57094360)-10000000+7608340)-10000000</f>
        <v>44702700</v>
      </c>
      <c r="J208" s="518">
        <f>((9888000)+10000000)+10000000</f>
        <v>29888000</v>
      </c>
    </row>
    <row r="209" spans="1:11" ht="102" customHeight="1" x14ac:dyDescent="0.2">
      <c r="A209" s="30"/>
      <c r="B209" s="512" t="s">
        <v>602</v>
      </c>
      <c r="C209" s="512" t="s">
        <v>603</v>
      </c>
      <c r="D209" s="512" t="s">
        <v>570</v>
      </c>
      <c r="E209" s="512" t="s">
        <v>601</v>
      </c>
      <c r="F209" s="418" t="s">
        <v>937</v>
      </c>
      <c r="G209" s="451"/>
      <c r="H209" s="397"/>
      <c r="I209" s="451"/>
      <c r="J209" s="520">
        <v>5000000</v>
      </c>
    </row>
    <row r="210" spans="1:11" ht="60" x14ac:dyDescent="0.2">
      <c r="A210" s="30"/>
      <c r="B210" s="512" t="s">
        <v>602</v>
      </c>
      <c r="C210" s="512" t="s">
        <v>603</v>
      </c>
      <c r="D210" s="512" t="s">
        <v>570</v>
      </c>
      <c r="E210" s="512" t="s">
        <v>601</v>
      </c>
      <c r="F210" s="523" t="s">
        <v>849</v>
      </c>
      <c r="G210" s="376">
        <f>(18108013)+12288187-311800</f>
        <v>30084400</v>
      </c>
      <c r="H210" s="397">
        <f t="shared" si="6"/>
        <v>84.95499328555664</v>
      </c>
      <c r="I210" s="376">
        <f>(12581813)+12288187+1000000-311800</f>
        <v>25558200</v>
      </c>
      <c r="J210" s="518">
        <f>(5000000)-1000000</f>
        <v>4000000</v>
      </c>
      <c r="K210" s="195"/>
    </row>
    <row r="211" spans="1:11" ht="75" x14ac:dyDescent="0.2">
      <c r="A211" s="30"/>
      <c r="B211" s="512" t="s">
        <v>602</v>
      </c>
      <c r="C211" s="512" t="s">
        <v>603</v>
      </c>
      <c r="D211" s="512" t="s">
        <v>570</v>
      </c>
      <c r="E211" s="512" t="s">
        <v>601</v>
      </c>
      <c r="F211" s="523" t="s">
        <v>850</v>
      </c>
      <c r="G211" s="451">
        <f>21126292-145692</f>
        <v>20980600</v>
      </c>
      <c r="H211" s="397">
        <f t="shared" si="6"/>
        <v>0</v>
      </c>
      <c r="I211" s="451">
        <v>0</v>
      </c>
      <c r="J211" s="520">
        <f>((4000000)+2000000+2795000)-145000</f>
        <v>8650000</v>
      </c>
    </row>
    <row r="212" spans="1:11" ht="75" x14ac:dyDescent="0.2">
      <c r="A212" s="30"/>
      <c r="B212" s="512" t="s">
        <v>602</v>
      </c>
      <c r="C212" s="512" t="s">
        <v>603</v>
      </c>
      <c r="D212" s="512" t="s">
        <v>570</v>
      </c>
      <c r="E212" s="512" t="s">
        <v>601</v>
      </c>
      <c r="F212" s="523" t="s">
        <v>4</v>
      </c>
      <c r="G212" s="376">
        <f>(24955463)+5054637</f>
        <v>30010100</v>
      </c>
      <c r="H212" s="397">
        <f t="shared" si="6"/>
        <v>79.878440924888622</v>
      </c>
      <c r="I212" s="376">
        <f>((19916963)-2000000+5054637)+1000000</f>
        <v>23971600</v>
      </c>
      <c r="J212" s="518">
        <f>((3000000)+2000000)-1000000</f>
        <v>4000000</v>
      </c>
    </row>
    <row r="213" spans="1:11" ht="90" x14ac:dyDescent="0.2">
      <c r="A213" s="30"/>
      <c r="B213" s="512" t="s">
        <v>602</v>
      </c>
      <c r="C213" s="512" t="s">
        <v>603</v>
      </c>
      <c r="D213" s="512" t="s">
        <v>570</v>
      </c>
      <c r="E213" s="512" t="s">
        <v>601</v>
      </c>
      <c r="F213" s="523" t="s">
        <v>5</v>
      </c>
      <c r="G213" s="376">
        <f>(6639195)+3899305-1999900</f>
        <v>8538600</v>
      </c>
      <c r="H213" s="397">
        <f t="shared" si="6"/>
        <v>0</v>
      </c>
      <c r="I213" s="376">
        <v>0</v>
      </c>
      <c r="J213" s="518">
        <f>(3000000)+3000000</f>
        <v>6000000</v>
      </c>
    </row>
    <row r="214" spans="1:11" ht="90" x14ac:dyDescent="0.2">
      <c r="A214" s="30"/>
      <c r="B214" s="512" t="s">
        <v>602</v>
      </c>
      <c r="C214" s="512" t="s">
        <v>603</v>
      </c>
      <c r="D214" s="512" t="s">
        <v>570</v>
      </c>
      <c r="E214" s="512" t="s">
        <v>601</v>
      </c>
      <c r="F214" s="523" t="s">
        <v>851</v>
      </c>
      <c r="G214" s="376">
        <f>(15302238)+15435062</f>
        <v>30737300</v>
      </c>
      <c r="H214" s="397">
        <f t="shared" si="6"/>
        <v>64.829214016845981</v>
      </c>
      <c r="I214" s="376">
        <f>((7491688)-1000000+15435062)-2000000</f>
        <v>19926750</v>
      </c>
      <c r="J214" s="518">
        <f>((3000000)+1000000)+2000000</f>
        <v>6000000</v>
      </c>
    </row>
    <row r="215" spans="1:11" ht="105" x14ac:dyDescent="0.2">
      <c r="A215" s="30"/>
      <c r="B215" s="512" t="s">
        <v>602</v>
      </c>
      <c r="C215" s="512" t="s">
        <v>603</v>
      </c>
      <c r="D215" s="512" t="s">
        <v>570</v>
      </c>
      <c r="E215" s="512" t="s">
        <v>601</v>
      </c>
      <c r="F215" s="523" t="s">
        <v>802</v>
      </c>
      <c r="G215" s="376">
        <v>1919400</v>
      </c>
      <c r="H215" s="397">
        <f t="shared" si="6"/>
        <v>0</v>
      </c>
      <c r="I215" s="376">
        <v>0</v>
      </c>
      <c r="J215" s="518">
        <f>(300000)-138000</f>
        <v>162000</v>
      </c>
    </row>
    <row r="216" spans="1:11" ht="90" x14ac:dyDescent="0.2">
      <c r="A216" s="30"/>
      <c r="B216" s="512" t="s">
        <v>602</v>
      </c>
      <c r="C216" s="512" t="s">
        <v>603</v>
      </c>
      <c r="D216" s="512" t="s">
        <v>570</v>
      </c>
      <c r="E216" s="512" t="s">
        <v>601</v>
      </c>
      <c r="F216" s="523" t="s">
        <v>936</v>
      </c>
      <c r="G216" s="451">
        <f>9300000+10829899</f>
        <v>20129899</v>
      </c>
      <c r="H216" s="397">
        <f t="shared" si="6"/>
        <v>98.484840882708852</v>
      </c>
      <c r="I216" s="451">
        <f>(6795000)+2200000+10829899</f>
        <v>19824899</v>
      </c>
      <c r="J216" s="520">
        <f>(4000000-1495000)-2200000</f>
        <v>305000</v>
      </c>
    </row>
    <row r="217" spans="1:11" ht="105" x14ac:dyDescent="0.2">
      <c r="A217" s="30"/>
      <c r="B217" s="512" t="s">
        <v>602</v>
      </c>
      <c r="C217" s="512" t="s">
        <v>603</v>
      </c>
      <c r="D217" s="512" t="s">
        <v>570</v>
      </c>
      <c r="E217" s="512" t="s">
        <v>601</v>
      </c>
      <c r="F217" s="523" t="s">
        <v>969</v>
      </c>
      <c r="G217" s="451">
        <f>8700000+6796500</f>
        <v>15496500</v>
      </c>
      <c r="H217" s="397">
        <f t="shared" si="6"/>
        <v>93.901848804568772</v>
      </c>
      <c r="I217" s="451">
        <f>(6000000)+1755000+6796500</f>
        <v>14551500</v>
      </c>
      <c r="J217" s="520">
        <f>(4000000-1300000)-1755000</f>
        <v>945000</v>
      </c>
    </row>
    <row r="218" spans="1:11" ht="120" x14ac:dyDescent="0.2">
      <c r="A218" s="30"/>
      <c r="B218" s="512" t="s">
        <v>602</v>
      </c>
      <c r="C218" s="512" t="s">
        <v>603</v>
      </c>
      <c r="D218" s="512" t="s">
        <v>570</v>
      </c>
      <c r="E218" s="512" t="s">
        <v>601</v>
      </c>
      <c r="F218" s="523" t="s">
        <v>803</v>
      </c>
      <c r="G218" s="376"/>
      <c r="H218" s="379"/>
      <c r="I218" s="376"/>
      <c r="J218" s="518">
        <v>250000</v>
      </c>
    </row>
    <row r="219" spans="1:11" ht="120" x14ac:dyDescent="0.2">
      <c r="A219" s="30"/>
      <c r="B219" s="512" t="s">
        <v>604</v>
      </c>
      <c r="C219" s="512" t="s">
        <v>605</v>
      </c>
      <c r="D219" s="512" t="s">
        <v>570</v>
      </c>
      <c r="E219" s="512" t="s">
        <v>606</v>
      </c>
      <c r="F219" s="519" t="s">
        <v>902</v>
      </c>
      <c r="G219" s="376"/>
      <c r="H219" s="379"/>
      <c r="I219" s="376"/>
      <c r="J219" s="518">
        <f>((510000)+80000)+35000</f>
        <v>625000</v>
      </c>
    </row>
    <row r="220" spans="1:11" ht="120" x14ac:dyDescent="0.2">
      <c r="A220" s="30"/>
      <c r="B220" s="512" t="s">
        <v>604</v>
      </c>
      <c r="C220" s="512" t="s">
        <v>605</v>
      </c>
      <c r="D220" s="512" t="s">
        <v>570</v>
      </c>
      <c r="E220" s="512" t="s">
        <v>606</v>
      </c>
      <c r="F220" s="517" t="s">
        <v>852</v>
      </c>
      <c r="G220" s="376"/>
      <c r="H220" s="379"/>
      <c r="I220" s="376"/>
      <c r="J220" s="518">
        <f>((5000000)-2000000-1000000+250000-2200000)+1200000</f>
        <v>1250000</v>
      </c>
    </row>
    <row r="221" spans="1:11" ht="75" x14ac:dyDescent="0.2">
      <c r="A221" s="30"/>
      <c r="B221" s="512" t="s">
        <v>604</v>
      </c>
      <c r="C221" s="512" t="s">
        <v>605</v>
      </c>
      <c r="D221" s="512" t="s">
        <v>570</v>
      </c>
      <c r="E221" s="512" t="s">
        <v>606</v>
      </c>
      <c r="F221" s="454" t="s">
        <v>853</v>
      </c>
      <c r="G221" s="451">
        <f>288696000-5834500</f>
        <v>282861500</v>
      </c>
      <c r="H221" s="456">
        <f>I221/G221*100</f>
        <v>87.448097390418994</v>
      </c>
      <c r="I221" s="451">
        <f>G221-2670000-5834500-J222</f>
        <v>247357000</v>
      </c>
      <c r="J221" s="520">
        <f>(1200000+5000000)-3530000</f>
        <v>2670000</v>
      </c>
    </row>
    <row r="222" spans="1:11" ht="135" x14ac:dyDescent="0.2">
      <c r="A222" s="30"/>
      <c r="B222" s="512" t="s">
        <v>604</v>
      </c>
      <c r="C222" s="512" t="s">
        <v>605</v>
      </c>
      <c r="D222" s="512" t="s">
        <v>570</v>
      </c>
      <c r="E222" s="512" t="s">
        <v>606</v>
      </c>
      <c r="F222" s="454" t="s">
        <v>938</v>
      </c>
      <c r="G222" s="451"/>
      <c r="H222" s="456"/>
      <c r="I222" s="451"/>
      <c r="J222" s="520">
        <v>27000000</v>
      </c>
    </row>
    <row r="223" spans="1:11" ht="75" x14ac:dyDescent="0.2">
      <c r="A223" s="30"/>
      <c r="B223" s="512" t="s">
        <v>604</v>
      </c>
      <c r="C223" s="512" t="s">
        <v>605</v>
      </c>
      <c r="D223" s="512" t="s">
        <v>570</v>
      </c>
      <c r="E223" s="512" t="s">
        <v>606</v>
      </c>
      <c r="F223" s="521" t="s">
        <v>854</v>
      </c>
      <c r="G223" s="376">
        <f>178000000</f>
        <v>178000000</v>
      </c>
      <c r="H223" s="374">
        <f t="shared" ref="H223:H224" si="7">I223/G223*100</f>
        <v>99.168539325842701</v>
      </c>
      <c r="I223" s="376">
        <f>G223-1480000</f>
        <v>176520000</v>
      </c>
      <c r="J223" s="518">
        <f>(1200000)+280000</f>
        <v>1480000</v>
      </c>
    </row>
    <row r="224" spans="1:11" ht="90" x14ac:dyDescent="0.2">
      <c r="A224" s="30"/>
      <c r="B224" s="514" t="s">
        <v>608</v>
      </c>
      <c r="C224" s="514" t="s">
        <v>609</v>
      </c>
      <c r="D224" s="514" t="s">
        <v>570</v>
      </c>
      <c r="E224" s="514" t="s">
        <v>607</v>
      </c>
      <c r="F224" s="524" t="s">
        <v>903</v>
      </c>
      <c r="G224" s="372">
        <f>(16874496)+1019604</f>
        <v>17894100</v>
      </c>
      <c r="H224" s="374">
        <f t="shared" si="7"/>
        <v>16.091918565337178</v>
      </c>
      <c r="I224" s="372">
        <f>((5859900)-3000000+1019604)-1000000</f>
        <v>2879504</v>
      </c>
      <c r="J224" s="525">
        <f>((3000000)+3000000)+1000000</f>
        <v>7000000</v>
      </c>
    </row>
    <row r="225" spans="1:10" ht="60" x14ac:dyDescent="0.2">
      <c r="A225" s="30"/>
      <c r="B225" s="514" t="s">
        <v>608</v>
      </c>
      <c r="C225" s="514" t="s">
        <v>609</v>
      </c>
      <c r="D225" s="514" t="s">
        <v>570</v>
      </c>
      <c r="E225" s="514" t="s">
        <v>607</v>
      </c>
      <c r="F225" s="524" t="s">
        <v>907</v>
      </c>
      <c r="G225" s="372">
        <v>977000</v>
      </c>
      <c r="H225" s="374">
        <f t="shared" ref="H225" si="8">I225/G225*100</f>
        <v>0</v>
      </c>
      <c r="I225" s="372">
        <v>0</v>
      </c>
      <c r="J225" s="525">
        <f>(1000000-250000)+227000</f>
        <v>977000</v>
      </c>
    </row>
    <row r="226" spans="1:10" ht="75" x14ac:dyDescent="0.2">
      <c r="A226" s="30"/>
      <c r="B226" s="514" t="s">
        <v>608</v>
      </c>
      <c r="C226" s="514" t="s">
        <v>609</v>
      </c>
      <c r="D226" s="514" t="s">
        <v>570</v>
      </c>
      <c r="E226" s="514" t="s">
        <v>607</v>
      </c>
      <c r="F226" s="524" t="s">
        <v>918</v>
      </c>
      <c r="G226" s="372"/>
      <c r="H226" s="379"/>
      <c r="I226" s="372"/>
      <c r="J226" s="525">
        <f>(230000)+112000</f>
        <v>342000</v>
      </c>
    </row>
    <row r="227" spans="1:10" ht="90" x14ac:dyDescent="0.2">
      <c r="A227" s="30"/>
      <c r="B227" s="514" t="s">
        <v>608</v>
      </c>
      <c r="C227" s="514" t="s">
        <v>609</v>
      </c>
      <c r="D227" s="514" t="s">
        <v>570</v>
      </c>
      <c r="E227" s="514" t="s">
        <v>607</v>
      </c>
      <c r="F227" s="524" t="s">
        <v>904</v>
      </c>
      <c r="G227" s="372"/>
      <c r="H227" s="379"/>
      <c r="I227" s="372"/>
      <c r="J227" s="525">
        <f>(360000)+300000</f>
        <v>660000</v>
      </c>
    </row>
    <row r="228" spans="1:10" ht="75" x14ac:dyDescent="0.2">
      <c r="A228" s="30"/>
      <c r="B228" s="514" t="s">
        <v>608</v>
      </c>
      <c r="C228" s="514" t="s">
        <v>609</v>
      </c>
      <c r="D228" s="514" t="s">
        <v>570</v>
      </c>
      <c r="E228" s="514" t="s">
        <v>607</v>
      </c>
      <c r="F228" s="524" t="s">
        <v>919</v>
      </c>
      <c r="G228" s="372"/>
      <c r="H228" s="379"/>
      <c r="I228" s="372"/>
      <c r="J228" s="525">
        <f>(100000)-100000</f>
        <v>0</v>
      </c>
    </row>
    <row r="229" spans="1:10" ht="75" x14ac:dyDescent="0.2">
      <c r="A229" s="30"/>
      <c r="B229" s="514" t="s">
        <v>608</v>
      </c>
      <c r="C229" s="514" t="s">
        <v>609</v>
      </c>
      <c r="D229" s="514" t="s">
        <v>570</v>
      </c>
      <c r="E229" s="514" t="s">
        <v>607</v>
      </c>
      <c r="F229" s="524" t="s">
        <v>920</v>
      </c>
      <c r="G229" s="372"/>
      <c r="H229" s="379"/>
      <c r="I229" s="372"/>
      <c r="J229" s="525">
        <v>152000</v>
      </c>
    </row>
    <row r="230" spans="1:10" ht="75" x14ac:dyDescent="0.2">
      <c r="A230" s="30"/>
      <c r="B230" s="514" t="s">
        <v>608</v>
      </c>
      <c r="C230" s="514" t="s">
        <v>609</v>
      </c>
      <c r="D230" s="514" t="s">
        <v>570</v>
      </c>
      <c r="E230" s="514" t="s">
        <v>607</v>
      </c>
      <c r="F230" s="524" t="s">
        <v>921</v>
      </c>
      <c r="G230" s="372"/>
      <c r="H230" s="379"/>
      <c r="I230" s="372"/>
      <c r="J230" s="525">
        <f>(460000)-155000</f>
        <v>305000</v>
      </c>
    </row>
    <row r="231" spans="1:10" ht="60" x14ac:dyDescent="0.2">
      <c r="A231" s="30"/>
      <c r="B231" s="514" t="s">
        <v>608</v>
      </c>
      <c r="C231" s="514" t="s">
        <v>609</v>
      </c>
      <c r="D231" s="514" t="s">
        <v>570</v>
      </c>
      <c r="E231" s="514" t="s">
        <v>607</v>
      </c>
      <c r="F231" s="524" t="s">
        <v>855</v>
      </c>
      <c r="G231" s="372"/>
      <c r="H231" s="379"/>
      <c r="I231" s="372"/>
      <c r="J231" s="525">
        <f>((500000)+80000)+30000</f>
        <v>610000</v>
      </c>
    </row>
    <row r="232" spans="1:10" ht="75" x14ac:dyDescent="0.2">
      <c r="A232" s="30"/>
      <c r="B232" s="514" t="s">
        <v>608</v>
      </c>
      <c r="C232" s="514" t="s">
        <v>609</v>
      </c>
      <c r="D232" s="514" t="s">
        <v>570</v>
      </c>
      <c r="E232" s="514" t="s">
        <v>607</v>
      </c>
      <c r="F232" s="524" t="s">
        <v>905</v>
      </c>
      <c r="G232" s="372"/>
      <c r="H232" s="379"/>
      <c r="I232" s="372"/>
      <c r="J232" s="525">
        <f>(570000)+159000</f>
        <v>729000</v>
      </c>
    </row>
    <row r="233" spans="1:10" ht="45" x14ac:dyDescent="0.2">
      <c r="A233" s="30"/>
      <c r="B233" s="514" t="s">
        <v>608</v>
      </c>
      <c r="C233" s="514" t="s">
        <v>609</v>
      </c>
      <c r="D233" s="514" t="s">
        <v>570</v>
      </c>
      <c r="E233" s="514" t="s">
        <v>607</v>
      </c>
      <c r="F233" s="524" t="s">
        <v>856</v>
      </c>
      <c r="G233" s="372">
        <v>32296985</v>
      </c>
      <c r="H233" s="374">
        <f t="shared" ref="H233:H237" si="9">I233/G233*100</f>
        <v>48.174174772041418</v>
      </c>
      <c r="I233" s="372">
        <f>((27049200)-7000000)-5000000+509606</f>
        <v>15558806</v>
      </c>
      <c r="J233" s="525">
        <f>((5000000)+7000000)+5000000-509606</f>
        <v>16490394</v>
      </c>
    </row>
    <row r="234" spans="1:10" ht="105" x14ac:dyDescent="0.2">
      <c r="A234" s="30"/>
      <c r="B234" s="514" t="s">
        <v>608</v>
      </c>
      <c r="C234" s="514" t="s">
        <v>609</v>
      </c>
      <c r="D234" s="514" t="s">
        <v>570</v>
      </c>
      <c r="E234" s="514" t="s">
        <v>607</v>
      </c>
      <c r="F234" s="524" t="s">
        <v>857</v>
      </c>
      <c r="G234" s="372">
        <f>(10111121)+2079379</f>
        <v>12190500</v>
      </c>
      <c r="H234" s="374">
        <f t="shared" si="9"/>
        <v>8.8542635658914719</v>
      </c>
      <c r="I234" s="372">
        <f>(3000000)-4000000+2079379</f>
        <v>1079379</v>
      </c>
      <c r="J234" s="525">
        <f>(4000000)+4000000</f>
        <v>8000000</v>
      </c>
    </row>
    <row r="235" spans="1:10" ht="60" x14ac:dyDescent="0.2">
      <c r="A235" s="30"/>
      <c r="B235" s="514" t="s">
        <v>608</v>
      </c>
      <c r="C235" s="514" t="s">
        <v>609</v>
      </c>
      <c r="D235" s="514" t="s">
        <v>570</v>
      </c>
      <c r="E235" s="514" t="s">
        <v>607</v>
      </c>
      <c r="F235" s="527" t="s">
        <v>636</v>
      </c>
      <c r="G235" s="372">
        <v>2912000</v>
      </c>
      <c r="H235" s="374">
        <f t="shared" si="9"/>
        <v>23.550824175824175</v>
      </c>
      <c r="I235" s="372">
        <v>685800</v>
      </c>
      <c r="J235" s="525">
        <v>940000</v>
      </c>
    </row>
    <row r="236" spans="1:10" ht="105" x14ac:dyDescent="0.2">
      <c r="A236" s="30"/>
      <c r="B236" s="514" t="s">
        <v>608</v>
      </c>
      <c r="C236" s="514" t="s">
        <v>609</v>
      </c>
      <c r="D236" s="514" t="s">
        <v>570</v>
      </c>
      <c r="E236" s="514" t="s">
        <v>607</v>
      </c>
      <c r="F236" s="526" t="s">
        <v>804</v>
      </c>
      <c r="G236" s="372"/>
      <c r="H236" s="379"/>
      <c r="I236" s="372"/>
      <c r="J236" s="525">
        <v>200000</v>
      </c>
    </row>
    <row r="237" spans="1:10" ht="60" x14ac:dyDescent="0.2">
      <c r="A237" s="30"/>
      <c r="B237" s="514" t="s">
        <v>608</v>
      </c>
      <c r="C237" s="514" t="s">
        <v>609</v>
      </c>
      <c r="D237" s="514" t="s">
        <v>570</v>
      </c>
      <c r="E237" s="514" t="s">
        <v>607</v>
      </c>
      <c r="F237" s="526" t="s">
        <v>906</v>
      </c>
      <c r="G237" s="372">
        <f>25849000-100000</f>
        <v>25749000</v>
      </c>
      <c r="H237" s="374">
        <f t="shared" si="9"/>
        <v>98.229057439123849</v>
      </c>
      <c r="I237" s="372">
        <f>(24393000)+1000000-100000</f>
        <v>25293000</v>
      </c>
      <c r="J237" s="525">
        <f>(1000000)-1000000</f>
        <v>0</v>
      </c>
    </row>
    <row r="238" spans="1:10" ht="45" x14ac:dyDescent="0.2">
      <c r="A238" s="30"/>
      <c r="B238" s="514" t="s">
        <v>610</v>
      </c>
      <c r="C238" s="514" t="s">
        <v>373</v>
      </c>
      <c r="D238" s="514" t="s">
        <v>324</v>
      </c>
      <c r="E238" s="514" t="s">
        <v>89</v>
      </c>
      <c r="F238" s="418" t="s">
        <v>293</v>
      </c>
      <c r="G238" s="372"/>
      <c r="H238" s="379"/>
      <c r="I238" s="372"/>
      <c r="J238" s="525">
        <f>(180000)-180000</f>
        <v>0</v>
      </c>
    </row>
    <row r="239" spans="1:10" ht="75" x14ac:dyDescent="0.2">
      <c r="A239" s="30"/>
      <c r="B239" s="282" t="s">
        <v>314</v>
      </c>
      <c r="C239" s="282"/>
      <c r="D239" s="282"/>
      <c r="E239" s="282" t="s">
        <v>71</v>
      </c>
      <c r="F239" s="330"/>
      <c r="G239" s="315"/>
      <c r="H239" s="315"/>
      <c r="I239" s="315"/>
      <c r="J239" s="316">
        <f>J240</f>
        <v>182900</v>
      </c>
    </row>
    <row r="240" spans="1:10" ht="71.25" x14ac:dyDescent="0.2">
      <c r="A240" s="30"/>
      <c r="B240" s="286" t="s">
        <v>315</v>
      </c>
      <c r="C240" s="286"/>
      <c r="D240" s="286"/>
      <c r="E240" s="286" t="s">
        <v>96</v>
      </c>
      <c r="F240" s="330"/>
      <c r="G240" s="315"/>
      <c r="H240" s="315"/>
      <c r="I240" s="315"/>
      <c r="J240" s="317">
        <f>SUM(J241:J245)</f>
        <v>182900</v>
      </c>
    </row>
    <row r="241" spans="1:10" ht="60" hidden="1" x14ac:dyDescent="0.2">
      <c r="A241" s="30"/>
      <c r="B241" s="341" t="s">
        <v>580</v>
      </c>
      <c r="C241" s="341" t="s">
        <v>581</v>
      </c>
      <c r="D241" s="341" t="s">
        <v>570</v>
      </c>
      <c r="E241" s="341" t="s">
        <v>582</v>
      </c>
      <c r="F241" s="346" t="s">
        <v>837</v>
      </c>
      <c r="G241" s="348"/>
      <c r="H241" s="348"/>
      <c r="I241" s="348"/>
      <c r="J241" s="349">
        <f>(2376000)-2376000</f>
        <v>0</v>
      </c>
    </row>
    <row r="242" spans="1:10" ht="60" x14ac:dyDescent="0.2">
      <c r="A242" s="30"/>
      <c r="B242" s="367" t="s">
        <v>580</v>
      </c>
      <c r="C242" s="367" t="s">
        <v>581</v>
      </c>
      <c r="D242" s="367" t="s">
        <v>570</v>
      </c>
      <c r="E242" s="367" t="s">
        <v>582</v>
      </c>
      <c r="F242" s="371" t="s">
        <v>838</v>
      </c>
      <c r="G242" s="392"/>
      <c r="H242" s="392"/>
      <c r="I242" s="392"/>
      <c r="J242" s="372">
        <v>150300</v>
      </c>
    </row>
    <row r="243" spans="1:10" ht="110.25" x14ac:dyDescent="0.2">
      <c r="A243" s="30"/>
      <c r="B243" s="367" t="s">
        <v>580</v>
      </c>
      <c r="C243" s="367" t="s">
        <v>581</v>
      </c>
      <c r="D243" s="367" t="s">
        <v>570</v>
      </c>
      <c r="E243" s="367" t="s">
        <v>582</v>
      </c>
      <c r="F243" s="427" t="s">
        <v>1014</v>
      </c>
      <c r="G243" s="392"/>
      <c r="H243" s="392"/>
      <c r="I243" s="392"/>
      <c r="J243" s="372">
        <v>16300</v>
      </c>
    </row>
    <row r="244" spans="1:10" ht="110.25" x14ac:dyDescent="0.2">
      <c r="A244" s="30"/>
      <c r="B244" s="367" t="s">
        <v>580</v>
      </c>
      <c r="C244" s="367" t="s">
        <v>581</v>
      </c>
      <c r="D244" s="367" t="s">
        <v>570</v>
      </c>
      <c r="E244" s="367" t="s">
        <v>582</v>
      </c>
      <c r="F244" s="427" t="s">
        <v>974</v>
      </c>
      <c r="G244" s="392"/>
      <c r="H244" s="392"/>
      <c r="I244" s="392"/>
      <c r="J244" s="372">
        <v>16300</v>
      </c>
    </row>
    <row r="245" spans="1:10" ht="45" hidden="1" x14ac:dyDescent="0.2">
      <c r="A245" s="30"/>
      <c r="B245" s="341" t="s">
        <v>580</v>
      </c>
      <c r="C245" s="341" t="s">
        <v>581</v>
      </c>
      <c r="D245" s="341" t="s">
        <v>570</v>
      </c>
      <c r="E245" s="341" t="s">
        <v>582</v>
      </c>
      <c r="F245" s="350" t="s">
        <v>631</v>
      </c>
      <c r="G245" s="342"/>
      <c r="H245" s="342"/>
      <c r="I245" s="342"/>
      <c r="J245" s="349">
        <f>(780000)-780000</f>
        <v>0</v>
      </c>
    </row>
    <row r="246" spans="1:10" ht="30" x14ac:dyDescent="0.2">
      <c r="A246" s="334"/>
      <c r="B246" s="282" t="s">
        <v>320</v>
      </c>
      <c r="C246" s="282"/>
      <c r="D246" s="282"/>
      <c r="E246" s="282" t="s">
        <v>764</v>
      </c>
      <c r="F246" s="330"/>
      <c r="G246" s="315"/>
      <c r="H246" s="315"/>
      <c r="I246" s="315"/>
      <c r="J246" s="316">
        <f>J247</f>
        <v>909350</v>
      </c>
    </row>
    <row r="247" spans="1:10" ht="42.75" x14ac:dyDescent="0.2">
      <c r="A247" s="334"/>
      <c r="B247" s="286" t="s">
        <v>321</v>
      </c>
      <c r="C247" s="286"/>
      <c r="D247" s="286"/>
      <c r="E247" s="286" t="s">
        <v>765</v>
      </c>
      <c r="F247" s="315"/>
      <c r="G247" s="315"/>
      <c r="H247" s="315"/>
      <c r="I247" s="315"/>
      <c r="J247" s="317">
        <f>J248+J250+J249</f>
        <v>909350</v>
      </c>
    </row>
    <row r="248" spans="1:10" ht="45" x14ac:dyDescent="0.2">
      <c r="A248" s="30"/>
      <c r="B248" s="367" t="s">
        <v>755</v>
      </c>
      <c r="C248" s="367" t="s">
        <v>756</v>
      </c>
      <c r="D248" s="367" t="s">
        <v>324</v>
      </c>
      <c r="E248" s="367" t="s">
        <v>502</v>
      </c>
      <c r="F248" s="418" t="s">
        <v>812</v>
      </c>
      <c r="G248" s="419"/>
      <c r="H248" s="419"/>
      <c r="I248" s="419"/>
      <c r="J248" s="420">
        <f>(500000)-206000</f>
        <v>294000</v>
      </c>
    </row>
    <row r="249" spans="1:10" ht="30" x14ac:dyDescent="0.2">
      <c r="A249" s="30"/>
      <c r="B249" s="367" t="s">
        <v>491</v>
      </c>
      <c r="C249" s="367" t="s">
        <v>493</v>
      </c>
      <c r="D249" s="367" t="s">
        <v>404</v>
      </c>
      <c r="E249" s="367" t="s">
        <v>492</v>
      </c>
      <c r="F249" s="418"/>
      <c r="G249" s="419"/>
      <c r="H249" s="419"/>
      <c r="I249" s="419"/>
      <c r="J249" s="420">
        <v>20000</v>
      </c>
    </row>
    <row r="250" spans="1:10" ht="15" x14ac:dyDescent="0.2">
      <c r="A250" s="30"/>
      <c r="B250" s="367" t="s">
        <v>495</v>
      </c>
      <c r="C250" s="367" t="s">
        <v>449</v>
      </c>
      <c r="D250" s="367" t="s">
        <v>324</v>
      </c>
      <c r="E250" s="367" t="s">
        <v>447</v>
      </c>
      <c r="F250" s="368" t="s">
        <v>133</v>
      </c>
      <c r="G250" s="419"/>
      <c r="H250" s="419"/>
      <c r="I250" s="419"/>
      <c r="J250" s="420">
        <f>J251</f>
        <v>595350</v>
      </c>
    </row>
    <row r="251" spans="1:10" ht="30" x14ac:dyDescent="0.2">
      <c r="A251" s="30"/>
      <c r="B251" s="378" t="s">
        <v>496</v>
      </c>
      <c r="C251" s="378" t="s">
        <v>497</v>
      </c>
      <c r="D251" s="378" t="s">
        <v>324</v>
      </c>
      <c r="E251" s="378" t="s">
        <v>494</v>
      </c>
      <c r="F251" s="379" t="s">
        <v>133</v>
      </c>
      <c r="G251" s="419"/>
      <c r="H251" s="419"/>
      <c r="I251" s="419"/>
      <c r="J251" s="420">
        <f>((0)+400000)+195350</f>
        <v>595350</v>
      </c>
    </row>
    <row r="252" spans="1:10" ht="75" x14ac:dyDescent="0.2">
      <c r="A252" s="30"/>
      <c r="B252" s="282" t="s">
        <v>316</v>
      </c>
      <c r="C252" s="282"/>
      <c r="D252" s="282"/>
      <c r="E252" s="282" t="s">
        <v>766</v>
      </c>
      <c r="F252" s="315"/>
      <c r="G252" s="315"/>
      <c r="H252" s="315"/>
      <c r="I252" s="315"/>
      <c r="J252" s="316">
        <f>J253</f>
        <v>300000</v>
      </c>
    </row>
    <row r="253" spans="1:10" ht="71.25" x14ac:dyDescent="0.2">
      <c r="A253" s="30"/>
      <c r="B253" s="286" t="s">
        <v>317</v>
      </c>
      <c r="C253" s="286"/>
      <c r="D253" s="286"/>
      <c r="E253" s="286" t="s">
        <v>767</v>
      </c>
      <c r="F253" s="315"/>
      <c r="G253" s="315"/>
      <c r="H253" s="315"/>
      <c r="I253" s="315"/>
      <c r="J253" s="317">
        <f>SUM(J254:J259)</f>
        <v>300000</v>
      </c>
    </row>
    <row r="254" spans="1:10" ht="30" x14ac:dyDescent="0.2">
      <c r="A254" s="30"/>
      <c r="B254" s="367" t="s">
        <v>577</v>
      </c>
      <c r="C254" s="367" t="s">
        <v>578</v>
      </c>
      <c r="D254" s="367" t="s">
        <v>579</v>
      </c>
      <c r="E254" s="367" t="s">
        <v>576</v>
      </c>
      <c r="F254" s="421" t="s">
        <v>86</v>
      </c>
      <c r="G254" s="368"/>
      <c r="H254" s="368"/>
      <c r="I254" s="368"/>
      <c r="J254" s="372">
        <v>100000</v>
      </c>
    </row>
    <row r="255" spans="1:10" ht="30" x14ac:dyDescent="0.2">
      <c r="A255" s="30"/>
      <c r="B255" s="367" t="s">
        <v>577</v>
      </c>
      <c r="C255" s="367" t="s">
        <v>578</v>
      </c>
      <c r="D255" s="367" t="s">
        <v>579</v>
      </c>
      <c r="E255" s="367" t="s">
        <v>576</v>
      </c>
      <c r="F255" s="421" t="s">
        <v>87</v>
      </c>
      <c r="G255" s="368"/>
      <c r="H255" s="368"/>
      <c r="I255" s="368"/>
      <c r="J255" s="372">
        <v>43000</v>
      </c>
    </row>
    <row r="256" spans="1:10" ht="45" x14ac:dyDescent="0.2">
      <c r="A256" s="30"/>
      <c r="B256" s="367" t="s">
        <v>577</v>
      </c>
      <c r="C256" s="367" t="s">
        <v>578</v>
      </c>
      <c r="D256" s="367" t="s">
        <v>579</v>
      </c>
      <c r="E256" s="367" t="s">
        <v>576</v>
      </c>
      <c r="F256" s="421" t="s">
        <v>632</v>
      </c>
      <c r="G256" s="368"/>
      <c r="H256" s="368"/>
      <c r="I256" s="368"/>
      <c r="J256" s="372">
        <v>20000</v>
      </c>
    </row>
    <row r="257" spans="1:17" ht="45" hidden="1" x14ac:dyDescent="0.2">
      <c r="A257" s="30"/>
      <c r="B257" s="367" t="s">
        <v>577</v>
      </c>
      <c r="C257" s="367" t="s">
        <v>578</v>
      </c>
      <c r="D257" s="367" t="s">
        <v>579</v>
      </c>
      <c r="E257" s="367" t="s">
        <v>576</v>
      </c>
      <c r="F257" s="421" t="s">
        <v>842</v>
      </c>
      <c r="G257" s="368"/>
      <c r="H257" s="368"/>
      <c r="I257" s="368"/>
      <c r="J257" s="372">
        <f>(1405000)-1405000</f>
        <v>0</v>
      </c>
    </row>
    <row r="258" spans="1:17" ht="30" x14ac:dyDescent="0.2">
      <c r="A258" s="30"/>
      <c r="B258" s="367" t="s">
        <v>577</v>
      </c>
      <c r="C258" s="367" t="s">
        <v>578</v>
      </c>
      <c r="D258" s="367" t="s">
        <v>579</v>
      </c>
      <c r="E258" s="367" t="s">
        <v>576</v>
      </c>
      <c r="F258" s="421" t="s">
        <v>88</v>
      </c>
      <c r="G258" s="368"/>
      <c r="H258" s="368"/>
      <c r="I258" s="368"/>
      <c r="J258" s="372">
        <v>85000</v>
      </c>
    </row>
    <row r="259" spans="1:17" ht="60" x14ac:dyDescent="0.2">
      <c r="A259" s="30"/>
      <c r="B259" s="367" t="s">
        <v>839</v>
      </c>
      <c r="C259" s="367" t="s">
        <v>840</v>
      </c>
      <c r="D259" s="367" t="s">
        <v>324</v>
      </c>
      <c r="E259" s="367" t="s">
        <v>841</v>
      </c>
      <c r="F259" s="421" t="s">
        <v>633</v>
      </c>
      <c r="G259" s="368"/>
      <c r="H259" s="368"/>
      <c r="I259" s="368"/>
      <c r="J259" s="372">
        <v>52000</v>
      </c>
    </row>
    <row r="260" spans="1:17" ht="24.75" customHeight="1" x14ac:dyDescent="0.2">
      <c r="A260" s="49"/>
      <c r="B260" s="251"/>
      <c r="C260" s="251"/>
      <c r="D260" s="252"/>
      <c r="E260" s="253" t="s">
        <v>60</v>
      </c>
      <c r="F260" s="255"/>
      <c r="G260" s="255"/>
      <c r="H260" s="255"/>
      <c r="I260" s="255"/>
      <c r="J260" s="256">
        <f>J6+J20+J88+J35+J53+J73+J106+J205+J239+J252+J246</f>
        <v>469043921.07999998</v>
      </c>
      <c r="K260" s="30" t="b">
        <f>J260='dod3'!O202</f>
        <v>1</v>
      </c>
    </row>
    <row r="261" spans="1:17" ht="15.75" x14ac:dyDescent="0.2">
      <c r="B261" s="660" t="s">
        <v>634</v>
      </c>
      <c r="C261" s="661"/>
      <c r="D261" s="661"/>
      <c r="E261" s="661"/>
      <c r="F261" s="661"/>
      <c r="G261" s="661"/>
      <c r="H261" s="661"/>
      <c r="I261" s="661"/>
      <c r="J261" s="661"/>
      <c r="K261" s="661"/>
      <c r="L261" s="661"/>
      <c r="M261" s="661"/>
      <c r="N261" s="661"/>
      <c r="O261" s="661"/>
      <c r="P261" s="661"/>
      <c r="Q261" s="661"/>
    </row>
    <row r="262" spans="1:17" ht="18.75" x14ac:dyDescent="0.2">
      <c r="B262" s="659"/>
      <c r="C262" s="659"/>
      <c r="D262" s="659"/>
      <c r="E262" s="659"/>
      <c r="F262" s="659"/>
      <c r="G262" s="659"/>
      <c r="H262" s="659"/>
      <c r="I262" s="659"/>
      <c r="J262" s="659"/>
    </row>
    <row r="263" spans="1:17" ht="15" x14ac:dyDescent="0.25">
      <c r="D263" s="646" t="s">
        <v>1035</v>
      </c>
      <c r="E263" s="646"/>
      <c r="F263" s="646"/>
      <c r="G263" s="646"/>
      <c r="H263" s="646"/>
      <c r="I263" s="646"/>
      <c r="J263" s="646"/>
      <c r="K263" s="646"/>
      <c r="L263" s="646"/>
      <c r="M263" s="646"/>
      <c r="N263" s="646"/>
      <c r="O263" s="646"/>
      <c r="P263" s="646"/>
    </row>
    <row r="264" spans="1:17" ht="15" x14ac:dyDescent="0.25">
      <c r="D264" s="646"/>
      <c r="E264" s="646"/>
      <c r="F264" s="646"/>
      <c r="G264" s="646"/>
      <c r="H264" s="646"/>
      <c r="I264" s="646"/>
      <c r="J264" s="646"/>
      <c r="K264" s="646"/>
      <c r="L264" s="646"/>
      <c r="M264" s="646"/>
      <c r="N264" s="646"/>
      <c r="O264" s="646"/>
      <c r="P264" s="646"/>
    </row>
    <row r="265" spans="1:17" ht="15" x14ac:dyDescent="0.25">
      <c r="D265" s="646" t="s">
        <v>290</v>
      </c>
      <c r="E265" s="646"/>
      <c r="F265" s="646"/>
      <c r="G265" s="646"/>
      <c r="H265" s="646"/>
      <c r="I265" s="646"/>
      <c r="J265" s="646"/>
      <c r="K265" s="646"/>
      <c r="L265" s="646"/>
      <c r="M265" s="646"/>
      <c r="N265" s="646"/>
      <c r="O265" s="646"/>
      <c r="P265" s="646"/>
    </row>
  </sheetData>
  <mergeCells count="16">
    <mergeCell ref="B1:J1"/>
    <mergeCell ref="G2:J2"/>
    <mergeCell ref="B3:J3"/>
    <mergeCell ref="B62:B64"/>
    <mergeCell ref="C62:C64"/>
    <mergeCell ref="D62:D64"/>
    <mergeCell ref="F62:F64"/>
    <mergeCell ref="G62:G64"/>
    <mergeCell ref="H62:H64"/>
    <mergeCell ref="I62:I64"/>
    <mergeCell ref="J62:J64"/>
    <mergeCell ref="D263:P263"/>
    <mergeCell ref="D264:P264"/>
    <mergeCell ref="D265:P265"/>
    <mergeCell ref="B262:J262"/>
    <mergeCell ref="B261:Q261"/>
  </mergeCells>
  <phoneticPr fontId="16" type="noConversion"/>
  <printOptions horizontalCentered="1"/>
  <pageMargins left="0.82677165354330717" right="0" top="0.31496062992125984" bottom="0.31496062992125984" header="0.23622047244094491" footer="0.19685039370078741"/>
  <pageSetup paperSize="9" scale="70" orientation="landscape" r:id="rId1"/>
  <headerFooter alignWithMargins="0">
    <oddFooter>&amp;R&amp;P</oddFooter>
  </headerFooter>
  <rowBreaks count="18" manualBreakCount="18">
    <brk id="28" min="1" max="9" man="1"/>
    <brk id="45" min="1" max="9" man="1"/>
    <brk id="58" min="1" max="9" man="1"/>
    <brk id="72" min="1" max="9" man="1"/>
    <brk id="90" min="1" max="9" man="1"/>
    <brk id="108" min="1" max="9" man="1"/>
    <brk id="121" min="1" max="9" man="1"/>
    <brk id="138" min="1" max="9" man="1"/>
    <brk id="149" min="1" max="9" man="1"/>
    <brk id="158" min="1" max="9" man="1"/>
    <brk id="166" min="1" max="9" man="1"/>
    <brk id="174" min="1" max="9" man="1"/>
    <brk id="183" min="1" max="9" man="1"/>
    <brk id="191" min="1" max="9" man="1"/>
    <brk id="202" min="1" max="9" man="1"/>
    <brk id="214" min="1" max="9" man="1"/>
    <brk id="221" min="1" max="9" man="1"/>
    <brk id="231"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4"/>
  <sheetViews>
    <sheetView view="pageBreakPreview" zoomScale="85" zoomScaleNormal="85" zoomScaleSheetLayoutView="85" workbookViewId="0">
      <selection activeCell="C53" sqref="C53"/>
    </sheetView>
  </sheetViews>
  <sheetFormatPr defaultColWidth="9.140625" defaultRowHeight="12.75" x14ac:dyDescent="0.2"/>
  <cols>
    <col min="1" max="1" width="7" style="161" customWidth="1"/>
    <col min="2" max="2" width="23.5703125" style="161" customWidth="1"/>
    <col min="3" max="3" width="83.5703125" style="161" customWidth="1"/>
    <col min="4" max="4" width="18.28515625" style="161" customWidth="1"/>
    <col min="5" max="5" width="17" style="161" customWidth="1"/>
    <col min="6" max="6" width="14.7109375" style="161" customWidth="1"/>
    <col min="7" max="16384" width="9.140625" style="161"/>
  </cols>
  <sheetData>
    <row r="1" spans="1:8" ht="16.5" customHeight="1" x14ac:dyDescent="0.2">
      <c r="A1" s="160"/>
      <c r="D1" s="633" t="s">
        <v>247</v>
      </c>
      <c r="E1" s="633"/>
    </row>
    <row r="2" spans="1:8" ht="16.5" customHeight="1" x14ac:dyDescent="0.2">
      <c r="A2" s="160"/>
      <c r="D2" s="633" t="s">
        <v>248</v>
      </c>
      <c r="E2" s="674"/>
    </row>
    <row r="3" spans="1:8" ht="12.75" customHeight="1" x14ac:dyDescent="0.2">
      <c r="A3" s="160"/>
      <c r="D3" s="633"/>
      <c r="E3" s="674"/>
    </row>
    <row r="4" spans="1:8" ht="12.75" customHeight="1" x14ac:dyDescent="0.2">
      <c r="A4" s="160"/>
      <c r="D4" s="633"/>
      <c r="E4" s="635"/>
    </row>
    <row r="5" spans="1:8" ht="16.5" x14ac:dyDescent="0.25">
      <c r="A5" s="675" t="s">
        <v>249</v>
      </c>
      <c r="B5" s="677"/>
      <c r="C5" s="677"/>
      <c r="D5" s="677"/>
      <c r="E5" s="162"/>
      <c r="F5" s="162"/>
    </row>
    <row r="6" spans="1:8" ht="16.5" x14ac:dyDescent="0.25">
      <c r="A6" s="675" t="s">
        <v>250</v>
      </c>
      <c r="B6" s="675"/>
      <c r="C6" s="675"/>
      <c r="D6" s="675"/>
    </row>
    <row r="7" spans="1:8" ht="16.5" x14ac:dyDescent="0.2">
      <c r="A7" s="676" t="s">
        <v>300</v>
      </c>
      <c r="B7" s="676"/>
      <c r="C7" s="676"/>
      <c r="D7" s="676"/>
    </row>
    <row r="8" spans="1:8" ht="16.5" x14ac:dyDescent="0.2">
      <c r="D8" s="163" t="s">
        <v>134</v>
      </c>
      <c r="F8" s="162"/>
      <c r="G8" s="162"/>
      <c r="H8" s="164"/>
    </row>
    <row r="9" spans="1:8" s="165" customFormat="1" ht="26.25" customHeight="1" x14ac:dyDescent="0.2">
      <c r="B9" s="166" t="s">
        <v>251</v>
      </c>
      <c r="C9" s="166" t="s">
        <v>252</v>
      </c>
      <c r="D9" s="167" t="s">
        <v>301</v>
      </c>
    </row>
    <row r="10" spans="1:8" s="165" customFormat="1" ht="39.75" customHeight="1" x14ac:dyDescent="0.2">
      <c r="A10" s="168"/>
      <c r="B10" s="169" t="s">
        <v>253</v>
      </c>
      <c r="C10" s="170" t="s">
        <v>254</v>
      </c>
      <c r="D10" s="171">
        <v>100</v>
      </c>
    </row>
    <row r="11" spans="1:8" s="165" customFormat="1" ht="40.5" customHeight="1" x14ac:dyDescent="0.2">
      <c r="B11" s="169" t="s">
        <v>255</v>
      </c>
      <c r="C11" s="170" t="s">
        <v>256</v>
      </c>
      <c r="D11" s="171">
        <f>3300000+100000</f>
        <v>3400000</v>
      </c>
    </row>
    <row r="12" spans="1:8" s="165" customFormat="1" ht="61.5" customHeight="1" x14ac:dyDescent="0.2">
      <c r="B12" s="169" t="s">
        <v>257</v>
      </c>
      <c r="C12" s="170" t="s">
        <v>258</v>
      </c>
      <c r="D12" s="171">
        <v>0</v>
      </c>
    </row>
    <row r="13" spans="1:8" s="165" customFormat="1" ht="61.5" customHeight="1" x14ac:dyDescent="0.2">
      <c r="B13" s="169" t="s">
        <v>259</v>
      </c>
      <c r="C13" s="170" t="s">
        <v>260</v>
      </c>
      <c r="D13" s="171">
        <v>105000</v>
      </c>
    </row>
    <row r="14" spans="1:8" s="165" customFormat="1" ht="41.25" customHeight="1" x14ac:dyDescent="0.2">
      <c r="B14" s="169" t="s">
        <v>261</v>
      </c>
      <c r="C14" s="170" t="s">
        <v>262</v>
      </c>
      <c r="D14" s="171">
        <v>1900</v>
      </c>
    </row>
    <row r="15" spans="1:8" s="165" customFormat="1" ht="26.25" customHeight="1" x14ac:dyDescent="0.2">
      <c r="B15" s="169"/>
      <c r="C15" s="172" t="s">
        <v>263</v>
      </c>
      <c r="D15" s="173">
        <f>SUM(D10:D14)</f>
        <v>3507000</v>
      </c>
    </row>
    <row r="16" spans="1:8" s="165" customFormat="1" ht="26.25" customHeight="1" x14ac:dyDescent="0.2">
      <c r="B16" s="169"/>
      <c r="C16" s="172" t="s">
        <v>885</v>
      </c>
      <c r="D16" s="173">
        <v>608620.62</v>
      </c>
    </row>
    <row r="17" spans="1:6" s="165" customFormat="1" ht="26.25" customHeight="1" x14ac:dyDescent="0.2">
      <c r="B17" s="260"/>
      <c r="C17" s="261" t="s">
        <v>264</v>
      </c>
      <c r="D17" s="262">
        <f>D15+D16</f>
        <v>4115620.62</v>
      </c>
    </row>
    <row r="18" spans="1:6" s="165" customFormat="1" ht="30.75" customHeight="1" x14ac:dyDescent="0.2">
      <c r="A18" s="189"/>
      <c r="B18" s="169"/>
      <c r="C18" s="192" t="s">
        <v>265</v>
      </c>
      <c r="D18" s="193"/>
    </row>
    <row r="19" spans="1:6" s="165" customFormat="1" ht="43.5" customHeight="1" x14ac:dyDescent="0.2">
      <c r="A19" s="189"/>
      <c r="B19" s="169" t="s">
        <v>266</v>
      </c>
      <c r="C19" s="170" t="s">
        <v>267</v>
      </c>
      <c r="D19" s="171">
        <v>106500</v>
      </c>
    </row>
    <row r="20" spans="1:6" s="165" customFormat="1" ht="44.25" customHeight="1" x14ac:dyDescent="0.2">
      <c r="A20" s="189"/>
      <c r="B20" s="169" t="s">
        <v>268</v>
      </c>
      <c r="C20" s="170" t="s">
        <v>269</v>
      </c>
      <c r="D20" s="171">
        <f>(121100)-40000</f>
        <v>81100</v>
      </c>
    </row>
    <row r="21" spans="1:6" s="165" customFormat="1" ht="61.5" customHeight="1" x14ac:dyDescent="0.2">
      <c r="A21" s="189"/>
      <c r="B21" s="169" t="s">
        <v>270</v>
      </c>
      <c r="C21" s="170" t="s">
        <v>271</v>
      </c>
      <c r="D21" s="171">
        <f>(120000)+55000+15100</f>
        <v>190100</v>
      </c>
    </row>
    <row r="22" spans="1:6" s="165" customFormat="1" ht="44.25" customHeight="1" x14ac:dyDescent="0.2">
      <c r="A22" s="189"/>
      <c r="B22" s="169" t="s">
        <v>272</v>
      </c>
      <c r="C22" s="170" t="s">
        <v>273</v>
      </c>
      <c r="D22" s="171">
        <f>((146000)+15000)-15100</f>
        <v>145900</v>
      </c>
    </row>
    <row r="23" spans="1:6" s="165" customFormat="1" ht="32.25" customHeight="1" x14ac:dyDescent="0.2">
      <c r="A23" s="189"/>
      <c r="B23" s="169" t="s">
        <v>274</v>
      </c>
      <c r="C23" s="170" t="s">
        <v>275</v>
      </c>
      <c r="D23" s="171">
        <f>((136200)+30000)+1800</f>
        <v>168000</v>
      </c>
    </row>
    <row r="24" spans="1:6" s="165" customFormat="1" ht="40.5" customHeight="1" x14ac:dyDescent="0.2">
      <c r="A24" s="189"/>
      <c r="B24" s="169" t="s">
        <v>276</v>
      </c>
      <c r="C24" s="170" t="s">
        <v>277</v>
      </c>
      <c r="D24" s="171">
        <f>(571200)+100000</f>
        <v>671200</v>
      </c>
    </row>
    <row r="25" spans="1:6" s="165" customFormat="1" ht="82.5" x14ac:dyDescent="0.2">
      <c r="A25" s="189"/>
      <c r="B25" s="169" t="s">
        <v>278</v>
      </c>
      <c r="C25" s="170" t="s">
        <v>279</v>
      </c>
      <c r="D25" s="171">
        <f>(690000)</f>
        <v>690000</v>
      </c>
    </row>
    <row r="26" spans="1:6" s="165" customFormat="1" ht="44.25" customHeight="1" x14ac:dyDescent="0.2">
      <c r="A26" s="189"/>
      <c r="B26" s="169" t="s">
        <v>280</v>
      </c>
      <c r="C26" s="194" t="s">
        <v>281</v>
      </c>
      <c r="D26" s="171">
        <f>(20000)-1800</f>
        <v>18200</v>
      </c>
    </row>
    <row r="27" spans="1:6" s="165" customFormat="1" ht="76.5" customHeight="1" x14ac:dyDescent="0.2">
      <c r="A27" s="189"/>
      <c r="B27" s="169" t="s">
        <v>282</v>
      </c>
      <c r="C27" s="194" t="s">
        <v>283</v>
      </c>
      <c r="D27" s="171">
        <f>(150000)-150000</f>
        <v>0</v>
      </c>
    </row>
    <row r="28" spans="1:6" s="165" customFormat="1" ht="45.75" customHeight="1" x14ac:dyDescent="0.2">
      <c r="A28" s="189"/>
      <c r="B28" s="169" t="s">
        <v>284</v>
      </c>
      <c r="C28" s="170" t="s">
        <v>285</v>
      </c>
      <c r="D28" s="171">
        <f>((1346000)+508620.62)+140000+100000-50000</f>
        <v>2044620.62</v>
      </c>
    </row>
    <row r="29" spans="1:6" s="165" customFormat="1" ht="27.75" customHeight="1" x14ac:dyDescent="0.2">
      <c r="B29" s="257"/>
      <c r="C29" s="258" t="s">
        <v>264</v>
      </c>
      <c r="D29" s="259">
        <f>D19+D20+D21+D22+D23+D24+D26+D27+D28+D25</f>
        <v>4115620.62</v>
      </c>
      <c r="F29" s="165" t="b">
        <f>D17=D29</f>
        <v>1</v>
      </c>
    </row>
    <row r="32" spans="1:6" ht="18.75" x14ac:dyDescent="0.2">
      <c r="B32" s="614" t="s">
        <v>1030</v>
      </c>
      <c r="C32" s="614"/>
      <c r="D32" s="614" t="s">
        <v>1033</v>
      </c>
    </row>
    <row r="33" spans="2:5" ht="18.75" x14ac:dyDescent="0.2">
      <c r="B33" s="614"/>
      <c r="C33" s="614"/>
      <c r="D33" s="614"/>
    </row>
    <row r="34" spans="2:5" ht="18.75" x14ac:dyDescent="0.2">
      <c r="B34" s="672" t="s">
        <v>286</v>
      </c>
      <c r="C34" s="672"/>
      <c r="D34" s="613" t="s">
        <v>287</v>
      </c>
    </row>
    <row r="40" spans="2:5" ht="16.5" x14ac:dyDescent="0.2">
      <c r="B40" s="673"/>
      <c r="C40" s="174"/>
      <c r="D40" s="175"/>
      <c r="E40" s="176"/>
    </row>
    <row r="41" spans="2:5" ht="16.5" x14ac:dyDescent="0.2">
      <c r="B41" s="673"/>
      <c r="C41" s="177"/>
      <c r="D41" s="175"/>
      <c r="E41" s="176"/>
    </row>
    <row r="42" spans="2:5" ht="16.5" x14ac:dyDescent="0.2">
      <c r="B42" s="673"/>
      <c r="C42" s="178"/>
      <c r="D42" s="175"/>
      <c r="E42" s="176"/>
    </row>
    <row r="43" spans="2:5" ht="16.5" x14ac:dyDescent="0.2">
      <c r="B43" s="673"/>
      <c r="C43" s="174"/>
      <c r="D43" s="175"/>
      <c r="E43" s="176"/>
    </row>
    <row r="44" spans="2:5" ht="16.5" x14ac:dyDescent="0.2">
      <c r="B44" s="673"/>
      <c r="C44" s="174"/>
      <c r="D44" s="175"/>
      <c r="E44" s="176"/>
    </row>
  </sheetData>
  <mergeCells count="9">
    <mergeCell ref="B34:C34"/>
    <mergeCell ref="B40:B44"/>
    <mergeCell ref="D1:E1"/>
    <mergeCell ref="D2:E2"/>
    <mergeCell ref="D3:E3"/>
    <mergeCell ref="D4:E4"/>
    <mergeCell ref="A6:D6"/>
    <mergeCell ref="A7:D7"/>
    <mergeCell ref="A5:D5"/>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view="pageBreakPreview" topLeftCell="A16" zoomScale="85" zoomScaleNormal="85" zoomScaleSheetLayoutView="85" workbookViewId="0">
      <selection activeCell="B31" sqref="B31"/>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style="5" customWidth="1"/>
  </cols>
  <sheetData>
    <row r="1" spans="1:6" x14ac:dyDescent="0.2">
      <c r="A1" s="207"/>
      <c r="B1" s="207"/>
      <c r="C1" s="207"/>
      <c r="D1" s="207"/>
      <c r="E1" s="207"/>
      <c r="F1" s="208" t="s">
        <v>611</v>
      </c>
    </row>
    <row r="2" spans="1:6" x14ac:dyDescent="0.2">
      <c r="A2" s="207"/>
      <c r="B2" s="207"/>
      <c r="C2" s="207"/>
      <c r="D2" s="207"/>
      <c r="E2" s="207"/>
      <c r="F2" s="208" t="s">
        <v>612</v>
      </c>
    </row>
    <row r="3" spans="1:6" x14ac:dyDescent="0.2">
      <c r="A3" s="207"/>
      <c r="B3" s="207"/>
      <c r="C3" s="207"/>
      <c r="D3" s="207"/>
      <c r="E3" s="207"/>
      <c r="F3" s="208" t="s">
        <v>613</v>
      </c>
    </row>
    <row r="4" spans="1:6" ht="15.75" x14ac:dyDescent="0.25">
      <c r="A4" s="678" t="s">
        <v>614</v>
      </c>
      <c r="B4" s="679"/>
      <c r="C4" s="679"/>
      <c r="D4" s="679"/>
      <c r="E4" s="679"/>
      <c r="F4" s="679"/>
    </row>
    <row r="5" spans="1:6" ht="15.75" x14ac:dyDescent="0.25">
      <c r="A5" s="678" t="s">
        <v>615</v>
      </c>
      <c r="B5" s="679"/>
      <c r="C5" s="679"/>
      <c r="D5" s="679"/>
      <c r="E5" s="679"/>
      <c r="F5" s="679"/>
    </row>
    <row r="6" spans="1:6" ht="15.75" x14ac:dyDescent="0.25">
      <c r="A6" s="680" t="s">
        <v>616</v>
      </c>
      <c r="B6" s="681"/>
      <c r="C6" s="681"/>
      <c r="D6" s="681"/>
      <c r="E6" s="681"/>
      <c r="F6" s="681"/>
    </row>
    <row r="7" spans="1:6" ht="59.25" customHeight="1" x14ac:dyDescent="0.2">
      <c r="A7" s="209" t="s">
        <v>617</v>
      </c>
      <c r="B7" s="210" t="s">
        <v>618</v>
      </c>
      <c r="C7" s="210" t="s">
        <v>61</v>
      </c>
      <c r="D7" s="210" t="s">
        <v>43</v>
      </c>
      <c r="E7" s="209" t="s">
        <v>619</v>
      </c>
      <c r="F7" s="211" t="s">
        <v>620</v>
      </c>
    </row>
    <row r="8" spans="1:6" ht="60" customHeight="1" x14ac:dyDescent="0.2">
      <c r="A8" s="422">
        <v>1</v>
      </c>
      <c r="B8" s="423" t="s">
        <v>586</v>
      </c>
      <c r="C8" s="423" t="s">
        <v>587</v>
      </c>
      <c r="D8" s="423" t="s">
        <v>119</v>
      </c>
      <c r="E8" s="424" t="s">
        <v>843</v>
      </c>
      <c r="F8" s="425">
        <f>(165000)+68148.66</f>
        <v>233148.66</v>
      </c>
    </row>
    <row r="9" spans="1:6" ht="60" customHeight="1" x14ac:dyDescent="0.2">
      <c r="A9" s="422">
        <v>2</v>
      </c>
      <c r="B9" s="423" t="s">
        <v>586</v>
      </c>
      <c r="C9" s="423" t="s">
        <v>587</v>
      </c>
      <c r="D9" s="423" t="s">
        <v>119</v>
      </c>
      <c r="E9" s="424" t="s">
        <v>844</v>
      </c>
      <c r="F9" s="425">
        <v>285000</v>
      </c>
    </row>
    <row r="10" spans="1:6" ht="73.5" customHeight="1" x14ac:dyDescent="0.2">
      <c r="A10" s="422">
        <v>3</v>
      </c>
      <c r="B10" s="423" t="s">
        <v>586</v>
      </c>
      <c r="C10" s="423" t="s">
        <v>587</v>
      </c>
      <c r="D10" s="423" t="s">
        <v>119</v>
      </c>
      <c r="E10" s="426" t="s">
        <v>1028</v>
      </c>
      <c r="F10" s="425">
        <v>90000</v>
      </c>
    </row>
    <row r="11" spans="1:6" ht="80.25" customHeight="1" x14ac:dyDescent="0.2">
      <c r="A11" s="422">
        <v>4</v>
      </c>
      <c r="B11" s="423" t="s">
        <v>586</v>
      </c>
      <c r="C11" s="423" t="s">
        <v>587</v>
      </c>
      <c r="D11" s="423" t="s">
        <v>119</v>
      </c>
      <c r="E11" s="426" t="s">
        <v>644</v>
      </c>
      <c r="F11" s="425">
        <v>21000</v>
      </c>
    </row>
    <row r="12" spans="1:6" ht="47.25" x14ac:dyDescent="0.2">
      <c r="A12" s="422">
        <v>5</v>
      </c>
      <c r="B12" s="423" t="s">
        <v>588</v>
      </c>
      <c r="C12" s="423" t="s">
        <v>589</v>
      </c>
      <c r="D12" s="423" t="s">
        <v>121</v>
      </c>
      <c r="E12" s="426" t="s">
        <v>1029</v>
      </c>
      <c r="F12" s="425">
        <v>238000</v>
      </c>
    </row>
    <row r="13" spans="1:6" ht="67.5" customHeight="1" x14ac:dyDescent="0.2">
      <c r="A13" s="422">
        <v>6</v>
      </c>
      <c r="B13" s="423" t="s">
        <v>588</v>
      </c>
      <c r="C13" s="423" t="s">
        <v>589</v>
      </c>
      <c r="D13" s="423" t="s">
        <v>121</v>
      </c>
      <c r="E13" s="424" t="s">
        <v>645</v>
      </c>
      <c r="F13" s="425">
        <v>70000</v>
      </c>
    </row>
    <row r="14" spans="1:6" ht="47.25" x14ac:dyDescent="0.2">
      <c r="A14" s="422">
        <v>7</v>
      </c>
      <c r="B14" s="423" t="s">
        <v>591</v>
      </c>
      <c r="C14" s="423" t="s">
        <v>592</v>
      </c>
      <c r="D14" s="423" t="s">
        <v>123</v>
      </c>
      <c r="E14" s="424" t="s">
        <v>845</v>
      </c>
      <c r="F14" s="425">
        <v>85000</v>
      </c>
    </row>
    <row r="15" spans="1:6" ht="95.25" customHeight="1" x14ac:dyDescent="0.2">
      <c r="A15" s="422">
        <v>8</v>
      </c>
      <c r="B15" s="423" t="s">
        <v>591</v>
      </c>
      <c r="C15" s="423" t="s">
        <v>592</v>
      </c>
      <c r="D15" s="423" t="s">
        <v>123</v>
      </c>
      <c r="E15" s="424" t="s">
        <v>621</v>
      </c>
      <c r="F15" s="425">
        <v>40000</v>
      </c>
    </row>
    <row r="16" spans="1:6" ht="95.25" customHeight="1" x14ac:dyDescent="0.2">
      <c r="A16" s="422">
        <v>9</v>
      </c>
      <c r="B16" s="423" t="s">
        <v>593</v>
      </c>
      <c r="C16" s="423" t="s">
        <v>594</v>
      </c>
      <c r="D16" s="423" t="s">
        <v>122</v>
      </c>
      <c r="E16" s="424" t="s">
        <v>622</v>
      </c>
      <c r="F16" s="425">
        <v>69000</v>
      </c>
    </row>
    <row r="17" spans="1:7" ht="63" x14ac:dyDescent="0.2">
      <c r="A17" s="422">
        <v>10</v>
      </c>
      <c r="B17" s="423" t="s">
        <v>593</v>
      </c>
      <c r="C17" s="423" t="s">
        <v>594</v>
      </c>
      <c r="D17" s="423" t="s">
        <v>122</v>
      </c>
      <c r="E17" s="424" t="s">
        <v>649</v>
      </c>
      <c r="F17" s="425">
        <f>(110000)+30000</f>
        <v>140000</v>
      </c>
    </row>
    <row r="18" spans="1:7" ht="15.75" x14ac:dyDescent="0.2">
      <c r="A18" s="682" t="s">
        <v>623</v>
      </c>
      <c r="B18" s="683"/>
      <c r="C18" s="683"/>
      <c r="D18" s="683"/>
      <c r="E18" s="684"/>
      <c r="F18" s="263">
        <f>SUM(F8:F17)</f>
        <v>1271148.6600000001</v>
      </c>
      <c r="G18" s="212" t="b">
        <f>F18='dod3'!P187</f>
        <v>1</v>
      </c>
    </row>
    <row r="19" spans="1:7" s="5" customFormat="1" ht="15.75" x14ac:dyDescent="0.2">
      <c r="A19" s="216"/>
      <c r="B19" s="216"/>
      <c r="C19" s="216"/>
      <c r="D19" s="216"/>
      <c r="E19" s="216"/>
      <c r="F19" s="217"/>
    </row>
    <row r="20" spans="1:7" s="5" customFormat="1" ht="15.75" x14ac:dyDescent="0.2">
      <c r="A20" s="686" t="s">
        <v>1036</v>
      </c>
      <c r="B20" s="687"/>
      <c r="C20" s="687"/>
      <c r="D20" s="687"/>
      <c r="E20" s="609"/>
      <c r="F20" s="611" t="s">
        <v>1034</v>
      </c>
    </row>
    <row r="21" spans="1:7" s="5" customFormat="1" ht="15.75" x14ac:dyDescent="0.2">
      <c r="A21" s="612"/>
      <c r="B21" s="612"/>
      <c r="C21" s="612"/>
      <c r="D21" s="612"/>
      <c r="E21" s="609"/>
      <c r="F21" s="610"/>
    </row>
    <row r="22" spans="1:7" ht="15.75" x14ac:dyDescent="0.25">
      <c r="A22" s="688" t="s">
        <v>1038</v>
      </c>
      <c r="B22" s="688"/>
      <c r="C22" s="688"/>
      <c r="D22" s="688"/>
      <c r="E22" s="213"/>
      <c r="F22" s="608" t="s">
        <v>624</v>
      </c>
    </row>
    <row r="23" spans="1:7" ht="15.75" x14ac:dyDescent="0.2">
      <c r="A23" s="685"/>
      <c r="B23" s="685"/>
      <c r="C23" s="685"/>
      <c r="D23" s="685"/>
      <c r="E23" s="685"/>
      <c r="F23" s="214"/>
    </row>
    <row r="29" spans="1:7" x14ac:dyDescent="0.2">
      <c r="E29" s="5"/>
    </row>
  </sheetData>
  <mergeCells count="7">
    <mergeCell ref="A4:F4"/>
    <mergeCell ref="A5:F5"/>
    <mergeCell ref="A6:F6"/>
    <mergeCell ref="A18:E18"/>
    <mergeCell ref="A23:E23"/>
    <mergeCell ref="A20:D20"/>
    <mergeCell ref="A22:D22"/>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224"/>
  <sheetViews>
    <sheetView view="pageBreakPreview" topLeftCell="B1" zoomScale="70" zoomScaleNormal="70" zoomScaleSheetLayoutView="70" zoomScalePageLayoutView="70" workbookViewId="0">
      <pane ySplit="4" topLeftCell="A180" activePane="bottomLeft" state="frozen"/>
      <selection activeCell="B1" sqref="B1"/>
      <selection pane="bottomLeft" activeCell="H220" sqref="H220"/>
    </sheetView>
  </sheetViews>
  <sheetFormatPr defaultColWidth="7.85546875" defaultRowHeight="12.75" x14ac:dyDescent="0.2"/>
  <cols>
    <col min="1" max="1" width="3.28515625" style="29" hidden="1" customWidth="1"/>
    <col min="2" max="2" width="14.140625" style="29" customWidth="1"/>
    <col min="3" max="3" width="13.28515625" style="29" customWidth="1"/>
    <col min="4" max="4" width="15.28515625" style="29" customWidth="1"/>
    <col min="5" max="5" width="50.5703125" style="29" customWidth="1"/>
    <col min="6" max="6" width="38.5703125" style="29" customWidth="1"/>
    <col min="7" max="9" width="18.140625" style="29" customWidth="1"/>
    <col min="10" max="10" width="15.85546875" style="30" customWidth="1"/>
    <col min="11" max="11" width="12.5703125" style="30" customWidth="1"/>
    <col min="12" max="16384" width="7.85546875" style="30"/>
  </cols>
  <sheetData>
    <row r="1" spans="1:11" ht="31.5" customHeight="1" x14ac:dyDescent="0.2">
      <c r="G1" s="647" t="s">
        <v>917</v>
      </c>
      <c r="H1" s="647"/>
      <c r="I1" s="647"/>
    </row>
    <row r="2" spans="1:11" ht="46.5" customHeight="1" x14ac:dyDescent="0.2">
      <c r="B2" s="698" t="s">
        <v>643</v>
      </c>
      <c r="C2" s="699"/>
      <c r="D2" s="699"/>
      <c r="E2" s="699"/>
      <c r="F2" s="699"/>
      <c r="G2" s="699"/>
      <c r="H2" s="699"/>
      <c r="I2" s="699"/>
    </row>
    <row r="3" spans="1:11" ht="9" customHeight="1" x14ac:dyDescent="0.3">
      <c r="B3" s="31"/>
      <c r="C3" s="32"/>
      <c r="D3" s="32"/>
      <c r="E3" s="32"/>
      <c r="F3" s="33"/>
      <c r="G3" s="33"/>
      <c r="H3" s="34"/>
      <c r="I3" s="35" t="s">
        <v>134</v>
      </c>
    </row>
    <row r="4" spans="1:11" ht="107.25" customHeight="1" x14ac:dyDescent="0.2">
      <c r="A4" s="36"/>
      <c r="B4" s="45" t="s">
        <v>41</v>
      </c>
      <c r="C4" s="45" t="s">
        <v>61</v>
      </c>
      <c r="D4" s="37" t="s">
        <v>43</v>
      </c>
      <c r="E4" s="44" t="s">
        <v>56</v>
      </c>
      <c r="F4" s="39" t="s">
        <v>63</v>
      </c>
      <c r="G4" s="43" t="s">
        <v>36</v>
      </c>
      <c r="H4" s="39" t="s">
        <v>124</v>
      </c>
      <c r="I4" s="39" t="s">
        <v>62</v>
      </c>
    </row>
    <row r="5" spans="1:11" s="41" customFormat="1" ht="30" x14ac:dyDescent="0.2">
      <c r="A5" s="40"/>
      <c r="B5" s="282" t="s">
        <v>302</v>
      </c>
      <c r="C5" s="282"/>
      <c r="D5" s="282"/>
      <c r="E5" s="283" t="s">
        <v>304</v>
      </c>
      <c r="F5" s="405"/>
      <c r="G5" s="316">
        <f>G6</f>
        <v>9614664</v>
      </c>
      <c r="H5" s="316">
        <f>H6</f>
        <v>11434736</v>
      </c>
      <c r="I5" s="316">
        <f t="shared" ref="I5:I21" si="0">G5+H5</f>
        <v>21049400</v>
      </c>
    </row>
    <row r="6" spans="1:11" ht="28.5" x14ac:dyDescent="0.2">
      <c r="B6" s="286" t="s">
        <v>303</v>
      </c>
      <c r="C6" s="286"/>
      <c r="D6" s="286"/>
      <c r="E6" s="287" t="s">
        <v>305</v>
      </c>
      <c r="F6" s="406"/>
      <c r="G6" s="317">
        <f>SUM(G7:G21)</f>
        <v>9614664</v>
      </c>
      <c r="H6" s="317">
        <f>SUM(H7:H21)</f>
        <v>11434736</v>
      </c>
      <c r="I6" s="317">
        <f t="shared" si="0"/>
        <v>21049400</v>
      </c>
    </row>
    <row r="7" spans="1:11" ht="60" x14ac:dyDescent="0.2">
      <c r="B7" s="367" t="s">
        <v>428</v>
      </c>
      <c r="C7" s="367" t="s">
        <v>429</v>
      </c>
      <c r="D7" s="367" t="s">
        <v>430</v>
      </c>
      <c r="E7" s="367" t="s">
        <v>427</v>
      </c>
      <c r="F7" s="371" t="s">
        <v>13</v>
      </c>
      <c r="G7" s="372">
        <f>11700+86000</f>
        <v>97700</v>
      </c>
      <c r="H7" s="372">
        <f>((370000)+1318600-86000)-97200-6000</f>
        <v>1499400</v>
      </c>
      <c r="I7" s="372">
        <f t="shared" si="0"/>
        <v>1597100</v>
      </c>
    </row>
    <row r="8" spans="1:11" ht="45" x14ac:dyDescent="0.2">
      <c r="B8" s="544" t="s">
        <v>432</v>
      </c>
      <c r="C8" s="544" t="s">
        <v>433</v>
      </c>
      <c r="D8" s="544" t="s">
        <v>430</v>
      </c>
      <c r="E8" s="544" t="s">
        <v>431</v>
      </c>
      <c r="F8" s="371" t="s">
        <v>13</v>
      </c>
      <c r="G8" s="372"/>
      <c r="H8" s="372">
        <f>((76000)+318000)+6000</f>
        <v>400000</v>
      </c>
      <c r="I8" s="372">
        <f t="shared" si="0"/>
        <v>400000</v>
      </c>
    </row>
    <row r="9" spans="1:11" ht="45" x14ac:dyDescent="0.2">
      <c r="B9" s="544" t="s">
        <v>435</v>
      </c>
      <c r="C9" s="544" t="s">
        <v>436</v>
      </c>
      <c r="D9" s="544" t="s">
        <v>437</v>
      </c>
      <c r="E9" s="544" t="s">
        <v>434</v>
      </c>
      <c r="F9" s="371" t="s">
        <v>13</v>
      </c>
      <c r="G9" s="372">
        <f>'dod3'!E20</f>
        <v>4100700</v>
      </c>
      <c r="H9" s="372">
        <f>'dod3'!J20</f>
        <v>0</v>
      </c>
      <c r="I9" s="372">
        <f t="shared" si="0"/>
        <v>4100700</v>
      </c>
    </row>
    <row r="10" spans="1:11" ht="45" hidden="1" x14ac:dyDescent="0.2">
      <c r="B10" s="341" t="s">
        <v>646</v>
      </c>
      <c r="C10" s="345" t="s">
        <v>373</v>
      </c>
      <c r="D10" s="345" t="s">
        <v>324</v>
      </c>
      <c r="E10" s="341" t="s">
        <v>89</v>
      </c>
      <c r="F10" s="346" t="s">
        <v>13</v>
      </c>
      <c r="G10" s="349"/>
      <c r="H10" s="349">
        <f>'dod3'!J21</f>
        <v>0</v>
      </c>
      <c r="I10" s="349">
        <f t="shared" si="0"/>
        <v>0</v>
      </c>
    </row>
    <row r="11" spans="1:11" ht="60" x14ac:dyDescent="0.2">
      <c r="B11" s="544" t="s">
        <v>438</v>
      </c>
      <c r="C11" s="544" t="s">
        <v>439</v>
      </c>
      <c r="D11" s="544" t="s">
        <v>440</v>
      </c>
      <c r="E11" s="543" t="s">
        <v>441</v>
      </c>
      <c r="F11" s="371" t="s">
        <v>560</v>
      </c>
      <c r="G11" s="545">
        <f>(2155000)+220000</f>
        <v>2375000</v>
      </c>
      <c r="H11" s="372">
        <f>(1200000)+2800000</f>
        <v>4000000</v>
      </c>
      <c r="I11" s="372">
        <f t="shared" si="0"/>
        <v>6375000</v>
      </c>
      <c r="K11" s="30" t="b">
        <f>I11+I12='dod3'!P26</f>
        <v>1</v>
      </c>
    </row>
    <row r="12" spans="1:11" ht="62.25" customHeight="1" x14ac:dyDescent="0.2">
      <c r="B12" s="544" t="s">
        <v>438</v>
      </c>
      <c r="C12" s="544" t="s">
        <v>439</v>
      </c>
      <c r="D12" s="544" t="s">
        <v>440</v>
      </c>
      <c r="E12" s="543" t="s">
        <v>441</v>
      </c>
      <c r="F12" s="371" t="s">
        <v>136</v>
      </c>
      <c r="G12" s="545">
        <f>((400000)+700800)+250000</f>
        <v>1350800</v>
      </c>
      <c r="H12" s="372">
        <v>0</v>
      </c>
      <c r="I12" s="372">
        <f t="shared" si="0"/>
        <v>1350800</v>
      </c>
    </row>
    <row r="13" spans="1:11" ht="45" x14ac:dyDescent="0.2">
      <c r="B13" s="544" t="s">
        <v>966</v>
      </c>
      <c r="C13" s="544" t="s">
        <v>800</v>
      </c>
      <c r="D13" s="544" t="s">
        <v>103</v>
      </c>
      <c r="E13" s="544" t="s">
        <v>801</v>
      </c>
      <c r="F13" s="371" t="s">
        <v>726</v>
      </c>
      <c r="G13" s="545">
        <f>'dod3'!E28</f>
        <v>0</v>
      </c>
      <c r="H13" s="372">
        <f>'dod3'!J28</f>
        <v>100000</v>
      </c>
      <c r="I13" s="372">
        <f t="shared" si="0"/>
        <v>100000</v>
      </c>
    </row>
    <row r="14" spans="1:11" ht="75" x14ac:dyDescent="0.2">
      <c r="B14" s="544" t="s">
        <v>822</v>
      </c>
      <c r="C14" s="544" t="s">
        <v>823</v>
      </c>
      <c r="D14" s="544" t="s">
        <v>103</v>
      </c>
      <c r="E14" s="544" t="s">
        <v>824</v>
      </c>
      <c r="F14" s="371" t="s">
        <v>927</v>
      </c>
      <c r="G14" s="545">
        <f>(972664+100000)+160000</f>
        <v>1232664</v>
      </c>
      <c r="H14" s="372">
        <f>(1997336-100000)-100000</f>
        <v>1797336</v>
      </c>
      <c r="I14" s="372">
        <f t="shared" si="0"/>
        <v>3030000</v>
      </c>
      <c r="J14" s="377" t="b">
        <f>G14+G15+G16+G17+G18+G19+G20+G21='dod3'!E29</f>
        <v>1</v>
      </c>
      <c r="K14" s="377" t="b">
        <f>H14+H15+H16+H17+H18+H19+H20+H21='dod3'!J29</f>
        <v>0</v>
      </c>
    </row>
    <row r="15" spans="1:11" ht="120" x14ac:dyDescent="0.2">
      <c r="B15" s="544" t="s">
        <v>822</v>
      </c>
      <c r="C15" s="544" t="s">
        <v>823</v>
      </c>
      <c r="D15" s="544" t="s">
        <v>103</v>
      </c>
      <c r="E15" s="544" t="s">
        <v>824</v>
      </c>
      <c r="F15" s="371" t="s">
        <v>825</v>
      </c>
      <c r="G15" s="545">
        <f>170000+50000</f>
        <v>220000</v>
      </c>
      <c r="H15" s="372"/>
      <c r="I15" s="372">
        <f t="shared" si="0"/>
        <v>220000</v>
      </c>
    </row>
    <row r="16" spans="1:11" ht="75" x14ac:dyDescent="0.2">
      <c r="B16" s="544" t="s">
        <v>822</v>
      </c>
      <c r="C16" s="544" t="s">
        <v>823</v>
      </c>
      <c r="D16" s="544" t="s">
        <v>103</v>
      </c>
      <c r="E16" s="544" t="s">
        <v>824</v>
      </c>
      <c r="F16" s="371" t="s">
        <v>826</v>
      </c>
      <c r="G16" s="545"/>
      <c r="H16" s="372">
        <f>(600000)+108000</f>
        <v>708000</v>
      </c>
      <c r="I16" s="372">
        <f t="shared" si="0"/>
        <v>708000</v>
      </c>
      <c r="J16" s="30" t="s">
        <v>964</v>
      </c>
    </row>
    <row r="17" spans="2:12" ht="62.25" customHeight="1" x14ac:dyDescent="0.2">
      <c r="B17" s="544" t="s">
        <v>822</v>
      </c>
      <c r="C17" s="544" t="s">
        <v>823</v>
      </c>
      <c r="D17" s="544" t="s">
        <v>103</v>
      </c>
      <c r="E17" s="544" t="s">
        <v>824</v>
      </c>
      <c r="F17" s="371" t="s">
        <v>827</v>
      </c>
      <c r="G17" s="545"/>
      <c r="H17" s="372">
        <v>1500000</v>
      </c>
      <c r="I17" s="372">
        <f t="shared" si="0"/>
        <v>1500000</v>
      </c>
    </row>
    <row r="18" spans="2:12" ht="90" x14ac:dyDescent="0.2">
      <c r="B18" s="544" t="s">
        <v>822</v>
      </c>
      <c r="C18" s="544" t="s">
        <v>823</v>
      </c>
      <c r="D18" s="544" t="s">
        <v>103</v>
      </c>
      <c r="E18" s="544" t="s">
        <v>824</v>
      </c>
      <c r="F18" s="371" t="s">
        <v>828</v>
      </c>
      <c r="G18" s="545">
        <v>25000</v>
      </c>
      <c r="H18" s="372"/>
      <c r="I18" s="372">
        <f t="shared" si="0"/>
        <v>25000</v>
      </c>
      <c r="J18" s="30" t="s">
        <v>965</v>
      </c>
    </row>
    <row r="19" spans="2:12" ht="105" x14ac:dyDescent="0.2">
      <c r="B19" s="544" t="s">
        <v>822</v>
      </c>
      <c r="C19" s="544" t="s">
        <v>823</v>
      </c>
      <c r="D19" s="544" t="s">
        <v>103</v>
      </c>
      <c r="E19" s="544" t="s">
        <v>824</v>
      </c>
      <c r="F19" s="371" t="s">
        <v>829</v>
      </c>
      <c r="G19" s="545">
        <v>80000</v>
      </c>
      <c r="H19" s="372">
        <f>(0)+30000</f>
        <v>30000</v>
      </c>
      <c r="I19" s="372">
        <f t="shared" si="0"/>
        <v>110000</v>
      </c>
    </row>
    <row r="20" spans="2:12" ht="75" x14ac:dyDescent="0.2">
      <c r="B20" s="544" t="s">
        <v>822</v>
      </c>
      <c r="C20" s="544" t="s">
        <v>823</v>
      </c>
      <c r="D20" s="544" t="s">
        <v>103</v>
      </c>
      <c r="E20" s="544" t="s">
        <v>824</v>
      </c>
      <c r="F20" s="371" t="s">
        <v>830</v>
      </c>
      <c r="G20" s="545">
        <f>(70000)+62800</f>
        <v>132800</v>
      </c>
      <c r="H20" s="372"/>
      <c r="I20" s="372">
        <f t="shared" si="0"/>
        <v>132800</v>
      </c>
    </row>
    <row r="21" spans="2:12" ht="105" x14ac:dyDescent="0.2">
      <c r="B21" s="544" t="s">
        <v>822</v>
      </c>
      <c r="C21" s="544" t="s">
        <v>823</v>
      </c>
      <c r="D21" s="544" t="s">
        <v>103</v>
      </c>
      <c r="E21" s="544" t="s">
        <v>824</v>
      </c>
      <c r="F21" s="371" t="s">
        <v>831</v>
      </c>
      <c r="G21" s="545"/>
      <c r="H21" s="372">
        <v>1400000</v>
      </c>
      <c r="I21" s="372">
        <f t="shared" si="0"/>
        <v>1400000</v>
      </c>
    </row>
    <row r="22" spans="2:12" ht="30" x14ac:dyDescent="0.2">
      <c r="B22" s="282" t="s">
        <v>306</v>
      </c>
      <c r="C22" s="282"/>
      <c r="D22" s="282"/>
      <c r="E22" s="283" t="s">
        <v>6</v>
      </c>
      <c r="F22" s="407"/>
      <c r="G22" s="316">
        <f>G23</f>
        <v>899821040</v>
      </c>
      <c r="H22" s="316">
        <f>H23</f>
        <v>136989283</v>
      </c>
      <c r="I22" s="316">
        <f t="shared" ref="I22:I23" si="1">G22+H22</f>
        <v>1036810323</v>
      </c>
    </row>
    <row r="23" spans="2:12" ht="28.5" x14ac:dyDescent="0.2">
      <c r="B23" s="286" t="s">
        <v>307</v>
      </c>
      <c r="C23" s="286"/>
      <c r="D23" s="286"/>
      <c r="E23" s="287" t="s">
        <v>2</v>
      </c>
      <c r="F23" s="407"/>
      <c r="G23" s="317">
        <f>SUM(G24:G40)-G38-G39</f>
        <v>899821040</v>
      </c>
      <c r="H23" s="317">
        <f>SUM(H24:H40)-H38-H39</f>
        <v>136989283</v>
      </c>
      <c r="I23" s="317">
        <f t="shared" si="1"/>
        <v>1036810323</v>
      </c>
      <c r="J23" s="30" t="b">
        <f>I23='dod3'!P31</f>
        <v>1</v>
      </c>
      <c r="K23" s="30" t="b">
        <f>G23='dod3'!E31</f>
        <v>1</v>
      </c>
      <c r="L23" s="30" t="b">
        <f>H23='dod3'!J31</f>
        <v>1</v>
      </c>
    </row>
    <row r="24" spans="2:12" ht="30" x14ac:dyDescent="0.2">
      <c r="B24" s="367" t="s">
        <v>376</v>
      </c>
      <c r="C24" s="367" t="s">
        <v>377</v>
      </c>
      <c r="D24" s="367" t="s">
        <v>379</v>
      </c>
      <c r="E24" s="367" t="s">
        <v>380</v>
      </c>
      <c r="F24" s="371" t="s">
        <v>137</v>
      </c>
      <c r="G24" s="372">
        <f>'dod3'!E32-G25</f>
        <v>237458380</v>
      </c>
      <c r="H24" s="372">
        <f>'dod3'!J32-H25</f>
        <v>42696100</v>
      </c>
      <c r="I24" s="372">
        <f t="shared" ref="I24:I40" si="2">G24+H24</f>
        <v>280154480</v>
      </c>
    </row>
    <row r="25" spans="2:12" ht="54" customHeight="1" x14ac:dyDescent="0.2">
      <c r="B25" s="367" t="s">
        <v>376</v>
      </c>
      <c r="C25" s="367" t="s">
        <v>377</v>
      </c>
      <c r="D25" s="367" t="s">
        <v>379</v>
      </c>
      <c r="E25" s="367" t="s">
        <v>380</v>
      </c>
      <c r="F25" s="371" t="s">
        <v>648</v>
      </c>
      <c r="G25" s="372">
        <f>(165502+120830)+41349</f>
        <v>327681</v>
      </c>
      <c r="H25" s="372">
        <f>(353242+55000)-41349</f>
        <v>366893</v>
      </c>
      <c r="I25" s="372">
        <f t="shared" si="2"/>
        <v>694574</v>
      </c>
    </row>
    <row r="26" spans="2:12" ht="75" x14ac:dyDescent="0.2">
      <c r="B26" s="367" t="s">
        <v>382</v>
      </c>
      <c r="C26" s="367" t="s">
        <v>378</v>
      </c>
      <c r="D26" s="367" t="s">
        <v>383</v>
      </c>
      <c r="E26" s="367" t="s">
        <v>381</v>
      </c>
      <c r="F26" s="371" t="s">
        <v>137</v>
      </c>
      <c r="G26" s="372">
        <f>'dod3'!E33-G27-G28-G29</f>
        <v>497898203.06</v>
      </c>
      <c r="H26" s="372">
        <f>'dod3'!J33-H27-H28-H29</f>
        <v>50628209</v>
      </c>
      <c r="I26" s="372">
        <f t="shared" si="2"/>
        <v>548526412.05999994</v>
      </c>
    </row>
    <row r="27" spans="2:12" ht="75" x14ac:dyDescent="0.2">
      <c r="B27" s="367" t="s">
        <v>382</v>
      </c>
      <c r="C27" s="367" t="s">
        <v>378</v>
      </c>
      <c r="D27" s="367" t="s">
        <v>383</v>
      </c>
      <c r="E27" s="367" t="s">
        <v>381</v>
      </c>
      <c r="F27" s="371" t="s">
        <v>138</v>
      </c>
      <c r="G27" s="372">
        <v>4297100</v>
      </c>
      <c r="H27" s="372"/>
      <c r="I27" s="372">
        <f t="shared" si="2"/>
        <v>4297100</v>
      </c>
    </row>
    <row r="28" spans="2:12" ht="75" x14ac:dyDescent="0.2">
      <c r="B28" s="367" t="s">
        <v>382</v>
      </c>
      <c r="C28" s="367" t="s">
        <v>378</v>
      </c>
      <c r="D28" s="367" t="s">
        <v>383</v>
      </c>
      <c r="E28" s="367" t="s">
        <v>381</v>
      </c>
      <c r="F28" s="371" t="s">
        <v>648</v>
      </c>
      <c r="G28" s="372">
        <f>(318969+495888)+86612</f>
        <v>901469</v>
      </c>
      <c r="H28" s="372">
        <f>(297437+100000)-86612</f>
        <v>310825</v>
      </c>
      <c r="I28" s="372">
        <f t="shared" si="2"/>
        <v>1212294</v>
      </c>
    </row>
    <row r="29" spans="2:12" ht="75" x14ac:dyDescent="0.2">
      <c r="B29" s="367" t="s">
        <v>382</v>
      </c>
      <c r="C29" s="367" t="s">
        <v>378</v>
      </c>
      <c r="D29" s="367" t="s">
        <v>383</v>
      </c>
      <c r="E29" s="367" t="s">
        <v>381</v>
      </c>
      <c r="F29" s="371" t="s">
        <v>894</v>
      </c>
      <c r="G29" s="372"/>
      <c r="H29" s="372">
        <v>9450</v>
      </c>
      <c r="I29" s="372">
        <f t="shared" si="2"/>
        <v>9450</v>
      </c>
    </row>
    <row r="30" spans="2:12" ht="30" x14ac:dyDescent="0.2">
      <c r="B30" s="367" t="s">
        <v>384</v>
      </c>
      <c r="C30" s="367" t="s">
        <v>385</v>
      </c>
      <c r="D30" s="367" t="s">
        <v>383</v>
      </c>
      <c r="E30" s="367" t="s">
        <v>46</v>
      </c>
      <c r="F30" s="371" t="s">
        <v>137</v>
      </c>
      <c r="G30" s="372">
        <f>'dod3'!E34</f>
        <v>2009955.94</v>
      </c>
      <c r="H30" s="372"/>
      <c r="I30" s="372">
        <f t="shared" si="2"/>
        <v>2009955.94</v>
      </c>
    </row>
    <row r="31" spans="2:12" ht="75" x14ac:dyDescent="0.2">
      <c r="B31" s="367" t="s">
        <v>387</v>
      </c>
      <c r="C31" s="367" t="s">
        <v>386</v>
      </c>
      <c r="D31" s="367" t="s">
        <v>388</v>
      </c>
      <c r="E31" s="367" t="s">
        <v>47</v>
      </c>
      <c r="F31" s="371" t="s">
        <v>137</v>
      </c>
      <c r="G31" s="372">
        <f>'dod3'!E35-G32</f>
        <v>15563400</v>
      </c>
      <c r="H31" s="372">
        <f>'dod3'!J35</f>
        <v>513449</v>
      </c>
      <c r="I31" s="372">
        <f t="shared" si="2"/>
        <v>16076849</v>
      </c>
    </row>
    <row r="32" spans="2:12" ht="75" x14ac:dyDescent="0.2">
      <c r="B32" s="367" t="s">
        <v>387</v>
      </c>
      <c r="C32" s="367" t="s">
        <v>386</v>
      </c>
      <c r="D32" s="367" t="s">
        <v>388</v>
      </c>
      <c r="E32" s="367" t="s">
        <v>47</v>
      </c>
      <c r="F32" s="371" t="s">
        <v>138</v>
      </c>
      <c r="G32" s="372">
        <v>20000</v>
      </c>
      <c r="H32" s="372"/>
      <c r="I32" s="372">
        <f t="shared" si="2"/>
        <v>20000</v>
      </c>
    </row>
    <row r="33" spans="2:12" ht="45" x14ac:dyDescent="0.2">
      <c r="B33" s="367" t="s">
        <v>389</v>
      </c>
      <c r="C33" s="367" t="s">
        <v>363</v>
      </c>
      <c r="D33" s="367" t="s">
        <v>344</v>
      </c>
      <c r="E33" s="367" t="s">
        <v>48</v>
      </c>
      <c r="F33" s="371" t="s">
        <v>137</v>
      </c>
      <c r="G33" s="372">
        <f>'dod3'!E36</f>
        <v>25342420</v>
      </c>
      <c r="H33" s="372">
        <f>'dod3'!J36</f>
        <v>11763200</v>
      </c>
      <c r="I33" s="372">
        <f t="shared" si="2"/>
        <v>37105620</v>
      </c>
    </row>
    <row r="34" spans="2:12" ht="30" x14ac:dyDescent="0.2">
      <c r="B34" s="367" t="s">
        <v>390</v>
      </c>
      <c r="C34" s="367" t="s">
        <v>391</v>
      </c>
      <c r="D34" s="367" t="s">
        <v>392</v>
      </c>
      <c r="E34" s="367" t="s">
        <v>393</v>
      </c>
      <c r="F34" s="371" t="s">
        <v>137</v>
      </c>
      <c r="G34" s="370">
        <f>'dod3'!E37</f>
        <v>97256631</v>
      </c>
      <c r="H34" s="372">
        <f>'dod3'!J37</f>
        <v>12791259</v>
      </c>
      <c r="I34" s="372">
        <f t="shared" si="2"/>
        <v>110047890</v>
      </c>
    </row>
    <row r="35" spans="2:12" ht="30" x14ac:dyDescent="0.2">
      <c r="B35" s="367" t="s">
        <v>395</v>
      </c>
      <c r="C35" s="367" t="s">
        <v>396</v>
      </c>
      <c r="D35" s="367" t="s">
        <v>397</v>
      </c>
      <c r="E35" s="367" t="s">
        <v>394</v>
      </c>
      <c r="F35" s="371" t="s">
        <v>137</v>
      </c>
      <c r="G35" s="370">
        <f>'dod3'!E38-G36</f>
        <v>4275700</v>
      </c>
      <c r="H35" s="372">
        <f>'dod3'!J38-H36</f>
        <v>176000</v>
      </c>
      <c r="I35" s="372">
        <f t="shared" si="2"/>
        <v>4451700</v>
      </c>
    </row>
    <row r="36" spans="2:12" ht="45" x14ac:dyDescent="0.2">
      <c r="B36" s="367" t="s">
        <v>395</v>
      </c>
      <c r="C36" s="367" t="s">
        <v>396</v>
      </c>
      <c r="D36" s="367" t="s">
        <v>397</v>
      </c>
      <c r="E36" s="367" t="s">
        <v>394</v>
      </c>
      <c r="F36" s="371" t="s">
        <v>894</v>
      </c>
      <c r="G36" s="370"/>
      <c r="H36" s="372">
        <v>450</v>
      </c>
      <c r="I36" s="372">
        <f t="shared" si="2"/>
        <v>450</v>
      </c>
    </row>
    <row r="37" spans="2:12" ht="30" x14ac:dyDescent="0.2">
      <c r="B37" s="367" t="s">
        <v>399</v>
      </c>
      <c r="C37" s="367" t="s">
        <v>400</v>
      </c>
      <c r="D37" s="367"/>
      <c r="E37" s="367" t="s">
        <v>398</v>
      </c>
      <c r="F37" s="371" t="s">
        <v>137</v>
      </c>
      <c r="G37" s="370">
        <f>'dod3'!E39</f>
        <v>14364100</v>
      </c>
      <c r="H37" s="372">
        <f>'dod3'!J39</f>
        <v>1299700</v>
      </c>
      <c r="I37" s="372">
        <f t="shared" si="2"/>
        <v>15663800</v>
      </c>
    </row>
    <row r="38" spans="2:12" ht="30" x14ac:dyDescent="0.2">
      <c r="B38" s="415" t="s">
        <v>656</v>
      </c>
      <c r="C38" s="378" t="s">
        <v>657</v>
      </c>
      <c r="D38" s="378" t="s">
        <v>397</v>
      </c>
      <c r="E38" s="378" t="s">
        <v>655</v>
      </c>
      <c r="F38" s="396" t="s">
        <v>137</v>
      </c>
      <c r="G38" s="375">
        <f>'dod3'!E40</f>
        <v>14196900</v>
      </c>
      <c r="H38" s="376">
        <f>'dod3'!J40</f>
        <v>1299700</v>
      </c>
      <c r="I38" s="376">
        <f t="shared" si="2"/>
        <v>15496600</v>
      </c>
    </row>
    <row r="39" spans="2:12" ht="30" x14ac:dyDescent="0.2">
      <c r="B39" s="415" t="s">
        <v>697</v>
      </c>
      <c r="C39" s="378" t="s">
        <v>698</v>
      </c>
      <c r="D39" s="378" t="s">
        <v>397</v>
      </c>
      <c r="E39" s="378" t="s">
        <v>696</v>
      </c>
      <c r="F39" s="396" t="s">
        <v>137</v>
      </c>
      <c r="G39" s="375">
        <f>'dod3'!E41</f>
        <v>167200</v>
      </c>
      <c r="H39" s="376">
        <f>'dod3'!J41</f>
        <v>0</v>
      </c>
      <c r="I39" s="376">
        <f t="shared" si="2"/>
        <v>167200</v>
      </c>
    </row>
    <row r="40" spans="2:12" ht="45" x14ac:dyDescent="0.2">
      <c r="B40" s="367" t="s">
        <v>402</v>
      </c>
      <c r="C40" s="367" t="s">
        <v>403</v>
      </c>
      <c r="D40" s="367" t="s">
        <v>404</v>
      </c>
      <c r="E40" s="367" t="s">
        <v>99</v>
      </c>
      <c r="F40" s="371" t="s">
        <v>596</v>
      </c>
      <c r="G40" s="416">
        <f>'dod3'!E42</f>
        <v>106000</v>
      </c>
      <c r="H40" s="417">
        <f>'dod3'!J42</f>
        <v>16433748</v>
      </c>
      <c r="I40" s="372">
        <f t="shared" si="2"/>
        <v>16539748</v>
      </c>
    </row>
    <row r="41" spans="2:12" ht="30" x14ac:dyDescent="0.2">
      <c r="B41" s="313" t="s">
        <v>308</v>
      </c>
      <c r="C41" s="314"/>
      <c r="D41" s="314"/>
      <c r="E41" s="283" t="s">
        <v>53</v>
      </c>
      <c r="F41" s="432"/>
      <c r="G41" s="405">
        <f>G42</f>
        <v>350075473</v>
      </c>
      <c r="H41" s="405">
        <f>H42</f>
        <v>44768973</v>
      </c>
      <c r="I41" s="405">
        <f t="shared" ref="I41:I61" si="3">G41+H41</f>
        <v>394844446</v>
      </c>
    </row>
    <row r="42" spans="2:12" ht="28.5" x14ac:dyDescent="0.2">
      <c r="B42" s="282" t="s">
        <v>309</v>
      </c>
      <c r="C42" s="282"/>
      <c r="D42" s="282"/>
      <c r="E42" s="287" t="s">
        <v>54</v>
      </c>
      <c r="F42" s="332"/>
      <c r="G42" s="332">
        <f>G43+G44+G45+G46+G53+G48+G50+G56+G47</f>
        <v>350075473</v>
      </c>
      <c r="H42" s="332">
        <f>H43+H44+H45+H46+H53+H48+H50+H56+H47</f>
        <v>44768973</v>
      </c>
      <c r="I42" s="406">
        <f>G42+H42</f>
        <v>394844446</v>
      </c>
      <c r="J42" s="30" t="b">
        <f>I42='dod3'!P44</f>
        <v>1</v>
      </c>
      <c r="K42" s="30" t="b">
        <f>G42='dod3'!E44</f>
        <v>1</v>
      </c>
      <c r="L42" s="30" t="b">
        <f>H42='dod3'!J44</f>
        <v>1</v>
      </c>
    </row>
    <row r="43" spans="2:12" ht="30" x14ac:dyDescent="0.2">
      <c r="B43" s="367" t="s">
        <v>405</v>
      </c>
      <c r="C43" s="367" t="s">
        <v>401</v>
      </c>
      <c r="D43" s="367" t="s">
        <v>406</v>
      </c>
      <c r="E43" s="367" t="s">
        <v>55</v>
      </c>
      <c r="F43" s="494" t="s">
        <v>992</v>
      </c>
      <c r="G43" s="371">
        <f>'dod3'!F45</f>
        <v>176481411</v>
      </c>
      <c r="H43" s="370">
        <f>'dod3'!J45</f>
        <v>25953925</v>
      </c>
      <c r="I43" s="372">
        <f t="shared" si="3"/>
        <v>202435336</v>
      </c>
    </row>
    <row r="44" spans="2:12" ht="30" x14ac:dyDescent="0.2">
      <c r="B44" s="367" t="s">
        <v>407</v>
      </c>
      <c r="C44" s="367" t="s">
        <v>408</v>
      </c>
      <c r="D44" s="367" t="s">
        <v>409</v>
      </c>
      <c r="E44" s="367" t="s">
        <v>410</v>
      </c>
      <c r="F44" s="494" t="s">
        <v>992</v>
      </c>
      <c r="G44" s="371">
        <f>'dod3'!F46</f>
        <v>53951300</v>
      </c>
      <c r="H44" s="370">
        <f>'dod3'!J46</f>
        <v>1720650</v>
      </c>
      <c r="I44" s="372">
        <f t="shared" si="3"/>
        <v>55671950</v>
      </c>
    </row>
    <row r="45" spans="2:12" ht="30" x14ac:dyDescent="0.2">
      <c r="B45" s="367" t="s">
        <v>411</v>
      </c>
      <c r="C45" s="367" t="s">
        <v>412</v>
      </c>
      <c r="D45" s="367" t="s">
        <v>413</v>
      </c>
      <c r="E45" s="367" t="s">
        <v>730</v>
      </c>
      <c r="F45" s="494" t="s">
        <v>992</v>
      </c>
      <c r="G45" s="371">
        <f>'dod3'!F47</f>
        <v>54131886</v>
      </c>
      <c r="H45" s="370">
        <f>'dod3'!J47</f>
        <v>8064761</v>
      </c>
      <c r="I45" s="372">
        <f t="shared" si="3"/>
        <v>62196647</v>
      </c>
    </row>
    <row r="46" spans="2:12" ht="30" x14ac:dyDescent="0.2">
      <c r="B46" s="367" t="s">
        <v>414</v>
      </c>
      <c r="C46" s="367" t="s">
        <v>415</v>
      </c>
      <c r="D46" s="367" t="s">
        <v>416</v>
      </c>
      <c r="E46" s="367" t="s">
        <v>417</v>
      </c>
      <c r="F46" s="494" t="s">
        <v>992</v>
      </c>
      <c r="G46" s="371">
        <f>'dod3'!F48-G47</f>
        <v>8870400</v>
      </c>
      <c r="H46" s="370">
        <f>'dod3'!J48-H47</f>
        <v>5210400</v>
      </c>
      <c r="I46" s="372">
        <f t="shared" si="3"/>
        <v>14080800</v>
      </c>
    </row>
    <row r="47" spans="2:12" ht="75" x14ac:dyDescent="0.2">
      <c r="B47" s="486" t="s">
        <v>414</v>
      </c>
      <c r="C47" s="486" t="s">
        <v>415</v>
      </c>
      <c r="D47" s="486" t="s">
        <v>416</v>
      </c>
      <c r="E47" s="486" t="s">
        <v>417</v>
      </c>
      <c r="F47" s="371" t="s">
        <v>1003</v>
      </c>
      <c r="G47" s="371">
        <v>600000</v>
      </c>
      <c r="H47" s="488"/>
      <c r="I47" s="372">
        <f t="shared" si="3"/>
        <v>600000</v>
      </c>
    </row>
    <row r="48" spans="2:12" ht="30" x14ac:dyDescent="0.2">
      <c r="B48" s="367" t="s">
        <v>418</v>
      </c>
      <c r="C48" s="367" t="s">
        <v>419</v>
      </c>
      <c r="D48" s="367"/>
      <c r="E48" s="367" t="s">
        <v>731</v>
      </c>
      <c r="F48" s="494" t="s">
        <v>992</v>
      </c>
      <c r="G48" s="371">
        <f>'dod3'!F49</f>
        <v>36734176</v>
      </c>
      <c r="H48" s="370">
        <f>'dod3'!J49</f>
        <v>2374000</v>
      </c>
      <c r="I48" s="372">
        <f t="shared" si="3"/>
        <v>39108176</v>
      </c>
    </row>
    <row r="49" spans="1:12" s="238" customFormat="1" ht="45" x14ac:dyDescent="0.2">
      <c r="A49" s="492"/>
      <c r="B49" s="378" t="s">
        <v>420</v>
      </c>
      <c r="C49" s="415" t="s">
        <v>421</v>
      </c>
      <c r="D49" s="415" t="s">
        <v>732</v>
      </c>
      <c r="E49" s="378" t="s">
        <v>422</v>
      </c>
      <c r="F49" s="494" t="s">
        <v>992</v>
      </c>
      <c r="G49" s="396">
        <f>'dod3'!F50</f>
        <v>36734176</v>
      </c>
      <c r="H49" s="375">
        <f>'dod3'!J50</f>
        <v>2374000</v>
      </c>
      <c r="I49" s="376">
        <f t="shared" si="3"/>
        <v>39108176</v>
      </c>
    </row>
    <row r="50" spans="1:12" ht="30" x14ac:dyDescent="0.2">
      <c r="B50" s="367" t="s">
        <v>783</v>
      </c>
      <c r="C50" s="373" t="s">
        <v>784</v>
      </c>
      <c r="D50" s="373"/>
      <c r="E50" s="373" t="s">
        <v>785</v>
      </c>
      <c r="F50" s="494" t="s">
        <v>992</v>
      </c>
      <c r="G50" s="371">
        <f>'dod3'!F51</f>
        <v>16621600</v>
      </c>
      <c r="H50" s="370">
        <f>'dod3'!J51</f>
        <v>0</v>
      </c>
      <c r="I50" s="372">
        <f t="shared" si="3"/>
        <v>16621600</v>
      </c>
    </row>
    <row r="51" spans="1:12" ht="45" x14ac:dyDescent="0.2">
      <c r="B51" s="378" t="s">
        <v>786</v>
      </c>
      <c r="C51" s="378" t="s">
        <v>787</v>
      </c>
      <c r="D51" s="373" t="s">
        <v>425</v>
      </c>
      <c r="E51" s="448" t="s">
        <v>788</v>
      </c>
      <c r="F51" s="494" t="s">
        <v>992</v>
      </c>
      <c r="G51" s="371">
        <f>'dod3'!F52</f>
        <v>10295900</v>
      </c>
      <c r="H51" s="370">
        <f>'dod3'!J52</f>
        <v>0</v>
      </c>
      <c r="I51" s="372">
        <f t="shared" si="3"/>
        <v>10295900</v>
      </c>
    </row>
    <row r="52" spans="1:12" ht="45" x14ac:dyDescent="0.2">
      <c r="B52" s="378" t="s">
        <v>791</v>
      </c>
      <c r="C52" s="378" t="s">
        <v>790</v>
      </c>
      <c r="D52" s="373" t="s">
        <v>425</v>
      </c>
      <c r="E52" s="448" t="s">
        <v>789</v>
      </c>
      <c r="F52" s="494" t="s">
        <v>992</v>
      </c>
      <c r="G52" s="371">
        <f>'dod3'!F53</f>
        <v>6325700</v>
      </c>
      <c r="H52" s="370">
        <f>'dod3'!J53</f>
        <v>0</v>
      </c>
      <c r="I52" s="372">
        <f t="shared" si="3"/>
        <v>6325700</v>
      </c>
    </row>
    <row r="53" spans="1:12" ht="30" x14ac:dyDescent="0.2">
      <c r="B53" s="367" t="s">
        <v>423</v>
      </c>
      <c r="C53" s="373" t="s">
        <v>424</v>
      </c>
      <c r="D53" s="373"/>
      <c r="E53" s="373" t="s">
        <v>426</v>
      </c>
      <c r="F53" s="494" t="s">
        <v>992</v>
      </c>
      <c r="G53" s="371">
        <f>'dod3'!F54</f>
        <v>2500300</v>
      </c>
      <c r="H53" s="370">
        <f>'dod3'!J54</f>
        <v>22800</v>
      </c>
      <c r="I53" s="372">
        <f t="shared" si="3"/>
        <v>2523100</v>
      </c>
    </row>
    <row r="54" spans="1:12" ht="30" x14ac:dyDescent="0.2">
      <c r="B54" s="378" t="s">
        <v>660</v>
      </c>
      <c r="C54" s="378" t="s">
        <v>662</v>
      </c>
      <c r="D54" s="415" t="s">
        <v>425</v>
      </c>
      <c r="E54" s="448" t="s">
        <v>658</v>
      </c>
      <c r="F54" s="494" t="s">
        <v>992</v>
      </c>
      <c r="G54" s="371">
        <f>'dod3'!F55</f>
        <v>2200300</v>
      </c>
      <c r="H54" s="370">
        <f>'dod3'!J55</f>
        <v>22800</v>
      </c>
      <c r="I54" s="372">
        <f t="shared" si="3"/>
        <v>2223100</v>
      </c>
    </row>
    <row r="55" spans="1:12" ht="30" x14ac:dyDescent="0.2">
      <c r="B55" s="378" t="s">
        <v>661</v>
      </c>
      <c r="C55" s="378" t="s">
        <v>663</v>
      </c>
      <c r="D55" s="415" t="s">
        <v>425</v>
      </c>
      <c r="E55" s="448" t="s">
        <v>659</v>
      </c>
      <c r="F55" s="494" t="s">
        <v>992</v>
      </c>
      <c r="G55" s="371">
        <f>'dod3'!F56</f>
        <v>300000</v>
      </c>
      <c r="H55" s="370">
        <f>'dod3'!J56</f>
        <v>0</v>
      </c>
      <c r="I55" s="372">
        <f t="shared" si="3"/>
        <v>300000</v>
      </c>
    </row>
    <row r="56" spans="1:12" ht="45" customHeight="1" x14ac:dyDescent="0.2">
      <c r="B56" s="367" t="s">
        <v>799</v>
      </c>
      <c r="C56" s="373" t="s">
        <v>800</v>
      </c>
      <c r="D56" s="373" t="s">
        <v>103</v>
      </c>
      <c r="E56" s="373" t="s">
        <v>801</v>
      </c>
      <c r="F56" s="494" t="s">
        <v>992</v>
      </c>
      <c r="G56" s="371">
        <f>'dod3'!F57</f>
        <v>184400</v>
      </c>
      <c r="H56" s="370">
        <f>'dod3'!J57</f>
        <v>1422437</v>
      </c>
      <c r="I56" s="372">
        <f t="shared" si="3"/>
        <v>1606837</v>
      </c>
    </row>
    <row r="57" spans="1:12" ht="45" x14ac:dyDescent="0.2">
      <c r="B57" s="282" t="s">
        <v>310</v>
      </c>
      <c r="C57" s="282"/>
      <c r="D57" s="282"/>
      <c r="E57" s="283" t="s">
        <v>92</v>
      </c>
      <c r="F57" s="432"/>
      <c r="G57" s="316">
        <f>G58</f>
        <v>987481959</v>
      </c>
      <c r="H57" s="316">
        <f>H58</f>
        <v>4035347</v>
      </c>
      <c r="I57" s="316">
        <f t="shared" si="3"/>
        <v>991517306</v>
      </c>
    </row>
    <row r="58" spans="1:12" ht="42.75" x14ac:dyDescent="0.2">
      <c r="B58" s="286" t="s">
        <v>311</v>
      </c>
      <c r="C58" s="286"/>
      <c r="D58" s="286"/>
      <c r="E58" s="287" t="s">
        <v>93</v>
      </c>
      <c r="F58" s="407"/>
      <c r="G58" s="317">
        <f>G62+G71+G98+G91+G65+G87+G100+G88+G79+G96+G59+G92+G104+G80+G95</f>
        <v>987481959</v>
      </c>
      <c r="H58" s="317">
        <f>H62+H71+H98+H91+H65+H87+H100+H88+H79+H96+H59+H92+H80+H95+H104</f>
        <v>4035347</v>
      </c>
      <c r="I58" s="317">
        <f t="shared" si="3"/>
        <v>991517306</v>
      </c>
      <c r="J58" s="30" t="b">
        <f>I58='dod3'!P59-'dod3'!O99</f>
        <v>1</v>
      </c>
      <c r="K58" s="30" t="b">
        <f>G58='dod3'!E59-'dod3'!E99</f>
        <v>1</v>
      </c>
      <c r="L58" s="30" t="b">
        <f>H58='dod3'!J59-'dod3'!J99</f>
        <v>1</v>
      </c>
    </row>
    <row r="59" spans="1:12" ht="60" x14ac:dyDescent="0.2">
      <c r="B59" s="373" t="s">
        <v>451</v>
      </c>
      <c r="C59" s="373" t="s">
        <v>452</v>
      </c>
      <c r="D59" s="373"/>
      <c r="E59" s="373" t="s">
        <v>14</v>
      </c>
      <c r="F59" s="371" t="s">
        <v>138</v>
      </c>
      <c r="G59" s="372">
        <f>G60+G61</f>
        <v>523967300</v>
      </c>
      <c r="H59" s="372">
        <f>H60+H61</f>
        <v>0</v>
      </c>
      <c r="I59" s="372">
        <f t="shared" si="3"/>
        <v>523967300</v>
      </c>
    </row>
    <row r="60" spans="1:12" ht="45" x14ac:dyDescent="0.2">
      <c r="B60" s="415" t="s">
        <v>453</v>
      </c>
      <c r="C60" s="415" t="s">
        <v>454</v>
      </c>
      <c r="D60" s="415" t="s">
        <v>385</v>
      </c>
      <c r="E60" s="478" t="s">
        <v>450</v>
      </c>
      <c r="F60" s="479" t="s">
        <v>138</v>
      </c>
      <c r="G60" s="376">
        <f>'dod3'!E61</f>
        <v>57500000</v>
      </c>
      <c r="H60" s="376">
        <f>'dod3'!J61</f>
        <v>0</v>
      </c>
      <c r="I60" s="376">
        <f t="shared" si="3"/>
        <v>57500000</v>
      </c>
    </row>
    <row r="61" spans="1:12" ht="45" x14ac:dyDescent="0.2">
      <c r="B61" s="480" t="s">
        <v>476</v>
      </c>
      <c r="C61" s="415" t="s">
        <v>477</v>
      </c>
      <c r="D61" s="415" t="s">
        <v>117</v>
      </c>
      <c r="E61" s="378" t="s">
        <v>15</v>
      </c>
      <c r="F61" s="396" t="s">
        <v>138</v>
      </c>
      <c r="G61" s="376">
        <f>'dod3'!E62</f>
        <v>466467300</v>
      </c>
      <c r="H61" s="376">
        <f>'dod3'!J62</f>
        <v>0</v>
      </c>
      <c r="I61" s="376">
        <f t="shared" si="3"/>
        <v>466467300</v>
      </c>
    </row>
    <row r="62" spans="1:12" ht="45" x14ac:dyDescent="0.2">
      <c r="B62" s="367" t="s">
        <v>478</v>
      </c>
      <c r="C62" s="367" t="s">
        <v>479</v>
      </c>
      <c r="D62" s="378"/>
      <c r="E62" s="367" t="s">
        <v>16</v>
      </c>
      <c r="F62" s="371" t="s">
        <v>138</v>
      </c>
      <c r="G62" s="372">
        <f>G63+G64</f>
        <v>60000</v>
      </c>
      <c r="H62" s="372">
        <f>H63+H64</f>
        <v>0</v>
      </c>
      <c r="I62" s="372">
        <f>G62+H62</f>
        <v>60000</v>
      </c>
    </row>
    <row r="63" spans="1:12" ht="60" x14ac:dyDescent="0.2">
      <c r="B63" s="378" t="s">
        <v>481</v>
      </c>
      <c r="C63" s="378" t="s">
        <v>482</v>
      </c>
      <c r="D63" s="378" t="s">
        <v>385</v>
      </c>
      <c r="E63" s="454" t="s">
        <v>480</v>
      </c>
      <c r="F63" s="479" t="s">
        <v>138</v>
      </c>
      <c r="G63" s="481">
        <f>'dod3'!E64</f>
        <v>2000</v>
      </c>
      <c r="H63" s="481"/>
      <c r="I63" s="481">
        <f>G63+H63</f>
        <v>2000</v>
      </c>
    </row>
    <row r="64" spans="1:12" ht="45" x14ac:dyDescent="0.2">
      <c r="B64" s="378" t="s">
        <v>483</v>
      </c>
      <c r="C64" s="378" t="s">
        <v>484</v>
      </c>
      <c r="D64" s="454">
        <v>1060</v>
      </c>
      <c r="E64" s="482" t="s">
        <v>27</v>
      </c>
      <c r="F64" s="396" t="s">
        <v>138</v>
      </c>
      <c r="G64" s="376">
        <f>'dod3'!E65</f>
        <v>58000</v>
      </c>
      <c r="H64" s="376"/>
      <c r="I64" s="376">
        <f t="shared" ref="I64:I98" si="4">G64+H64</f>
        <v>58000</v>
      </c>
    </row>
    <row r="65" spans="2:9" ht="60" x14ac:dyDescent="0.2">
      <c r="B65" s="373" t="s">
        <v>514</v>
      </c>
      <c r="C65" s="373" t="s">
        <v>515</v>
      </c>
      <c r="D65" s="373"/>
      <c r="E65" s="474" t="s">
        <v>513</v>
      </c>
      <c r="F65" s="483" t="s">
        <v>138</v>
      </c>
      <c r="G65" s="484">
        <f>SUM(G66:G70)</f>
        <v>73462930</v>
      </c>
      <c r="H65" s="484">
        <f>SUM(H66:H70)</f>
        <v>100000</v>
      </c>
      <c r="I65" s="484">
        <f t="shared" ref="I65:I70" si="5">G65+H65</f>
        <v>73562930</v>
      </c>
    </row>
    <row r="66" spans="2:9" ht="45" x14ac:dyDescent="0.2">
      <c r="B66" s="415" t="s">
        <v>516</v>
      </c>
      <c r="C66" s="415" t="s">
        <v>517</v>
      </c>
      <c r="D66" s="415" t="s">
        <v>385</v>
      </c>
      <c r="E66" s="475" t="s">
        <v>518</v>
      </c>
      <c r="F66" s="479" t="s">
        <v>138</v>
      </c>
      <c r="G66" s="485">
        <f>'dod3'!E67</f>
        <v>315130</v>
      </c>
      <c r="H66" s="485">
        <f>'dod3'!J67</f>
        <v>100000</v>
      </c>
      <c r="I66" s="485">
        <f t="shared" si="5"/>
        <v>415130</v>
      </c>
    </row>
    <row r="67" spans="2:9" ht="45" x14ac:dyDescent="0.2">
      <c r="B67" s="378" t="s">
        <v>519</v>
      </c>
      <c r="C67" s="378" t="s">
        <v>520</v>
      </c>
      <c r="D67" s="378" t="s">
        <v>386</v>
      </c>
      <c r="E67" s="378" t="s">
        <v>24</v>
      </c>
      <c r="F67" s="396" t="s">
        <v>138</v>
      </c>
      <c r="G67" s="376">
        <f>'dod3'!E68</f>
        <v>1550000</v>
      </c>
      <c r="H67" s="376"/>
      <c r="I67" s="376">
        <f t="shared" si="5"/>
        <v>1550000</v>
      </c>
    </row>
    <row r="68" spans="2:9" ht="45" x14ac:dyDescent="0.2">
      <c r="B68" s="378" t="s">
        <v>522</v>
      </c>
      <c r="C68" s="378" t="s">
        <v>523</v>
      </c>
      <c r="D68" s="378" t="s">
        <v>386</v>
      </c>
      <c r="E68" s="415" t="s">
        <v>25</v>
      </c>
      <c r="F68" s="396" t="s">
        <v>138</v>
      </c>
      <c r="G68" s="376">
        <f>'dod3'!E69</f>
        <v>5000000</v>
      </c>
      <c r="H68" s="376"/>
      <c r="I68" s="376">
        <f t="shared" si="5"/>
        <v>5000000</v>
      </c>
    </row>
    <row r="69" spans="2:9" ht="45" x14ac:dyDescent="0.2">
      <c r="B69" s="415" t="s">
        <v>524</v>
      </c>
      <c r="C69" s="415" t="s">
        <v>521</v>
      </c>
      <c r="D69" s="415" t="s">
        <v>386</v>
      </c>
      <c r="E69" s="415" t="s">
        <v>26</v>
      </c>
      <c r="F69" s="396" t="s">
        <v>138</v>
      </c>
      <c r="G69" s="376">
        <f>'dod3'!E70</f>
        <v>400000</v>
      </c>
      <c r="H69" s="376"/>
      <c r="I69" s="376">
        <f t="shared" si="5"/>
        <v>400000</v>
      </c>
    </row>
    <row r="70" spans="2:9" ht="45" x14ac:dyDescent="0.2">
      <c r="B70" s="415" t="s">
        <v>525</v>
      </c>
      <c r="C70" s="415" t="s">
        <v>526</v>
      </c>
      <c r="D70" s="415" t="s">
        <v>386</v>
      </c>
      <c r="E70" s="415" t="s">
        <v>31</v>
      </c>
      <c r="F70" s="396" t="s">
        <v>138</v>
      </c>
      <c r="G70" s="376">
        <f>'dod3'!E71</f>
        <v>66197800</v>
      </c>
      <c r="H70" s="376"/>
      <c r="I70" s="376">
        <f t="shared" si="5"/>
        <v>66197800</v>
      </c>
    </row>
    <row r="71" spans="2:9" ht="45" x14ac:dyDescent="0.2">
      <c r="B71" s="367" t="s">
        <v>455</v>
      </c>
      <c r="C71" s="367" t="s">
        <v>456</v>
      </c>
      <c r="D71" s="367"/>
      <c r="E71" s="367" t="s">
        <v>733</v>
      </c>
      <c r="F71" s="371" t="s">
        <v>138</v>
      </c>
      <c r="G71" s="372">
        <f>SUM(G72:G78)</f>
        <v>231787720</v>
      </c>
      <c r="H71" s="372">
        <f>SUM(H72:H78)</f>
        <v>0</v>
      </c>
      <c r="I71" s="372">
        <f t="shared" si="4"/>
        <v>231787720</v>
      </c>
    </row>
    <row r="72" spans="2:9" ht="45" x14ac:dyDescent="0.2">
      <c r="B72" s="378" t="s">
        <v>465</v>
      </c>
      <c r="C72" s="378" t="s">
        <v>457</v>
      </c>
      <c r="D72" s="378" t="s">
        <v>353</v>
      </c>
      <c r="E72" s="378" t="s">
        <v>18</v>
      </c>
      <c r="F72" s="396" t="s">
        <v>138</v>
      </c>
      <c r="G72" s="376">
        <f>'dod3'!E73</f>
        <v>2853000</v>
      </c>
      <c r="H72" s="376"/>
      <c r="I72" s="376">
        <f t="shared" si="4"/>
        <v>2853000</v>
      </c>
    </row>
    <row r="73" spans="2:9" ht="45" x14ac:dyDescent="0.2">
      <c r="B73" s="378" t="s">
        <v>466</v>
      </c>
      <c r="C73" s="378" t="s">
        <v>458</v>
      </c>
      <c r="D73" s="378" t="s">
        <v>353</v>
      </c>
      <c r="E73" s="378" t="s">
        <v>464</v>
      </c>
      <c r="F73" s="396" t="s">
        <v>140</v>
      </c>
      <c r="G73" s="376">
        <f>'dod3'!E74</f>
        <v>305000</v>
      </c>
      <c r="H73" s="376"/>
      <c r="I73" s="376">
        <f>G73+H73</f>
        <v>305000</v>
      </c>
    </row>
    <row r="74" spans="2:9" ht="45" x14ac:dyDescent="0.2">
      <c r="B74" s="378" t="s">
        <v>467</v>
      </c>
      <c r="C74" s="378" t="s">
        <v>459</v>
      </c>
      <c r="D74" s="378" t="s">
        <v>353</v>
      </c>
      <c r="E74" s="378" t="s">
        <v>19</v>
      </c>
      <c r="F74" s="396" t="s">
        <v>138</v>
      </c>
      <c r="G74" s="376">
        <f>'dod3'!E75</f>
        <v>155242720</v>
      </c>
      <c r="H74" s="376"/>
      <c r="I74" s="376">
        <f t="shared" si="4"/>
        <v>155242720</v>
      </c>
    </row>
    <row r="75" spans="2:9" ht="45" x14ac:dyDescent="0.2">
      <c r="B75" s="378" t="s">
        <v>468</v>
      </c>
      <c r="C75" s="378" t="s">
        <v>460</v>
      </c>
      <c r="D75" s="378" t="s">
        <v>353</v>
      </c>
      <c r="E75" s="378" t="s">
        <v>20</v>
      </c>
      <c r="F75" s="396" t="s">
        <v>138</v>
      </c>
      <c r="G75" s="376">
        <f>'dod3'!E76</f>
        <v>4390000</v>
      </c>
      <c r="H75" s="376"/>
      <c r="I75" s="376">
        <f t="shared" si="4"/>
        <v>4390000</v>
      </c>
    </row>
    <row r="76" spans="2:9" ht="45" x14ac:dyDescent="0.2">
      <c r="B76" s="378" t="s">
        <v>469</v>
      </c>
      <c r="C76" s="378" t="s">
        <v>461</v>
      </c>
      <c r="D76" s="378" t="s">
        <v>353</v>
      </c>
      <c r="E76" s="378" t="s">
        <v>21</v>
      </c>
      <c r="F76" s="396" t="s">
        <v>138</v>
      </c>
      <c r="G76" s="376">
        <f>'dod3'!E77</f>
        <v>24267000</v>
      </c>
      <c r="H76" s="376"/>
      <c r="I76" s="376">
        <f t="shared" si="4"/>
        <v>24267000</v>
      </c>
    </row>
    <row r="77" spans="2:9" ht="45" x14ac:dyDescent="0.2">
      <c r="B77" s="378" t="s">
        <v>470</v>
      </c>
      <c r="C77" s="378" t="s">
        <v>462</v>
      </c>
      <c r="D77" s="378" t="s">
        <v>353</v>
      </c>
      <c r="E77" s="378" t="s">
        <v>22</v>
      </c>
      <c r="F77" s="396" t="s">
        <v>138</v>
      </c>
      <c r="G77" s="376">
        <f>'dod3'!E78</f>
        <v>3330000</v>
      </c>
      <c r="H77" s="376"/>
      <c r="I77" s="376">
        <f t="shared" si="4"/>
        <v>3330000</v>
      </c>
    </row>
    <row r="78" spans="2:9" ht="45" x14ac:dyDescent="0.2">
      <c r="B78" s="378" t="s">
        <v>471</v>
      </c>
      <c r="C78" s="378" t="s">
        <v>463</v>
      </c>
      <c r="D78" s="378" t="s">
        <v>353</v>
      </c>
      <c r="E78" s="378" t="s">
        <v>23</v>
      </c>
      <c r="F78" s="396" t="s">
        <v>138</v>
      </c>
      <c r="G78" s="376">
        <f>'dod3'!E79</f>
        <v>41400000</v>
      </c>
      <c r="H78" s="376"/>
      <c r="I78" s="376">
        <f t="shared" si="4"/>
        <v>41400000</v>
      </c>
    </row>
    <row r="79" spans="2:9" ht="30" x14ac:dyDescent="0.2">
      <c r="B79" s="367" t="s">
        <v>485</v>
      </c>
      <c r="C79" s="367" t="s">
        <v>472</v>
      </c>
      <c r="D79" s="367" t="s">
        <v>386</v>
      </c>
      <c r="E79" s="367" t="s">
        <v>17</v>
      </c>
      <c r="F79" s="371" t="s">
        <v>138</v>
      </c>
      <c r="G79" s="368">
        <f>'dod3'!E80</f>
        <v>174859</v>
      </c>
      <c r="H79" s="368">
        <f>'dod3'!J80</f>
        <v>0</v>
      </c>
      <c r="I79" s="368">
        <f>G79+H79</f>
        <v>174859</v>
      </c>
    </row>
    <row r="80" spans="2:9" ht="90" x14ac:dyDescent="0.2">
      <c r="B80" s="689" t="s">
        <v>475</v>
      </c>
      <c r="C80" s="701" t="s">
        <v>473</v>
      </c>
      <c r="D80" s="701"/>
      <c r="E80" s="487" t="s">
        <v>737</v>
      </c>
      <c r="F80" s="701" t="s">
        <v>138</v>
      </c>
      <c r="G80" s="703">
        <f>SUM(G82:G86)</f>
        <v>105286800</v>
      </c>
      <c r="H80" s="703">
        <f>SUM(H82:H86)</f>
        <v>0</v>
      </c>
      <c r="I80" s="703">
        <f>G80+H80</f>
        <v>105286800</v>
      </c>
    </row>
    <row r="81" spans="2:9" ht="60" x14ac:dyDescent="0.2">
      <c r="B81" s="690"/>
      <c r="C81" s="702"/>
      <c r="D81" s="702"/>
      <c r="E81" s="489" t="s">
        <v>738</v>
      </c>
      <c r="F81" s="702"/>
      <c r="G81" s="704"/>
      <c r="H81" s="704"/>
      <c r="I81" s="704"/>
    </row>
    <row r="82" spans="2:9" ht="45" x14ac:dyDescent="0.2">
      <c r="B82" s="378" t="s">
        <v>739</v>
      </c>
      <c r="C82" s="378" t="s">
        <v>740</v>
      </c>
      <c r="D82" s="378" t="s">
        <v>377</v>
      </c>
      <c r="E82" s="378" t="s">
        <v>736</v>
      </c>
      <c r="F82" s="396" t="s">
        <v>138</v>
      </c>
      <c r="G82" s="379">
        <f>'dod3'!E83</f>
        <v>62560700</v>
      </c>
      <c r="H82" s="379">
        <f>'dod3'!J83</f>
        <v>0</v>
      </c>
      <c r="I82" s="379">
        <f t="shared" ref="I82:I86" si="6">G82+H82</f>
        <v>62560700</v>
      </c>
    </row>
    <row r="83" spans="2:9" ht="60" x14ac:dyDescent="0.2">
      <c r="B83" s="378" t="s">
        <v>846</v>
      </c>
      <c r="C83" s="378" t="s">
        <v>847</v>
      </c>
      <c r="D83" s="378" t="s">
        <v>377</v>
      </c>
      <c r="E83" s="378" t="s">
        <v>848</v>
      </c>
      <c r="F83" s="396" t="s">
        <v>138</v>
      </c>
      <c r="G83" s="379">
        <f>'dod3'!E84</f>
        <v>16226448.640000001</v>
      </c>
      <c r="H83" s="379">
        <f>'dod3'!J84</f>
        <v>0</v>
      </c>
      <c r="I83" s="379">
        <f t="shared" si="6"/>
        <v>16226448.640000001</v>
      </c>
    </row>
    <row r="84" spans="2:9" ht="45" x14ac:dyDescent="0.2">
      <c r="B84" s="378" t="s">
        <v>734</v>
      </c>
      <c r="C84" s="378" t="s">
        <v>735</v>
      </c>
      <c r="D84" s="378" t="s">
        <v>377</v>
      </c>
      <c r="E84" s="378" t="s">
        <v>664</v>
      </c>
      <c r="F84" s="396" t="s">
        <v>138</v>
      </c>
      <c r="G84" s="379">
        <f>'dod3'!E85</f>
        <v>24737747.760000002</v>
      </c>
      <c r="H84" s="379">
        <f>'dod3'!J85</f>
        <v>0</v>
      </c>
      <c r="I84" s="379">
        <f t="shared" si="6"/>
        <v>24737747.760000002</v>
      </c>
    </row>
    <row r="85" spans="2:9" ht="60" x14ac:dyDescent="0.2">
      <c r="B85" s="378" t="s">
        <v>743</v>
      </c>
      <c r="C85" s="378" t="s">
        <v>744</v>
      </c>
      <c r="D85" s="378" t="s">
        <v>377</v>
      </c>
      <c r="E85" s="378" t="s">
        <v>745</v>
      </c>
      <c r="F85" s="396" t="s">
        <v>138</v>
      </c>
      <c r="G85" s="379">
        <f>'dod3'!E86</f>
        <v>1521903.5999999996</v>
      </c>
      <c r="H85" s="379">
        <f>'dod3'!J86</f>
        <v>0</v>
      </c>
      <c r="I85" s="379">
        <f t="shared" si="6"/>
        <v>1521903.5999999996</v>
      </c>
    </row>
    <row r="86" spans="2:9" ht="60" x14ac:dyDescent="0.2">
      <c r="B86" s="378" t="s">
        <v>741</v>
      </c>
      <c r="C86" s="378" t="s">
        <v>742</v>
      </c>
      <c r="D86" s="378" t="s">
        <v>377</v>
      </c>
      <c r="E86" s="378" t="s">
        <v>746</v>
      </c>
      <c r="F86" s="396" t="s">
        <v>138</v>
      </c>
      <c r="G86" s="379">
        <f>'dod3'!E87</f>
        <v>240000</v>
      </c>
      <c r="H86" s="379">
        <f>'dod3'!J87</f>
        <v>0</v>
      </c>
      <c r="I86" s="379">
        <f t="shared" si="6"/>
        <v>240000</v>
      </c>
    </row>
    <row r="87" spans="2:9" ht="30" x14ac:dyDescent="0.2">
      <c r="B87" s="367" t="s">
        <v>486</v>
      </c>
      <c r="C87" s="367" t="s">
        <v>474</v>
      </c>
      <c r="D87" s="367" t="s">
        <v>385</v>
      </c>
      <c r="E87" s="367" t="s">
        <v>665</v>
      </c>
      <c r="F87" s="371" t="s">
        <v>138</v>
      </c>
      <c r="G87" s="372">
        <f>'dod3'!E88</f>
        <v>188940</v>
      </c>
      <c r="H87" s="372"/>
      <c r="I87" s="372">
        <f t="shared" ref="I87:I97" si="7">G87+H87</f>
        <v>188940</v>
      </c>
    </row>
    <row r="88" spans="2:9" ht="60" x14ac:dyDescent="0.2">
      <c r="B88" s="367" t="s">
        <v>507</v>
      </c>
      <c r="C88" s="367" t="s">
        <v>508</v>
      </c>
      <c r="D88" s="367"/>
      <c r="E88" s="367" t="s">
        <v>666</v>
      </c>
      <c r="F88" s="371" t="s">
        <v>139</v>
      </c>
      <c r="G88" s="368">
        <f>G89+G90</f>
        <v>18569643</v>
      </c>
      <c r="H88" s="368">
        <f>H89+H90</f>
        <v>703200</v>
      </c>
      <c r="I88" s="368">
        <f t="shared" si="7"/>
        <v>19272843</v>
      </c>
    </row>
    <row r="89" spans="2:9" ht="60" x14ac:dyDescent="0.2">
      <c r="B89" s="378" t="s">
        <v>511</v>
      </c>
      <c r="C89" s="378" t="s">
        <v>509</v>
      </c>
      <c r="D89" s="378" t="s">
        <v>378</v>
      </c>
      <c r="E89" s="378" t="s">
        <v>52</v>
      </c>
      <c r="F89" s="396" t="s">
        <v>138</v>
      </c>
      <c r="G89" s="379">
        <f>'dod3'!E90</f>
        <v>14058400</v>
      </c>
      <c r="H89" s="379">
        <f>'dod3'!J90</f>
        <v>284500</v>
      </c>
      <c r="I89" s="379">
        <f t="shared" si="7"/>
        <v>14342900</v>
      </c>
    </row>
    <row r="90" spans="2:9" ht="45" x14ac:dyDescent="0.2">
      <c r="B90" s="378" t="s">
        <v>512</v>
      </c>
      <c r="C90" s="378" t="s">
        <v>510</v>
      </c>
      <c r="D90" s="378" t="s">
        <v>377</v>
      </c>
      <c r="E90" s="378" t="s">
        <v>667</v>
      </c>
      <c r="F90" s="396" t="s">
        <v>138</v>
      </c>
      <c r="G90" s="379">
        <f>'dod3'!E91</f>
        <v>4511243</v>
      </c>
      <c r="H90" s="379">
        <f>'dod3'!J91</f>
        <v>418700</v>
      </c>
      <c r="I90" s="379">
        <f t="shared" si="7"/>
        <v>4929943</v>
      </c>
    </row>
    <row r="91" spans="2:9" ht="75" x14ac:dyDescent="0.2">
      <c r="B91" s="367" t="s">
        <v>504</v>
      </c>
      <c r="C91" s="367" t="s">
        <v>505</v>
      </c>
      <c r="D91" s="367" t="s">
        <v>377</v>
      </c>
      <c r="E91" s="367" t="s">
        <v>668</v>
      </c>
      <c r="F91" s="371" t="s">
        <v>138</v>
      </c>
      <c r="G91" s="372">
        <f>'dod3'!E92</f>
        <v>1375600</v>
      </c>
      <c r="H91" s="372">
        <f>'dod3'!J92</f>
        <v>0</v>
      </c>
      <c r="I91" s="372">
        <f t="shared" si="7"/>
        <v>1375600</v>
      </c>
    </row>
    <row r="92" spans="2:9" ht="30" x14ac:dyDescent="0.2">
      <c r="B92" s="367" t="s">
        <v>669</v>
      </c>
      <c r="C92" s="367" t="s">
        <v>670</v>
      </c>
      <c r="D92" s="367"/>
      <c r="E92" s="367" t="s">
        <v>671</v>
      </c>
      <c r="F92" s="371" t="s">
        <v>138</v>
      </c>
      <c r="G92" s="372">
        <f>G93+G94</f>
        <v>123527</v>
      </c>
      <c r="H92" s="372">
        <f>H93+H94</f>
        <v>0</v>
      </c>
      <c r="I92" s="372">
        <f t="shared" si="7"/>
        <v>123527</v>
      </c>
    </row>
    <row r="93" spans="2:9" ht="60" x14ac:dyDescent="0.2">
      <c r="B93" s="378" t="s">
        <v>672</v>
      </c>
      <c r="C93" s="378" t="s">
        <v>673</v>
      </c>
      <c r="D93" s="378" t="s">
        <v>377</v>
      </c>
      <c r="E93" s="378" t="s">
        <v>747</v>
      </c>
      <c r="F93" s="396" t="s">
        <v>138</v>
      </c>
      <c r="G93" s="376">
        <f>'dod3'!E94</f>
        <v>123359</v>
      </c>
      <c r="H93" s="376">
        <f>'dod3'!J94</f>
        <v>0</v>
      </c>
      <c r="I93" s="376">
        <f t="shared" si="7"/>
        <v>123359</v>
      </c>
    </row>
    <row r="94" spans="2:9" ht="45" x14ac:dyDescent="0.2">
      <c r="B94" s="378" t="s">
        <v>674</v>
      </c>
      <c r="C94" s="378" t="s">
        <v>675</v>
      </c>
      <c r="D94" s="378" t="s">
        <v>377</v>
      </c>
      <c r="E94" s="378" t="s">
        <v>748</v>
      </c>
      <c r="F94" s="396" t="s">
        <v>138</v>
      </c>
      <c r="G94" s="376">
        <f>'dod3'!E95</f>
        <v>168</v>
      </c>
      <c r="H94" s="376">
        <f>'dod3'!J95</f>
        <v>0</v>
      </c>
      <c r="I94" s="376">
        <f t="shared" si="7"/>
        <v>168</v>
      </c>
    </row>
    <row r="95" spans="2:9" ht="75" x14ac:dyDescent="0.2">
      <c r="B95" s="367" t="s">
        <v>751</v>
      </c>
      <c r="C95" s="367" t="s">
        <v>750</v>
      </c>
      <c r="D95" s="367" t="s">
        <v>117</v>
      </c>
      <c r="E95" s="367" t="s">
        <v>749</v>
      </c>
      <c r="F95" s="371" t="s">
        <v>138</v>
      </c>
      <c r="G95" s="372">
        <f>'dod3'!E96</f>
        <v>2026990</v>
      </c>
      <c r="H95" s="372">
        <f>'dod3'!J96</f>
        <v>0</v>
      </c>
      <c r="I95" s="368">
        <f t="shared" si="7"/>
        <v>2026990</v>
      </c>
    </row>
    <row r="96" spans="2:9" ht="30" x14ac:dyDescent="0.2">
      <c r="B96" s="367" t="s">
        <v>676</v>
      </c>
      <c r="C96" s="367" t="s">
        <v>677</v>
      </c>
      <c r="D96" s="367"/>
      <c r="E96" s="464" t="s">
        <v>50</v>
      </c>
      <c r="F96" s="371" t="s">
        <v>138</v>
      </c>
      <c r="G96" s="368">
        <f>G97</f>
        <v>500000</v>
      </c>
      <c r="H96" s="368">
        <f>H97</f>
        <v>0</v>
      </c>
      <c r="I96" s="368">
        <f t="shared" si="7"/>
        <v>500000</v>
      </c>
    </row>
    <row r="97" spans="1:12" ht="45" x14ac:dyDescent="0.2">
      <c r="B97" s="378" t="s">
        <v>678</v>
      </c>
      <c r="C97" s="378" t="s">
        <v>679</v>
      </c>
      <c r="D97" s="378" t="s">
        <v>385</v>
      </c>
      <c r="E97" s="378" t="s">
        <v>752</v>
      </c>
      <c r="F97" s="396" t="s">
        <v>138</v>
      </c>
      <c r="G97" s="379">
        <f>'dod3'!E98</f>
        <v>500000</v>
      </c>
      <c r="H97" s="379"/>
      <c r="I97" s="379">
        <f t="shared" si="7"/>
        <v>500000</v>
      </c>
    </row>
    <row r="98" spans="1:12" ht="90" x14ac:dyDescent="0.2">
      <c r="B98" s="689" t="s">
        <v>503</v>
      </c>
      <c r="C98" s="689" t="s">
        <v>362</v>
      </c>
      <c r="D98" s="689" t="s">
        <v>353</v>
      </c>
      <c r="E98" s="490" t="s">
        <v>680</v>
      </c>
      <c r="F98" s="693" t="s">
        <v>138</v>
      </c>
      <c r="G98" s="695">
        <f>'dod3'!E103</f>
        <v>851000</v>
      </c>
      <c r="H98" s="695"/>
      <c r="I98" s="695">
        <f t="shared" si="4"/>
        <v>851000</v>
      </c>
    </row>
    <row r="99" spans="1:12" ht="78.75" customHeight="1" x14ac:dyDescent="0.2">
      <c r="B99" s="690"/>
      <c r="C99" s="690"/>
      <c r="D99" s="690"/>
      <c r="E99" s="491" t="s">
        <v>681</v>
      </c>
      <c r="F99" s="694"/>
      <c r="G99" s="696"/>
      <c r="H99" s="696"/>
      <c r="I99" s="700"/>
    </row>
    <row r="100" spans="1:12" ht="30" x14ac:dyDescent="0.2">
      <c r="B100" s="367" t="s">
        <v>684</v>
      </c>
      <c r="C100" s="367" t="s">
        <v>685</v>
      </c>
      <c r="D100" s="367"/>
      <c r="E100" s="367" t="s">
        <v>364</v>
      </c>
      <c r="F100" s="371" t="s">
        <v>138</v>
      </c>
      <c r="G100" s="368">
        <f>'dod3'!E105</f>
        <v>29106650</v>
      </c>
      <c r="H100" s="368">
        <f>'dod3'!J105</f>
        <v>697800</v>
      </c>
      <c r="I100" s="368">
        <f t="shared" ref="I100:I146" si="8">G100+H100</f>
        <v>29804450</v>
      </c>
    </row>
    <row r="101" spans="1:12" ht="45" x14ac:dyDescent="0.2">
      <c r="B101" s="378" t="s">
        <v>682</v>
      </c>
      <c r="C101" s="378" t="s">
        <v>686</v>
      </c>
      <c r="D101" s="378" t="s">
        <v>363</v>
      </c>
      <c r="E101" s="448" t="s">
        <v>688</v>
      </c>
      <c r="F101" s="396" t="s">
        <v>138</v>
      </c>
      <c r="G101" s="379">
        <f>'dod3'!E106</f>
        <v>3454700</v>
      </c>
      <c r="H101" s="379">
        <f>'dod3'!J106</f>
        <v>117800</v>
      </c>
      <c r="I101" s="379">
        <f t="shared" si="8"/>
        <v>3572500</v>
      </c>
    </row>
    <row r="102" spans="1:12" ht="45" x14ac:dyDescent="0.2">
      <c r="B102" s="378" t="s">
        <v>683</v>
      </c>
      <c r="C102" s="378" t="s">
        <v>687</v>
      </c>
      <c r="D102" s="378" t="s">
        <v>363</v>
      </c>
      <c r="E102" s="448" t="s">
        <v>689</v>
      </c>
      <c r="F102" s="396" t="s">
        <v>138</v>
      </c>
      <c r="G102" s="379">
        <f>'dod3'!E107-G103</f>
        <v>22511100</v>
      </c>
      <c r="H102" s="379">
        <f>'dod3'!J107-H103</f>
        <v>280000</v>
      </c>
      <c r="I102" s="379">
        <f t="shared" si="8"/>
        <v>22791100</v>
      </c>
    </row>
    <row r="103" spans="1:12" ht="75" x14ac:dyDescent="0.2">
      <c r="B103" s="378" t="s">
        <v>683</v>
      </c>
      <c r="C103" s="378" t="s">
        <v>687</v>
      </c>
      <c r="D103" s="378" t="s">
        <v>363</v>
      </c>
      <c r="E103" s="448" t="s">
        <v>689</v>
      </c>
      <c r="F103" s="396" t="s">
        <v>1003</v>
      </c>
      <c r="G103" s="379">
        <f>(1000000+500000+104400+640730+396720+180000+120000)+199000</f>
        <v>3140850</v>
      </c>
      <c r="H103" s="379">
        <v>300000</v>
      </c>
      <c r="I103" s="379">
        <f t="shared" si="8"/>
        <v>3440850</v>
      </c>
    </row>
    <row r="104" spans="1:12" ht="75" x14ac:dyDescent="0.2">
      <c r="B104" s="367" t="s">
        <v>832</v>
      </c>
      <c r="C104" s="367" t="s">
        <v>706</v>
      </c>
      <c r="D104" s="367"/>
      <c r="E104" s="367" t="s">
        <v>833</v>
      </c>
      <c r="F104" s="371" t="s">
        <v>1003</v>
      </c>
      <c r="G104" s="368">
        <f>G105</f>
        <v>0</v>
      </c>
      <c r="H104" s="368">
        <f>H105</f>
        <v>2534347</v>
      </c>
      <c r="I104" s="368">
        <f t="shared" si="8"/>
        <v>2534347</v>
      </c>
    </row>
    <row r="105" spans="1:12" ht="75" x14ac:dyDescent="0.2">
      <c r="B105" s="378" t="s">
        <v>836</v>
      </c>
      <c r="C105" s="378" t="s">
        <v>834</v>
      </c>
      <c r="D105" s="378" t="s">
        <v>708</v>
      </c>
      <c r="E105" s="448" t="s">
        <v>835</v>
      </c>
      <c r="F105" s="396" t="s">
        <v>1003</v>
      </c>
      <c r="G105" s="379">
        <f>'dod3'!E109</f>
        <v>0</v>
      </c>
      <c r="H105" s="379">
        <f>'dod3'!O109</f>
        <v>2534347</v>
      </c>
      <c r="I105" s="379">
        <f t="shared" si="8"/>
        <v>2534347</v>
      </c>
    </row>
    <row r="106" spans="1:12" ht="30" x14ac:dyDescent="0.2">
      <c r="B106" s="326">
        <v>1000000</v>
      </c>
      <c r="C106" s="326"/>
      <c r="D106" s="326"/>
      <c r="E106" s="282" t="s">
        <v>68</v>
      </c>
      <c r="F106" s="330"/>
      <c r="G106" s="405">
        <f>G107</f>
        <v>72933500</v>
      </c>
      <c r="H106" s="405">
        <f>H107</f>
        <v>14623555</v>
      </c>
      <c r="I106" s="405">
        <f t="shared" si="8"/>
        <v>87557055</v>
      </c>
    </row>
    <row r="107" spans="1:12" ht="28.5" x14ac:dyDescent="0.2">
      <c r="B107" s="327">
        <v>1010000</v>
      </c>
      <c r="C107" s="327"/>
      <c r="D107" s="327"/>
      <c r="E107" s="286" t="s">
        <v>94</v>
      </c>
      <c r="F107" s="330"/>
      <c r="G107" s="406">
        <f>SUM(G108:G119)-G115-G116-G117-G119+G120-G118</f>
        <v>72933500</v>
      </c>
      <c r="H107" s="406">
        <f>SUM(H108:H119)-H115-H116-H117-H119+H120-H118</f>
        <v>14623555</v>
      </c>
      <c r="I107" s="406">
        <f t="shared" ref="I107:I120" si="9">G107+H107</f>
        <v>87557055</v>
      </c>
      <c r="J107" s="30" t="b">
        <f>I107='dod3'!P111</f>
        <v>1</v>
      </c>
      <c r="K107" s="30" t="b">
        <f>G107='dod3'!E111</f>
        <v>1</v>
      </c>
      <c r="L107" s="30" t="b">
        <f>H107='dod3'!J111</f>
        <v>1</v>
      </c>
    </row>
    <row r="108" spans="1:12" ht="60" x14ac:dyDescent="0.2">
      <c r="B108" s="367" t="s">
        <v>49</v>
      </c>
      <c r="C108" s="367" t="s">
        <v>343</v>
      </c>
      <c r="D108" s="367" t="s">
        <v>344</v>
      </c>
      <c r="E108" s="367" t="s">
        <v>342</v>
      </c>
      <c r="F108" s="371" t="s">
        <v>28</v>
      </c>
      <c r="G108" s="368">
        <f>'dod3'!E112</f>
        <v>41628400</v>
      </c>
      <c r="H108" s="368">
        <f>'dod3'!J112</f>
        <v>8066835</v>
      </c>
      <c r="I108" s="368">
        <f>G108+H108</f>
        <v>49695235</v>
      </c>
    </row>
    <row r="109" spans="1:12" ht="60" x14ac:dyDescent="0.2">
      <c r="A109" s="30"/>
      <c r="B109" s="367" t="s">
        <v>325</v>
      </c>
      <c r="C109" s="367" t="s">
        <v>326</v>
      </c>
      <c r="D109" s="367" t="s">
        <v>330</v>
      </c>
      <c r="E109" s="367" t="s">
        <v>331</v>
      </c>
      <c r="F109" s="371" t="s">
        <v>28</v>
      </c>
      <c r="G109" s="368">
        <f>'dod3'!E113</f>
        <v>623000</v>
      </c>
      <c r="H109" s="368">
        <f>'dod3'!J113</f>
        <v>0</v>
      </c>
      <c r="I109" s="368">
        <f t="shared" si="9"/>
        <v>623000</v>
      </c>
    </row>
    <row r="110" spans="1:12" ht="60" x14ac:dyDescent="0.2">
      <c r="A110" s="30"/>
      <c r="B110" s="367" t="s">
        <v>332</v>
      </c>
      <c r="C110" s="367" t="s">
        <v>333</v>
      </c>
      <c r="D110" s="367" t="s">
        <v>334</v>
      </c>
      <c r="E110" s="367" t="s">
        <v>335</v>
      </c>
      <c r="F110" s="371" t="s">
        <v>28</v>
      </c>
      <c r="G110" s="368">
        <f>'dod3'!E114</f>
        <v>7110500</v>
      </c>
      <c r="H110" s="368">
        <f>'dod3'!J114</f>
        <v>627000</v>
      </c>
      <c r="I110" s="368">
        <f t="shared" si="9"/>
        <v>7737500</v>
      </c>
    </row>
    <row r="111" spans="1:12" ht="60" x14ac:dyDescent="0.2">
      <c r="A111" s="30"/>
      <c r="B111" s="367" t="s">
        <v>336</v>
      </c>
      <c r="C111" s="367" t="s">
        <v>337</v>
      </c>
      <c r="D111" s="367" t="s">
        <v>334</v>
      </c>
      <c r="E111" s="367" t="s">
        <v>338</v>
      </c>
      <c r="F111" s="371" t="s">
        <v>28</v>
      </c>
      <c r="G111" s="368">
        <f>'dod3'!E115</f>
        <v>1097900</v>
      </c>
      <c r="H111" s="368">
        <f>'dod3'!J115</f>
        <v>3332820</v>
      </c>
      <c r="I111" s="368">
        <f t="shared" si="9"/>
        <v>4430720</v>
      </c>
    </row>
    <row r="112" spans="1:12" ht="60" x14ac:dyDescent="0.2">
      <c r="A112" s="30"/>
      <c r="B112" s="367" t="s">
        <v>339</v>
      </c>
      <c r="C112" s="367" t="s">
        <v>327</v>
      </c>
      <c r="D112" s="367" t="s">
        <v>340</v>
      </c>
      <c r="E112" s="367" t="s">
        <v>341</v>
      </c>
      <c r="F112" s="371" t="s">
        <v>28</v>
      </c>
      <c r="G112" s="368">
        <f>'dod3'!E116</f>
        <v>5298100</v>
      </c>
      <c r="H112" s="368">
        <f>'dod3'!J116</f>
        <v>2348500</v>
      </c>
      <c r="I112" s="368">
        <f t="shared" si="9"/>
        <v>7646600</v>
      </c>
    </row>
    <row r="113" spans="1:12" ht="60" x14ac:dyDescent="0.2">
      <c r="A113" s="30"/>
      <c r="B113" s="367" t="s">
        <v>815</v>
      </c>
      <c r="C113" s="367" t="s">
        <v>816</v>
      </c>
      <c r="D113" s="367" t="s">
        <v>817</v>
      </c>
      <c r="E113" s="367" t="s">
        <v>814</v>
      </c>
      <c r="F113" s="371" t="s">
        <v>28</v>
      </c>
      <c r="G113" s="368">
        <f>'dod3'!E117</f>
        <v>110000</v>
      </c>
      <c r="H113" s="368">
        <f>'dod3'!J117</f>
        <v>0</v>
      </c>
      <c r="I113" s="368">
        <f t="shared" si="9"/>
        <v>110000</v>
      </c>
    </row>
    <row r="114" spans="1:12" ht="15" x14ac:dyDescent="0.2">
      <c r="A114" s="30"/>
      <c r="B114" s="367" t="s">
        <v>346</v>
      </c>
      <c r="C114" s="367" t="s">
        <v>347</v>
      </c>
      <c r="D114" s="367"/>
      <c r="E114" s="367" t="s">
        <v>345</v>
      </c>
      <c r="F114" s="371"/>
      <c r="G114" s="368">
        <f>'dod3'!E118</f>
        <v>17065600</v>
      </c>
      <c r="H114" s="368">
        <f>'dod3'!J118</f>
        <v>166600</v>
      </c>
      <c r="I114" s="368">
        <f t="shared" si="9"/>
        <v>17232200</v>
      </c>
    </row>
    <row r="115" spans="1:12" ht="37.5" customHeight="1" x14ac:dyDescent="0.2">
      <c r="A115" s="30"/>
      <c r="B115" s="378" t="s">
        <v>691</v>
      </c>
      <c r="C115" s="378" t="s">
        <v>692</v>
      </c>
      <c r="D115" s="378" t="s">
        <v>348</v>
      </c>
      <c r="E115" s="378" t="s">
        <v>690</v>
      </c>
      <c r="F115" s="396" t="s">
        <v>75</v>
      </c>
      <c r="G115" s="379">
        <v>231000</v>
      </c>
      <c r="H115" s="379">
        <v>0</v>
      </c>
      <c r="I115" s="379">
        <f t="shared" si="9"/>
        <v>231000</v>
      </c>
    </row>
    <row r="116" spans="1:12" ht="60" x14ac:dyDescent="0.2">
      <c r="A116" s="30"/>
      <c r="B116" s="378" t="s">
        <v>691</v>
      </c>
      <c r="C116" s="378" t="s">
        <v>692</v>
      </c>
      <c r="D116" s="378" t="s">
        <v>348</v>
      </c>
      <c r="E116" s="378" t="s">
        <v>690</v>
      </c>
      <c r="F116" s="396" t="s">
        <v>28</v>
      </c>
      <c r="G116" s="379">
        <f>'dod3'!E119-'dod8'!G115</f>
        <v>11549600</v>
      </c>
      <c r="H116" s="379">
        <f>'dod3'!J119-'dod8'!H115</f>
        <v>166600</v>
      </c>
      <c r="I116" s="379">
        <f t="shared" si="9"/>
        <v>11716200</v>
      </c>
    </row>
    <row r="117" spans="1:12" ht="35.25" customHeight="1" x14ac:dyDescent="0.2">
      <c r="A117" s="30"/>
      <c r="B117" s="378" t="s">
        <v>693</v>
      </c>
      <c r="C117" s="378" t="s">
        <v>694</v>
      </c>
      <c r="D117" s="378" t="s">
        <v>348</v>
      </c>
      <c r="E117" s="378" t="s">
        <v>695</v>
      </c>
      <c r="F117" s="396" t="s">
        <v>75</v>
      </c>
      <c r="G117" s="379">
        <v>211200</v>
      </c>
      <c r="H117" s="379">
        <v>0</v>
      </c>
      <c r="I117" s="379">
        <f t="shared" si="9"/>
        <v>211200</v>
      </c>
    </row>
    <row r="118" spans="1:12" ht="75" x14ac:dyDescent="0.2">
      <c r="A118" s="30"/>
      <c r="B118" s="378" t="s">
        <v>693</v>
      </c>
      <c r="C118" s="378" t="s">
        <v>694</v>
      </c>
      <c r="D118" s="378" t="s">
        <v>348</v>
      </c>
      <c r="E118" s="378" t="s">
        <v>695</v>
      </c>
      <c r="F118" s="396" t="s">
        <v>820</v>
      </c>
      <c r="G118" s="379">
        <v>235000</v>
      </c>
      <c r="H118" s="379"/>
      <c r="I118" s="379">
        <f t="shared" si="9"/>
        <v>235000</v>
      </c>
    </row>
    <row r="119" spans="1:12" ht="62.25" customHeight="1" x14ac:dyDescent="0.2">
      <c r="A119" s="30"/>
      <c r="B119" s="378" t="s">
        <v>693</v>
      </c>
      <c r="C119" s="378" t="s">
        <v>694</v>
      </c>
      <c r="D119" s="378" t="s">
        <v>348</v>
      </c>
      <c r="E119" s="378" t="s">
        <v>695</v>
      </c>
      <c r="F119" s="396" t="s">
        <v>28</v>
      </c>
      <c r="G119" s="379">
        <f>'dod3'!E120-'dod8'!G117-G118</f>
        <v>4838800</v>
      </c>
      <c r="H119" s="379">
        <f>'dod3'!J120-'dod8'!H117</f>
        <v>0</v>
      </c>
      <c r="I119" s="379">
        <f t="shared" si="9"/>
        <v>4838800</v>
      </c>
    </row>
    <row r="120" spans="1:12" ht="60" x14ac:dyDescent="0.2">
      <c r="A120" s="30"/>
      <c r="B120" s="367" t="s">
        <v>819</v>
      </c>
      <c r="C120" s="367" t="s">
        <v>373</v>
      </c>
      <c r="D120" s="367" t="s">
        <v>324</v>
      </c>
      <c r="E120" s="367" t="s">
        <v>818</v>
      </c>
      <c r="F120" s="371" t="s">
        <v>28</v>
      </c>
      <c r="G120" s="368">
        <f>'dod3'!E121</f>
        <v>0</v>
      </c>
      <c r="H120" s="368">
        <f>'dod3'!J121</f>
        <v>81800</v>
      </c>
      <c r="I120" s="368">
        <f t="shared" si="9"/>
        <v>81800</v>
      </c>
    </row>
    <row r="121" spans="1:12" ht="30" x14ac:dyDescent="0.2">
      <c r="A121" s="30"/>
      <c r="B121" s="282" t="s">
        <v>65</v>
      </c>
      <c r="C121" s="282"/>
      <c r="D121" s="282"/>
      <c r="E121" s="282" t="s">
        <v>66</v>
      </c>
      <c r="F121" s="407"/>
      <c r="G121" s="316">
        <f>G122</f>
        <v>41069186</v>
      </c>
      <c r="H121" s="316">
        <f>H122</f>
        <v>8473893.3200000003</v>
      </c>
      <c r="I121" s="316">
        <f t="shared" si="8"/>
        <v>49543079.32</v>
      </c>
    </row>
    <row r="122" spans="1:12" ht="28.5" x14ac:dyDescent="0.2">
      <c r="A122" s="30"/>
      <c r="B122" s="286" t="s">
        <v>64</v>
      </c>
      <c r="C122" s="286"/>
      <c r="D122" s="286"/>
      <c r="E122" s="286" t="s">
        <v>90</v>
      </c>
      <c r="F122" s="407"/>
      <c r="G122" s="317">
        <f>G123+G125+G129+G132+G134+G139+G144+G142+G145+G137</f>
        <v>41069186</v>
      </c>
      <c r="H122" s="317">
        <f>H123+H125+H129+H132+H134+H139+H144+H145+H137</f>
        <v>8473893.3200000003</v>
      </c>
      <c r="I122" s="317">
        <f t="shared" si="8"/>
        <v>49543079.32</v>
      </c>
      <c r="J122" s="30" t="b">
        <f>I122='dod3'!P123+'dod4'!I14-'dod3'!P146</f>
        <v>1</v>
      </c>
      <c r="K122" s="30" t="b">
        <f>G122='dod3'!E123-'dod3'!E146</f>
        <v>1</v>
      </c>
      <c r="L122" s="30" t="b">
        <f>H122='dod3'!J123+'dod4'!I14</f>
        <v>1</v>
      </c>
    </row>
    <row r="123" spans="1:12" ht="45" x14ac:dyDescent="0.2">
      <c r="A123" s="30"/>
      <c r="B123" s="367" t="s">
        <v>349</v>
      </c>
      <c r="C123" s="367" t="s">
        <v>350</v>
      </c>
      <c r="D123" s="367"/>
      <c r="E123" s="367" t="s">
        <v>106</v>
      </c>
      <c r="F123" s="371" t="s">
        <v>141</v>
      </c>
      <c r="G123" s="372">
        <f>G124</f>
        <v>2670218</v>
      </c>
      <c r="H123" s="372">
        <f>H124</f>
        <v>153092</v>
      </c>
      <c r="I123" s="372">
        <f t="shared" si="8"/>
        <v>2823310</v>
      </c>
    </row>
    <row r="124" spans="1:12" ht="75" x14ac:dyDescent="0.2">
      <c r="A124" s="30"/>
      <c r="B124" s="378" t="s">
        <v>351</v>
      </c>
      <c r="C124" s="378" t="s">
        <v>352</v>
      </c>
      <c r="D124" s="378" t="s">
        <v>353</v>
      </c>
      <c r="E124" s="378" t="s">
        <v>354</v>
      </c>
      <c r="F124" s="396" t="s">
        <v>141</v>
      </c>
      <c r="G124" s="376">
        <f>'dod3'!E125</f>
        <v>2670218</v>
      </c>
      <c r="H124" s="376">
        <f>'dod3'!J125</f>
        <v>153092</v>
      </c>
      <c r="I124" s="376">
        <f t="shared" si="8"/>
        <v>2823310</v>
      </c>
    </row>
    <row r="125" spans="1:12" ht="45" x14ac:dyDescent="0.2">
      <c r="A125" s="30"/>
      <c r="B125" s="367" t="s">
        <v>105</v>
      </c>
      <c r="C125" s="367" t="s">
        <v>328</v>
      </c>
      <c r="D125" s="367"/>
      <c r="E125" s="367" t="s">
        <v>76</v>
      </c>
      <c r="F125" s="371" t="s">
        <v>141</v>
      </c>
      <c r="G125" s="372">
        <f>G126+G127+G128</f>
        <v>5514522</v>
      </c>
      <c r="H125" s="372">
        <f>H126+H127+H128</f>
        <v>1356872</v>
      </c>
      <c r="I125" s="372">
        <f t="shared" si="8"/>
        <v>6871394</v>
      </c>
    </row>
    <row r="126" spans="1:12" ht="75" x14ac:dyDescent="0.2">
      <c r="A126" s="30"/>
      <c r="B126" s="378" t="s">
        <v>104</v>
      </c>
      <c r="C126" s="378" t="s">
        <v>329</v>
      </c>
      <c r="D126" s="378" t="s">
        <v>353</v>
      </c>
      <c r="E126" s="378" t="s">
        <v>33</v>
      </c>
      <c r="F126" s="396" t="s">
        <v>141</v>
      </c>
      <c r="G126" s="376">
        <f>'dod3'!E127</f>
        <v>789000</v>
      </c>
      <c r="H126" s="376">
        <f>'dod3'!J127</f>
        <v>0</v>
      </c>
      <c r="I126" s="376">
        <f t="shared" si="8"/>
        <v>789000</v>
      </c>
    </row>
    <row r="127" spans="1:12" ht="75" x14ac:dyDescent="0.2">
      <c r="A127" s="30"/>
      <c r="B127" s="378" t="s">
        <v>360</v>
      </c>
      <c r="C127" s="378" t="s">
        <v>361</v>
      </c>
      <c r="D127" s="378" t="s">
        <v>353</v>
      </c>
      <c r="E127" s="378" t="s">
        <v>34</v>
      </c>
      <c r="F127" s="396" t="s">
        <v>141</v>
      </c>
      <c r="G127" s="376">
        <f>'dod3'!E128</f>
        <v>3061125</v>
      </c>
      <c r="H127" s="376">
        <f>'dod3'!J128</f>
        <v>956872</v>
      </c>
      <c r="I127" s="376">
        <f t="shared" si="8"/>
        <v>4017997</v>
      </c>
    </row>
    <row r="128" spans="1:12" ht="75" x14ac:dyDescent="0.2">
      <c r="A128" s="30"/>
      <c r="B128" s="378" t="s">
        <v>761</v>
      </c>
      <c r="C128" s="378" t="s">
        <v>762</v>
      </c>
      <c r="D128" s="378" t="s">
        <v>353</v>
      </c>
      <c r="E128" s="378" t="s">
        <v>763</v>
      </c>
      <c r="F128" s="396" t="s">
        <v>141</v>
      </c>
      <c r="G128" s="376">
        <f>'dod3'!E129</f>
        <v>1664397</v>
      </c>
      <c r="H128" s="376">
        <f>'dod3'!J129</f>
        <v>400000</v>
      </c>
      <c r="I128" s="376">
        <f t="shared" si="8"/>
        <v>2064397</v>
      </c>
    </row>
    <row r="129" spans="1:9" ht="45" x14ac:dyDescent="0.2">
      <c r="A129" s="30"/>
      <c r="B129" s="367" t="s">
        <v>107</v>
      </c>
      <c r="C129" s="367" t="s">
        <v>355</v>
      </c>
      <c r="D129" s="367"/>
      <c r="E129" s="367" t="s">
        <v>108</v>
      </c>
      <c r="F129" s="371" t="s">
        <v>141</v>
      </c>
      <c r="G129" s="372">
        <f>G130+G131</f>
        <v>10797100</v>
      </c>
      <c r="H129" s="372">
        <f>H130+H131</f>
        <v>0</v>
      </c>
      <c r="I129" s="372">
        <f t="shared" si="8"/>
        <v>10797100</v>
      </c>
    </row>
    <row r="130" spans="1:9" ht="75" x14ac:dyDescent="0.2">
      <c r="A130" s="30"/>
      <c r="B130" s="378" t="s">
        <v>109</v>
      </c>
      <c r="C130" s="378" t="s">
        <v>356</v>
      </c>
      <c r="D130" s="378" t="s">
        <v>370</v>
      </c>
      <c r="E130" s="378" t="s">
        <v>110</v>
      </c>
      <c r="F130" s="396" t="s">
        <v>141</v>
      </c>
      <c r="G130" s="376">
        <f>'dod3'!E131</f>
        <v>9084900</v>
      </c>
      <c r="H130" s="376">
        <f>'dod3'!J131</f>
        <v>0</v>
      </c>
      <c r="I130" s="376">
        <f t="shared" si="8"/>
        <v>9084900</v>
      </c>
    </row>
    <row r="131" spans="1:9" ht="75" x14ac:dyDescent="0.2">
      <c r="A131" s="30"/>
      <c r="B131" s="378" t="s">
        <v>111</v>
      </c>
      <c r="C131" s="378" t="s">
        <v>357</v>
      </c>
      <c r="D131" s="378" t="s">
        <v>370</v>
      </c>
      <c r="E131" s="378" t="s">
        <v>11</v>
      </c>
      <c r="F131" s="396" t="s">
        <v>141</v>
      </c>
      <c r="G131" s="376">
        <f>'dod3'!E132</f>
        <v>1712200</v>
      </c>
      <c r="H131" s="376">
        <f>'dod3'!J132</f>
        <v>0</v>
      </c>
      <c r="I131" s="376">
        <f t="shared" si="8"/>
        <v>1712200</v>
      </c>
    </row>
    <row r="132" spans="1:9" ht="71.25" customHeight="1" x14ac:dyDescent="0.2">
      <c r="A132" s="30"/>
      <c r="B132" s="367" t="s">
        <v>112</v>
      </c>
      <c r="C132" s="367" t="s">
        <v>358</v>
      </c>
      <c r="D132" s="367"/>
      <c r="E132" s="367" t="s">
        <v>753</v>
      </c>
      <c r="F132" s="371" t="s">
        <v>141</v>
      </c>
      <c r="G132" s="372">
        <f>G133</f>
        <v>11500</v>
      </c>
      <c r="H132" s="372">
        <f>H133</f>
        <v>0</v>
      </c>
      <c r="I132" s="372">
        <f t="shared" si="8"/>
        <v>11500</v>
      </c>
    </row>
    <row r="133" spans="1:9" ht="75" x14ac:dyDescent="0.2">
      <c r="A133" s="30"/>
      <c r="B133" s="378" t="s">
        <v>113</v>
      </c>
      <c r="C133" s="378" t="s">
        <v>359</v>
      </c>
      <c r="D133" s="378" t="s">
        <v>370</v>
      </c>
      <c r="E133" s="378" t="s">
        <v>754</v>
      </c>
      <c r="F133" s="396" t="s">
        <v>141</v>
      </c>
      <c r="G133" s="376">
        <f>'dod3'!E134</f>
        <v>11500</v>
      </c>
      <c r="H133" s="376">
        <f>'dod3'!J134</f>
        <v>0</v>
      </c>
      <c r="I133" s="376">
        <f t="shared" si="8"/>
        <v>11500</v>
      </c>
    </row>
    <row r="134" spans="1:9" ht="66" customHeight="1" x14ac:dyDescent="0.2">
      <c r="A134" s="30"/>
      <c r="B134" s="367" t="s">
        <v>78</v>
      </c>
      <c r="C134" s="367" t="s">
        <v>365</v>
      </c>
      <c r="D134" s="367"/>
      <c r="E134" s="367" t="s">
        <v>79</v>
      </c>
      <c r="F134" s="371" t="s">
        <v>141</v>
      </c>
      <c r="G134" s="372">
        <f>G135+G136</f>
        <v>20317598</v>
      </c>
      <c r="H134" s="372">
        <f>H135+H136</f>
        <v>4287229.32</v>
      </c>
      <c r="I134" s="372">
        <f t="shared" si="8"/>
        <v>24604827.32</v>
      </c>
    </row>
    <row r="135" spans="1:9" ht="75" x14ac:dyDescent="0.2">
      <c r="A135" s="30"/>
      <c r="B135" s="378" t="s">
        <v>77</v>
      </c>
      <c r="C135" s="378" t="s">
        <v>366</v>
      </c>
      <c r="D135" s="378" t="s">
        <v>370</v>
      </c>
      <c r="E135" s="378" t="s">
        <v>114</v>
      </c>
      <c r="F135" s="396" t="s">
        <v>141</v>
      </c>
      <c r="G135" s="376">
        <f>'dod3'!E136</f>
        <v>16494908</v>
      </c>
      <c r="H135" s="376">
        <f>'dod3'!J136</f>
        <v>4287229.32</v>
      </c>
      <c r="I135" s="376">
        <f t="shared" si="8"/>
        <v>20782137.32</v>
      </c>
    </row>
    <row r="136" spans="1:9" ht="75" x14ac:dyDescent="0.2">
      <c r="A136" s="30"/>
      <c r="B136" s="378" t="s">
        <v>80</v>
      </c>
      <c r="C136" s="378" t="s">
        <v>367</v>
      </c>
      <c r="D136" s="378" t="s">
        <v>370</v>
      </c>
      <c r="E136" s="378" t="s">
        <v>115</v>
      </c>
      <c r="F136" s="396" t="s">
        <v>141</v>
      </c>
      <c r="G136" s="376">
        <f>'dod3'!E137</f>
        <v>3822690</v>
      </c>
      <c r="H136" s="376">
        <f>'dod3'!J137</f>
        <v>0</v>
      </c>
      <c r="I136" s="376">
        <f t="shared" si="8"/>
        <v>3822690</v>
      </c>
    </row>
    <row r="137" spans="1:9" ht="45" x14ac:dyDescent="0.2">
      <c r="A137" s="30"/>
      <c r="B137" s="544" t="s">
        <v>1008</v>
      </c>
      <c r="C137" s="544" t="s">
        <v>1009</v>
      </c>
      <c r="D137" s="544"/>
      <c r="E137" s="544" t="s">
        <v>1007</v>
      </c>
      <c r="F137" s="371" t="s">
        <v>141</v>
      </c>
      <c r="G137" s="372">
        <f>'dod3'!E138</f>
        <v>25000</v>
      </c>
      <c r="H137" s="372">
        <f>'dod3'!J138</f>
        <v>0</v>
      </c>
      <c r="I137" s="372">
        <f t="shared" si="8"/>
        <v>25000</v>
      </c>
    </row>
    <row r="138" spans="1:9" ht="75" x14ac:dyDescent="0.2">
      <c r="A138" s="30"/>
      <c r="B138" s="541" t="s">
        <v>1011</v>
      </c>
      <c r="C138" s="541" t="s">
        <v>1012</v>
      </c>
      <c r="D138" s="541" t="s">
        <v>370</v>
      </c>
      <c r="E138" s="541" t="s">
        <v>1010</v>
      </c>
      <c r="F138" s="396" t="s">
        <v>141</v>
      </c>
      <c r="G138" s="376">
        <f>'dod3'!E139</f>
        <v>25000</v>
      </c>
      <c r="H138" s="376">
        <f>'dod3'!J139</f>
        <v>0</v>
      </c>
      <c r="I138" s="376">
        <f t="shared" si="8"/>
        <v>25000</v>
      </c>
    </row>
    <row r="139" spans="1:9" ht="60.75" customHeight="1" x14ac:dyDescent="0.2">
      <c r="A139" s="30"/>
      <c r="B139" s="367" t="s">
        <v>116</v>
      </c>
      <c r="C139" s="367" t="s">
        <v>368</v>
      </c>
      <c r="D139" s="367"/>
      <c r="E139" s="367" t="s">
        <v>81</v>
      </c>
      <c r="F139" s="371" t="s">
        <v>141</v>
      </c>
      <c r="G139" s="372">
        <f>G140+G141</f>
        <v>1722328</v>
      </c>
      <c r="H139" s="372">
        <f>H140+H141</f>
        <v>89400</v>
      </c>
      <c r="I139" s="372">
        <f t="shared" si="8"/>
        <v>1811728</v>
      </c>
    </row>
    <row r="140" spans="1:9" ht="75" x14ac:dyDescent="0.2">
      <c r="A140" s="30"/>
      <c r="B140" s="398" t="s">
        <v>82</v>
      </c>
      <c r="C140" s="398" t="s">
        <v>369</v>
      </c>
      <c r="D140" s="398" t="s">
        <v>370</v>
      </c>
      <c r="E140" s="378" t="s">
        <v>83</v>
      </c>
      <c r="F140" s="396" t="s">
        <v>141</v>
      </c>
      <c r="G140" s="376">
        <f>'dod3'!E141</f>
        <v>722400</v>
      </c>
      <c r="H140" s="376">
        <f>'dod3'!J141</f>
        <v>0</v>
      </c>
      <c r="I140" s="376">
        <f t="shared" si="8"/>
        <v>722400</v>
      </c>
    </row>
    <row r="141" spans="1:9" ht="75" x14ac:dyDescent="0.2">
      <c r="A141" s="30"/>
      <c r="B141" s="398" t="s">
        <v>84</v>
      </c>
      <c r="C141" s="398" t="s">
        <v>371</v>
      </c>
      <c r="D141" s="398" t="s">
        <v>370</v>
      </c>
      <c r="E141" s="378" t="s">
        <v>85</v>
      </c>
      <c r="F141" s="396" t="s">
        <v>141</v>
      </c>
      <c r="G141" s="376">
        <f>'dod3'!E142</f>
        <v>999928</v>
      </c>
      <c r="H141" s="376">
        <f>'dod3'!J142</f>
        <v>89400</v>
      </c>
      <c r="I141" s="376">
        <f t="shared" si="8"/>
        <v>1089328</v>
      </c>
    </row>
    <row r="142" spans="1:9" ht="45" x14ac:dyDescent="0.2">
      <c r="A142" s="30"/>
      <c r="B142" s="399" t="s">
        <v>704</v>
      </c>
      <c r="C142" s="399" t="s">
        <v>706</v>
      </c>
      <c r="D142" s="399"/>
      <c r="E142" s="367" t="s">
        <v>705</v>
      </c>
      <c r="F142" s="371" t="s">
        <v>141</v>
      </c>
      <c r="G142" s="372">
        <f>'dod3'!E143</f>
        <v>10920</v>
      </c>
      <c r="H142" s="372">
        <f>'dod3'!J143</f>
        <v>0</v>
      </c>
      <c r="I142" s="372">
        <f t="shared" si="8"/>
        <v>10920</v>
      </c>
    </row>
    <row r="143" spans="1:9" ht="75" x14ac:dyDescent="0.2">
      <c r="A143" s="30"/>
      <c r="B143" s="398" t="s">
        <v>710</v>
      </c>
      <c r="C143" s="398" t="s">
        <v>709</v>
      </c>
      <c r="D143" s="398" t="s">
        <v>708</v>
      </c>
      <c r="E143" s="378" t="s">
        <v>707</v>
      </c>
      <c r="F143" s="396" t="s">
        <v>141</v>
      </c>
      <c r="G143" s="376">
        <f>'dod3'!E144</f>
        <v>10920</v>
      </c>
      <c r="H143" s="400">
        <f>'dod3'!J144</f>
        <v>0</v>
      </c>
      <c r="I143" s="376">
        <f t="shared" si="8"/>
        <v>10920</v>
      </c>
    </row>
    <row r="144" spans="1:9" ht="75" x14ac:dyDescent="0.2">
      <c r="A144" s="30"/>
      <c r="B144" s="399" t="s">
        <v>372</v>
      </c>
      <c r="C144" s="399" t="s">
        <v>373</v>
      </c>
      <c r="D144" s="399" t="s">
        <v>324</v>
      </c>
      <c r="E144" s="367" t="s">
        <v>89</v>
      </c>
      <c r="F144" s="396" t="s">
        <v>141</v>
      </c>
      <c r="G144" s="372">
        <f>'dod3'!E145</f>
        <v>0</v>
      </c>
      <c r="H144" s="372">
        <f>'dod3'!J145</f>
        <v>2405300</v>
      </c>
      <c r="I144" s="372">
        <f t="shared" si="8"/>
        <v>2405300</v>
      </c>
    </row>
    <row r="145" spans="1:12" ht="45" x14ac:dyDescent="0.2">
      <c r="A145" s="30"/>
      <c r="B145" s="401" t="s">
        <v>793</v>
      </c>
      <c r="C145" s="401" t="s">
        <v>794</v>
      </c>
      <c r="D145" s="401"/>
      <c r="E145" s="402" t="s">
        <v>792</v>
      </c>
      <c r="F145" s="371" t="s">
        <v>141</v>
      </c>
      <c r="G145" s="372">
        <f>G146</f>
        <v>0</v>
      </c>
      <c r="H145" s="372">
        <f>H146</f>
        <v>182000</v>
      </c>
      <c r="I145" s="372">
        <f t="shared" si="8"/>
        <v>182000</v>
      </c>
    </row>
    <row r="146" spans="1:12" ht="75" x14ac:dyDescent="0.2">
      <c r="A146" s="30"/>
      <c r="B146" s="403" t="s">
        <v>795</v>
      </c>
      <c r="C146" s="403" t="s">
        <v>797</v>
      </c>
      <c r="D146" s="403" t="s">
        <v>117</v>
      </c>
      <c r="E146" s="404" t="s">
        <v>374</v>
      </c>
      <c r="F146" s="396" t="s">
        <v>141</v>
      </c>
      <c r="G146" s="372">
        <f>'dod4'!F12</f>
        <v>0</v>
      </c>
      <c r="H146" s="376">
        <f>'dod4'!G12</f>
        <v>182000</v>
      </c>
      <c r="I146" s="376">
        <f t="shared" si="8"/>
        <v>182000</v>
      </c>
    </row>
    <row r="147" spans="1:12" ht="45" x14ac:dyDescent="0.2">
      <c r="A147" s="334"/>
      <c r="B147" s="282" t="s">
        <v>312</v>
      </c>
      <c r="C147" s="282"/>
      <c r="D147" s="282"/>
      <c r="E147" s="282" t="s">
        <v>67</v>
      </c>
      <c r="F147" s="462"/>
      <c r="G147" s="316">
        <f>G148</f>
        <v>196989384.26999998</v>
      </c>
      <c r="H147" s="316">
        <f>H148</f>
        <v>219539402.97</v>
      </c>
      <c r="I147" s="316">
        <f>I148</f>
        <v>416528787.24000001</v>
      </c>
    </row>
    <row r="148" spans="1:12" ht="42.75" x14ac:dyDescent="0.2">
      <c r="A148" s="334"/>
      <c r="B148" s="286" t="s">
        <v>313</v>
      </c>
      <c r="C148" s="282"/>
      <c r="D148" s="282"/>
      <c r="E148" s="286" t="s">
        <v>95</v>
      </c>
      <c r="F148" s="462"/>
      <c r="G148" s="332">
        <f>G149+G155+G156+G159+G163+G165+G167+G168+G169+G170+G157+G161+G158</f>
        <v>196989384.26999998</v>
      </c>
      <c r="H148" s="332">
        <f>H149+H155+H156+H159+H160+H163+H165+H167+H168+H169+H170+H161</f>
        <v>219539402.97</v>
      </c>
      <c r="I148" s="317">
        <f>G148+H148</f>
        <v>416528787.24000001</v>
      </c>
      <c r="J148" s="30" t="b">
        <f>I148='dod3'!P148</f>
        <v>1</v>
      </c>
      <c r="K148" s="30" t="b">
        <f>G148='dod3'!E148</f>
        <v>1</v>
      </c>
      <c r="L148" s="30" t="b">
        <f>H148='dod3'!J148</f>
        <v>1</v>
      </c>
    </row>
    <row r="149" spans="1:12" ht="30" x14ac:dyDescent="0.2">
      <c r="A149" s="30"/>
      <c r="B149" s="367" t="s">
        <v>527</v>
      </c>
      <c r="C149" s="367" t="s">
        <v>528</v>
      </c>
      <c r="D149" s="367"/>
      <c r="E149" s="367" t="s">
        <v>531</v>
      </c>
      <c r="F149" s="371"/>
      <c r="G149" s="370">
        <f>SUM(G150:G154)</f>
        <v>19309669</v>
      </c>
      <c r="H149" s="370">
        <f>SUM(H150:H154)</f>
        <v>41471500</v>
      </c>
      <c r="I149" s="372">
        <f t="shared" ref="I149:I170" si="10">G149+H149</f>
        <v>60781169</v>
      </c>
      <c r="J149" s="195"/>
      <c r="K149" s="195"/>
    </row>
    <row r="150" spans="1:12" ht="90" x14ac:dyDescent="0.2">
      <c r="A150" s="30"/>
      <c r="B150" s="378" t="s">
        <v>529</v>
      </c>
      <c r="C150" s="378" t="s">
        <v>530</v>
      </c>
      <c r="D150" s="378" t="s">
        <v>533</v>
      </c>
      <c r="E150" s="378" t="s">
        <v>532</v>
      </c>
      <c r="F150" s="371" t="s">
        <v>637</v>
      </c>
      <c r="G150" s="460">
        <f>'dod3'!E150</f>
        <v>3264869</v>
      </c>
      <c r="H150" s="376">
        <f>'dod3'!J150</f>
        <v>5071500</v>
      </c>
      <c r="I150" s="376">
        <f>G150+H150</f>
        <v>8336369</v>
      </c>
    </row>
    <row r="151" spans="1:12" ht="45" x14ac:dyDescent="0.2">
      <c r="A151" s="30"/>
      <c r="B151" s="546" t="s">
        <v>975</v>
      </c>
      <c r="C151" s="546" t="s">
        <v>976</v>
      </c>
      <c r="D151" s="546" t="s">
        <v>533</v>
      </c>
      <c r="E151" s="546" t="s">
        <v>977</v>
      </c>
      <c r="F151" s="371" t="s">
        <v>638</v>
      </c>
      <c r="G151" s="460">
        <f>'dod3'!E151</f>
        <v>13000000</v>
      </c>
      <c r="H151" s="376">
        <f>'dod3'!J151</f>
        <v>0</v>
      </c>
      <c r="I151" s="376">
        <f>G151+H151</f>
        <v>13000000</v>
      </c>
    </row>
    <row r="152" spans="1:12" ht="45" x14ac:dyDescent="0.2">
      <c r="A152" s="30"/>
      <c r="B152" s="378" t="s">
        <v>537</v>
      </c>
      <c r="C152" s="378" t="s">
        <v>538</v>
      </c>
      <c r="D152" s="378" t="s">
        <v>533</v>
      </c>
      <c r="E152" s="378" t="s">
        <v>539</v>
      </c>
      <c r="F152" s="371" t="s">
        <v>638</v>
      </c>
      <c r="G152" s="460">
        <f>'dod3'!E152</f>
        <v>2984800</v>
      </c>
      <c r="H152" s="376">
        <f>'dod3'!J152</f>
        <v>0</v>
      </c>
      <c r="I152" s="376">
        <f t="shared" si="10"/>
        <v>2984800</v>
      </c>
    </row>
    <row r="153" spans="1:12" ht="90" x14ac:dyDescent="0.2">
      <c r="A153" s="30"/>
      <c r="B153" s="378" t="s">
        <v>567</v>
      </c>
      <c r="C153" s="378" t="s">
        <v>568</v>
      </c>
      <c r="D153" s="378" t="s">
        <v>533</v>
      </c>
      <c r="E153" s="378" t="s">
        <v>569</v>
      </c>
      <c r="F153" s="371" t="s">
        <v>637</v>
      </c>
      <c r="G153" s="460">
        <f>'dod3'!E153</f>
        <v>0</v>
      </c>
      <c r="H153" s="376">
        <f>'dod3'!J153</f>
        <v>5600000</v>
      </c>
      <c r="I153" s="376">
        <f t="shared" si="10"/>
        <v>5600000</v>
      </c>
    </row>
    <row r="154" spans="1:12" ht="90" x14ac:dyDescent="0.2">
      <c r="A154" s="30"/>
      <c r="B154" s="378" t="s">
        <v>534</v>
      </c>
      <c r="C154" s="378" t="s">
        <v>535</v>
      </c>
      <c r="D154" s="378" t="s">
        <v>533</v>
      </c>
      <c r="E154" s="378" t="s">
        <v>536</v>
      </c>
      <c r="F154" s="371" t="s">
        <v>637</v>
      </c>
      <c r="G154" s="460">
        <f>'dod3'!E154</f>
        <v>60000</v>
      </c>
      <c r="H154" s="376">
        <f>'dod3'!J154</f>
        <v>30800000</v>
      </c>
      <c r="I154" s="376">
        <f t="shared" si="10"/>
        <v>30860000</v>
      </c>
    </row>
    <row r="155" spans="1:12" ht="45" x14ac:dyDescent="0.2">
      <c r="A155" s="30"/>
      <c r="B155" s="367" t="s">
        <v>561</v>
      </c>
      <c r="C155" s="367" t="s">
        <v>562</v>
      </c>
      <c r="D155" s="367" t="s">
        <v>533</v>
      </c>
      <c r="E155" s="367" t="s">
        <v>563</v>
      </c>
      <c r="F155" s="371" t="s">
        <v>638</v>
      </c>
      <c r="G155" s="461">
        <f>'dod3'!E155</f>
        <v>11156382</v>
      </c>
      <c r="H155" s="372">
        <f>'dod3'!J155</f>
        <v>0</v>
      </c>
      <c r="I155" s="372">
        <f t="shared" si="10"/>
        <v>11156382</v>
      </c>
    </row>
    <row r="156" spans="1:12" ht="90" x14ac:dyDescent="0.2">
      <c r="A156" s="30"/>
      <c r="B156" s="367" t="s">
        <v>540</v>
      </c>
      <c r="C156" s="367" t="s">
        <v>541</v>
      </c>
      <c r="D156" s="367" t="s">
        <v>533</v>
      </c>
      <c r="E156" s="367" t="s">
        <v>542</v>
      </c>
      <c r="F156" s="371" t="s">
        <v>637</v>
      </c>
      <c r="G156" s="461">
        <f>'dod3'!E156-G157-G158</f>
        <v>99938024.269999996</v>
      </c>
      <c r="H156" s="372">
        <f>'dod3'!J156</f>
        <v>19615442</v>
      </c>
      <c r="I156" s="372">
        <f t="shared" si="10"/>
        <v>119553466.27</v>
      </c>
    </row>
    <row r="157" spans="1:12" ht="45" x14ac:dyDescent="0.2">
      <c r="A157" s="30"/>
      <c r="B157" s="367" t="s">
        <v>540</v>
      </c>
      <c r="C157" s="367" t="s">
        <v>541</v>
      </c>
      <c r="D157" s="367" t="s">
        <v>533</v>
      </c>
      <c r="E157" s="367" t="s">
        <v>542</v>
      </c>
      <c r="F157" s="371" t="s">
        <v>648</v>
      </c>
      <c r="G157" s="461">
        <v>58434</v>
      </c>
      <c r="H157" s="372"/>
      <c r="I157" s="372">
        <f t="shared" si="10"/>
        <v>58434</v>
      </c>
    </row>
    <row r="158" spans="1:12" ht="30" x14ac:dyDescent="0.2">
      <c r="A158" s="30"/>
      <c r="B158" s="367" t="s">
        <v>540</v>
      </c>
      <c r="C158" s="367" t="s">
        <v>541</v>
      </c>
      <c r="D158" s="367" t="s">
        <v>533</v>
      </c>
      <c r="E158" s="367" t="s">
        <v>542</v>
      </c>
      <c r="F158" s="371" t="s">
        <v>29</v>
      </c>
      <c r="G158" s="461">
        <v>6200</v>
      </c>
      <c r="H158" s="372"/>
      <c r="I158" s="372">
        <f t="shared" si="10"/>
        <v>6200</v>
      </c>
    </row>
    <row r="159" spans="1:12" ht="105" x14ac:dyDescent="0.2">
      <c r="A159" s="30"/>
      <c r="B159" s="367" t="s">
        <v>571</v>
      </c>
      <c r="C159" s="367" t="s">
        <v>572</v>
      </c>
      <c r="D159" s="367" t="s">
        <v>570</v>
      </c>
      <c r="E159" s="367" t="s">
        <v>597</v>
      </c>
      <c r="F159" s="371" t="s">
        <v>988</v>
      </c>
      <c r="G159" s="461">
        <f>'dod3'!E157</f>
        <v>0</v>
      </c>
      <c r="H159" s="372">
        <f>'dod3'!J157</f>
        <v>13738415.880000001</v>
      </c>
      <c r="I159" s="372">
        <f t="shared" si="10"/>
        <v>13738415.880000001</v>
      </c>
    </row>
    <row r="160" spans="1:12" ht="48" customHeight="1" x14ac:dyDescent="0.2">
      <c r="A160" s="30"/>
      <c r="B160" s="367" t="s">
        <v>722</v>
      </c>
      <c r="C160" s="367" t="s">
        <v>609</v>
      </c>
      <c r="D160" s="367" t="s">
        <v>570</v>
      </c>
      <c r="E160" s="463" t="s">
        <v>725</v>
      </c>
      <c r="F160" s="371" t="s">
        <v>726</v>
      </c>
      <c r="G160" s="461">
        <v>0</v>
      </c>
      <c r="H160" s="372">
        <f>'dod3'!J158</f>
        <v>700000</v>
      </c>
      <c r="I160" s="372">
        <f t="shared" si="10"/>
        <v>700000</v>
      </c>
    </row>
    <row r="161" spans="1:12" ht="15" hidden="1" x14ac:dyDescent="0.2">
      <c r="A161" s="30"/>
      <c r="B161" s="547"/>
      <c r="C161" s="547"/>
      <c r="D161" s="547"/>
      <c r="E161" s="547"/>
      <c r="F161" s="371"/>
      <c r="G161" s="461"/>
      <c r="H161" s="372"/>
      <c r="I161" s="372"/>
    </row>
    <row r="162" spans="1:12" ht="0.75" hidden="1" customHeight="1" x14ac:dyDescent="0.2">
      <c r="A162" s="30"/>
      <c r="B162" s="546"/>
      <c r="C162" s="546"/>
      <c r="D162" s="546"/>
      <c r="E162" s="546"/>
      <c r="F162" s="396"/>
      <c r="G162" s="460"/>
      <c r="H162" s="376"/>
      <c r="I162" s="376"/>
    </row>
    <row r="163" spans="1:12" ht="45" x14ac:dyDescent="0.2">
      <c r="A163" s="30"/>
      <c r="B163" s="367" t="s">
        <v>544</v>
      </c>
      <c r="C163" s="367" t="s">
        <v>545</v>
      </c>
      <c r="D163" s="367"/>
      <c r="E163" s="367" t="s">
        <v>547</v>
      </c>
      <c r="F163" s="371" t="s">
        <v>639</v>
      </c>
      <c r="G163" s="370">
        <f>SUM(G164)</f>
        <v>15350597</v>
      </c>
      <c r="H163" s="370">
        <f>SUM(H164)</f>
        <v>0</v>
      </c>
      <c r="I163" s="372">
        <f t="shared" si="10"/>
        <v>15350597</v>
      </c>
    </row>
    <row r="164" spans="1:12" ht="45" x14ac:dyDescent="0.2">
      <c r="A164" s="30"/>
      <c r="B164" s="378" t="s">
        <v>543</v>
      </c>
      <c r="C164" s="378" t="s">
        <v>546</v>
      </c>
      <c r="D164" s="378" t="s">
        <v>549</v>
      </c>
      <c r="E164" s="378" t="s">
        <v>548</v>
      </c>
      <c r="F164" s="396" t="s">
        <v>639</v>
      </c>
      <c r="G164" s="460">
        <f>'dod3'!E162</f>
        <v>15350597</v>
      </c>
      <c r="H164" s="376">
        <f>'dod3'!J162</f>
        <v>0</v>
      </c>
      <c r="I164" s="376">
        <f t="shared" si="10"/>
        <v>15350597</v>
      </c>
    </row>
    <row r="165" spans="1:12" ht="90" x14ac:dyDescent="0.2">
      <c r="A165" s="30"/>
      <c r="B165" s="367" t="s">
        <v>550</v>
      </c>
      <c r="C165" s="367" t="s">
        <v>551</v>
      </c>
      <c r="D165" s="367"/>
      <c r="E165" s="367" t="s">
        <v>552</v>
      </c>
      <c r="F165" s="371" t="s">
        <v>637</v>
      </c>
      <c r="G165" s="370">
        <f>SUM(G166)</f>
        <v>48578600</v>
      </c>
      <c r="H165" s="370">
        <f>SUM(H166)</f>
        <v>85911083.090000004</v>
      </c>
      <c r="I165" s="372">
        <f t="shared" si="10"/>
        <v>134489683.09</v>
      </c>
    </row>
    <row r="166" spans="1:12" ht="105" x14ac:dyDescent="0.2">
      <c r="A166" s="30"/>
      <c r="B166" s="378" t="s">
        <v>553</v>
      </c>
      <c r="C166" s="378" t="s">
        <v>554</v>
      </c>
      <c r="D166" s="378" t="s">
        <v>556</v>
      </c>
      <c r="E166" s="378" t="s">
        <v>555</v>
      </c>
      <c r="F166" s="396" t="s">
        <v>637</v>
      </c>
      <c r="G166" s="460">
        <f>'dod3'!E164</f>
        <v>48578600</v>
      </c>
      <c r="H166" s="376">
        <f>'dod3'!J164</f>
        <v>85911083.090000004</v>
      </c>
      <c r="I166" s="376">
        <f t="shared" si="10"/>
        <v>134489683.09</v>
      </c>
    </row>
    <row r="167" spans="1:12" ht="120" x14ac:dyDescent="0.2">
      <c r="A167" s="30"/>
      <c r="B167" s="367" t="s">
        <v>557</v>
      </c>
      <c r="C167" s="367" t="s">
        <v>403</v>
      </c>
      <c r="D167" s="367" t="s">
        <v>404</v>
      </c>
      <c r="E167" s="367" t="s">
        <v>99</v>
      </c>
      <c r="F167" s="371" t="s">
        <v>717</v>
      </c>
      <c r="G167" s="461">
        <f>'dod3'!E165</f>
        <v>1173300</v>
      </c>
      <c r="H167" s="372">
        <f>'dod3'!J165</f>
        <v>1800000</v>
      </c>
      <c r="I167" s="372">
        <f t="shared" si="10"/>
        <v>2973300</v>
      </c>
    </row>
    <row r="168" spans="1:12" ht="90" x14ac:dyDescent="0.2">
      <c r="A168" s="30"/>
      <c r="B168" s="367" t="s">
        <v>575</v>
      </c>
      <c r="C168" s="367" t="s">
        <v>373</v>
      </c>
      <c r="D168" s="367" t="s">
        <v>324</v>
      </c>
      <c r="E168" s="367" t="s">
        <v>89</v>
      </c>
      <c r="F168" s="371" t="s">
        <v>637</v>
      </c>
      <c r="G168" s="461">
        <f>'dod3'!E166</f>
        <v>0</v>
      </c>
      <c r="H168" s="372">
        <f>'dod3'!J166</f>
        <v>56295562</v>
      </c>
      <c r="I168" s="372">
        <f t="shared" si="10"/>
        <v>56295562</v>
      </c>
    </row>
    <row r="169" spans="1:12" ht="90" x14ac:dyDescent="0.2">
      <c r="A169" s="30"/>
      <c r="B169" s="367" t="s">
        <v>558</v>
      </c>
      <c r="C169" s="367" t="s">
        <v>559</v>
      </c>
      <c r="D169" s="367" t="s">
        <v>490</v>
      </c>
      <c r="E169" s="367" t="s">
        <v>703</v>
      </c>
      <c r="F169" s="371" t="s">
        <v>637</v>
      </c>
      <c r="G169" s="461">
        <f>'dod3'!E167</f>
        <v>252990</v>
      </c>
      <c r="H169" s="372">
        <f>'dod3'!J167</f>
        <v>0</v>
      </c>
      <c r="I169" s="372">
        <f t="shared" si="10"/>
        <v>252990</v>
      </c>
    </row>
    <row r="170" spans="1:12" ht="105" x14ac:dyDescent="0.2">
      <c r="A170" s="30"/>
      <c r="B170" s="367" t="s">
        <v>488</v>
      </c>
      <c r="C170" s="367" t="s">
        <v>489</v>
      </c>
      <c r="D170" s="367" t="s">
        <v>490</v>
      </c>
      <c r="E170" s="464" t="s">
        <v>487</v>
      </c>
      <c r="F170" s="371" t="s">
        <v>0</v>
      </c>
      <c r="G170" s="420">
        <f>'dod3'!E168</f>
        <v>1165188</v>
      </c>
      <c r="H170" s="420">
        <f>'dod3'!J168</f>
        <v>7400</v>
      </c>
      <c r="I170" s="372">
        <f t="shared" si="10"/>
        <v>1172588</v>
      </c>
    </row>
    <row r="171" spans="1:12" ht="60" x14ac:dyDescent="0.2">
      <c r="A171" s="30"/>
      <c r="B171" s="282" t="s">
        <v>69</v>
      </c>
      <c r="C171" s="282"/>
      <c r="D171" s="282"/>
      <c r="E171" s="282" t="s">
        <v>933</v>
      </c>
      <c r="F171" s="282"/>
      <c r="G171" s="331">
        <f>G172</f>
        <v>0</v>
      </c>
      <c r="H171" s="331">
        <f>H172</f>
        <v>134630394</v>
      </c>
      <c r="I171" s="331">
        <f>I172</f>
        <v>134630394</v>
      </c>
    </row>
    <row r="172" spans="1:12" ht="57" x14ac:dyDescent="0.2">
      <c r="A172" s="30"/>
      <c r="B172" s="286" t="s">
        <v>70</v>
      </c>
      <c r="C172" s="286"/>
      <c r="D172" s="286"/>
      <c r="E172" s="286" t="s">
        <v>934</v>
      </c>
      <c r="F172" s="286"/>
      <c r="G172" s="332">
        <f>G173+G176+G177</f>
        <v>0</v>
      </c>
      <c r="H172" s="332">
        <f>H173+H176+H177</f>
        <v>134630394</v>
      </c>
      <c r="I172" s="332">
        <f>G172+H172</f>
        <v>134630394</v>
      </c>
      <c r="J172" s="30" t="b">
        <f>G172='dod3'!E170</f>
        <v>1</v>
      </c>
      <c r="K172" s="30" t="b">
        <f>H172='dod3'!J170</f>
        <v>1</v>
      </c>
      <c r="L172" s="30" t="b">
        <f>I172='dod3'!P170</f>
        <v>1</v>
      </c>
    </row>
    <row r="173" spans="1:12" ht="45" x14ac:dyDescent="0.2">
      <c r="A173" s="30"/>
      <c r="B173" s="514" t="s">
        <v>599</v>
      </c>
      <c r="C173" s="514" t="s">
        <v>600</v>
      </c>
      <c r="D173" s="514"/>
      <c r="E173" s="514" t="s">
        <v>598</v>
      </c>
      <c r="F173" s="371" t="s">
        <v>596</v>
      </c>
      <c r="G173" s="372">
        <f>G174+G175</f>
        <v>0</v>
      </c>
      <c r="H173" s="372">
        <f>H174+H175</f>
        <v>98225000</v>
      </c>
      <c r="I173" s="372">
        <f t="shared" ref="I173:I177" si="11">G173+H173</f>
        <v>98225000</v>
      </c>
    </row>
    <row r="174" spans="1:12" ht="45" x14ac:dyDescent="0.2">
      <c r="A174" s="30"/>
      <c r="B174" s="512" t="s">
        <v>602</v>
      </c>
      <c r="C174" s="512" t="s">
        <v>603</v>
      </c>
      <c r="D174" s="512" t="s">
        <v>570</v>
      </c>
      <c r="E174" s="512" t="s">
        <v>601</v>
      </c>
      <c r="F174" s="396" t="s">
        <v>596</v>
      </c>
      <c r="G174" s="376">
        <f>'dod3'!E172</f>
        <v>0</v>
      </c>
      <c r="H174" s="376">
        <f>'dod3'!J172</f>
        <v>65200000</v>
      </c>
      <c r="I174" s="376">
        <f t="shared" si="11"/>
        <v>65200000</v>
      </c>
    </row>
    <row r="175" spans="1:12" ht="45" x14ac:dyDescent="0.2">
      <c r="A175" s="30"/>
      <c r="B175" s="512" t="s">
        <v>604</v>
      </c>
      <c r="C175" s="512" t="s">
        <v>605</v>
      </c>
      <c r="D175" s="512" t="s">
        <v>570</v>
      </c>
      <c r="E175" s="512" t="s">
        <v>606</v>
      </c>
      <c r="F175" s="396" t="s">
        <v>596</v>
      </c>
      <c r="G175" s="376">
        <f>'dod3'!E173</f>
        <v>0</v>
      </c>
      <c r="H175" s="376">
        <f>'dod3'!J173</f>
        <v>33025000</v>
      </c>
      <c r="I175" s="376">
        <f t="shared" si="11"/>
        <v>33025000</v>
      </c>
    </row>
    <row r="176" spans="1:12" ht="45" x14ac:dyDescent="0.2">
      <c r="A176" s="30"/>
      <c r="B176" s="514" t="s">
        <v>608</v>
      </c>
      <c r="C176" s="514" t="s">
        <v>609</v>
      </c>
      <c r="D176" s="514" t="s">
        <v>570</v>
      </c>
      <c r="E176" s="514" t="s">
        <v>607</v>
      </c>
      <c r="F176" s="371" t="s">
        <v>596</v>
      </c>
      <c r="G176" s="376">
        <f>'dod3'!E174</f>
        <v>0</v>
      </c>
      <c r="H176" s="376">
        <f>'dod3'!J174</f>
        <v>36405394</v>
      </c>
      <c r="I176" s="372">
        <f t="shared" si="11"/>
        <v>36405394</v>
      </c>
    </row>
    <row r="177" spans="1:12" ht="45" x14ac:dyDescent="0.2">
      <c r="A177" s="30"/>
      <c r="B177" s="514" t="s">
        <v>610</v>
      </c>
      <c r="C177" s="514" t="s">
        <v>373</v>
      </c>
      <c r="D177" s="514" t="s">
        <v>324</v>
      </c>
      <c r="E177" s="514" t="s">
        <v>89</v>
      </c>
      <c r="F177" s="371" t="s">
        <v>596</v>
      </c>
      <c r="G177" s="376">
        <f>'dod3'!E175</f>
        <v>0</v>
      </c>
      <c r="H177" s="376">
        <f>'dod3'!J175</f>
        <v>0</v>
      </c>
      <c r="I177" s="372">
        <f t="shared" si="11"/>
        <v>0</v>
      </c>
    </row>
    <row r="178" spans="1:12" ht="45" x14ac:dyDescent="0.2">
      <c r="A178" s="30"/>
      <c r="B178" s="282" t="s">
        <v>314</v>
      </c>
      <c r="C178" s="282"/>
      <c r="D178" s="282"/>
      <c r="E178" s="282" t="s">
        <v>71</v>
      </c>
      <c r="F178" s="432"/>
      <c r="G178" s="331">
        <f t="shared" ref="G178:I179" si="12">G179</f>
        <v>0</v>
      </c>
      <c r="H178" s="331">
        <f t="shared" si="12"/>
        <v>182900</v>
      </c>
      <c r="I178" s="316">
        <f t="shared" si="12"/>
        <v>182900</v>
      </c>
    </row>
    <row r="179" spans="1:12" ht="57" x14ac:dyDescent="0.2">
      <c r="A179" s="30"/>
      <c r="B179" s="286" t="s">
        <v>315</v>
      </c>
      <c r="C179" s="286"/>
      <c r="D179" s="286"/>
      <c r="E179" s="286" t="s">
        <v>96</v>
      </c>
      <c r="F179" s="407"/>
      <c r="G179" s="332">
        <f t="shared" si="12"/>
        <v>0</v>
      </c>
      <c r="H179" s="332">
        <f t="shared" si="12"/>
        <v>182900</v>
      </c>
      <c r="I179" s="317">
        <f t="shared" si="12"/>
        <v>182900</v>
      </c>
      <c r="J179" s="30" t="b">
        <f>I179='dod3'!P177</f>
        <v>1</v>
      </c>
      <c r="K179" s="30" t="b">
        <f>G179='dod3'!E177</f>
        <v>1</v>
      </c>
      <c r="L179" s="30" t="b">
        <f>H179='dod3'!J177</f>
        <v>1</v>
      </c>
    </row>
    <row r="180" spans="1:12" ht="45" x14ac:dyDescent="0.2">
      <c r="A180" s="30"/>
      <c r="B180" s="367" t="s">
        <v>580</v>
      </c>
      <c r="C180" s="367" t="s">
        <v>581</v>
      </c>
      <c r="D180" s="367" t="s">
        <v>570</v>
      </c>
      <c r="E180" s="367" t="s">
        <v>582</v>
      </c>
      <c r="F180" s="371" t="s">
        <v>596</v>
      </c>
      <c r="G180" s="372">
        <f>'dod3'!E178</f>
        <v>0</v>
      </c>
      <c r="H180" s="370">
        <f>'dod3'!J178</f>
        <v>182900</v>
      </c>
      <c r="I180" s="372">
        <f>G180+H180</f>
        <v>182900</v>
      </c>
    </row>
    <row r="181" spans="1:12" ht="30" x14ac:dyDescent="0.2">
      <c r="A181" s="30"/>
      <c r="B181" s="282" t="s">
        <v>320</v>
      </c>
      <c r="C181" s="282"/>
      <c r="D181" s="282"/>
      <c r="E181" s="282" t="s">
        <v>764</v>
      </c>
      <c r="F181" s="407"/>
      <c r="G181" s="316">
        <f>G182</f>
        <v>4838801.5999999996</v>
      </c>
      <c r="H181" s="316">
        <f>H182</f>
        <v>909350</v>
      </c>
      <c r="I181" s="316">
        <f t="shared" ref="I181:I189" si="13">G181+H181</f>
        <v>5748151.5999999996</v>
      </c>
    </row>
    <row r="182" spans="1:12" ht="28.5" x14ac:dyDescent="0.2">
      <c r="A182" s="30"/>
      <c r="B182" s="286" t="s">
        <v>321</v>
      </c>
      <c r="C182" s="286"/>
      <c r="D182" s="286"/>
      <c r="E182" s="286" t="s">
        <v>765</v>
      </c>
      <c r="F182" s="407"/>
      <c r="G182" s="317">
        <f>G183+G184+G186+G187+G185</f>
        <v>4838801.5999999996</v>
      </c>
      <c r="H182" s="317">
        <f>H183+H184+H186+H187+H185</f>
        <v>909350</v>
      </c>
      <c r="I182" s="317">
        <f t="shared" si="13"/>
        <v>5748151.5999999996</v>
      </c>
      <c r="J182" s="30" t="b">
        <f>I182='dod3'!P180</f>
        <v>1</v>
      </c>
      <c r="K182" s="30" t="b">
        <f>G182='dod3'!E180</f>
        <v>1</v>
      </c>
      <c r="L182" s="30" t="b">
        <f>H182='dod3'!J180</f>
        <v>1</v>
      </c>
    </row>
    <row r="183" spans="1:12" ht="45" x14ac:dyDescent="0.2">
      <c r="A183" s="30"/>
      <c r="B183" s="367" t="s">
        <v>755</v>
      </c>
      <c r="C183" s="367" t="s">
        <v>756</v>
      </c>
      <c r="D183" s="367" t="s">
        <v>324</v>
      </c>
      <c r="E183" s="367" t="s">
        <v>502</v>
      </c>
      <c r="F183" s="371" t="s">
        <v>596</v>
      </c>
      <c r="G183" s="372">
        <f>(1200000-1000000)-200000</f>
        <v>0</v>
      </c>
      <c r="H183" s="372">
        <f>((1000000)-500000)-206000</f>
        <v>294000</v>
      </c>
      <c r="I183" s="372">
        <f>G183+H183</f>
        <v>294000</v>
      </c>
    </row>
    <row r="184" spans="1:12" ht="30" x14ac:dyDescent="0.2">
      <c r="A184" s="30"/>
      <c r="B184" s="367" t="s">
        <v>500</v>
      </c>
      <c r="C184" s="367" t="s">
        <v>501</v>
      </c>
      <c r="D184" s="367" t="s">
        <v>499</v>
      </c>
      <c r="E184" s="367" t="s">
        <v>498</v>
      </c>
      <c r="F184" s="371" t="s">
        <v>296</v>
      </c>
      <c r="G184" s="372">
        <f>((1500000)+400000)+100257</f>
        <v>2000257</v>
      </c>
      <c r="H184" s="372"/>
      <c r="I184" s="372">
        <f>G184+H184</f>
        <v>2000257</v>
      </c>
    </row>
    <row r="185" spans="1:12" ht="30" x14ac:dyDescent="0.2">
      <c r="A185" s="30"/>
      <c r="B185" s="367" t="s">
        <v>500</v>
      </c>
      <c r="C185" s="367" t="s">
        <v>501</v>
      </c>
      <c r="D185" s="367" t="s">
        <v>499</v>
      </c>
      <c r="E185" s="367" t="s">
        <v>498</v>
      </c>
      <c r="F185" s="418" t="s">
        <v>811</v>
      </c>
      <c r="G185" s="372">
        <f>(300000)-100257</f>
        <v>199743</v>
      </c>
      <c r="H185" s="372"/>
      <c r="I185" s="372">
        <f>G185+H185</f>
        <v>199743</v>
      </c>
    </row>
    <row r="186" spans="1:12" ht="45" x14ac:dyDescent="0.2">
      <c r="A186" s="30"/>
      <c r="B186" s="367" t="s">
        <v>491</v>
      </c>
      <c r="C186" s="367" t="s">
        <v>493</v>
      </c>
      <c r="D186" s="367" t="s">
        <v>404</v>
      </c>
      <c r="E186" s="367" t="s">
        <v>492</v>
      </c>
      <c r="F186" s="371" t="s">
        <v>38</v>
      </c>
      <c r="G186" s="372">
        <f>(475000)-20000</f>
        <v>455000</v>
      </c>
      <c r="H186" s="372">
        <v>20000</v>
      </c>
      <c r="I186" s="372">
        <f t="shared" si="13"/>
        <v>475000</v>
      </c>
    </row>
    <row r="187" spans="1:12" ht="15" x14ac:dyDescent="0.2">
      <c r="A187" s="30"/>
      <c r="B187" s="367" t="s">
        <v>495</v>
      </c>
      <c r="C187" s="367" t="s">
        <v>449</v>
      </c>
      <c r="D187" s="367" t="s">
        <v>324</v>
      </c>
      <c r="E187" s="367" t="s">
        <v>447</v>
      </c>
      <c r="F187" s="371"/>
      <c r="G187" s="372">
        <f>G188+G189</f>
        <v>2183801.6</v>
      </c>
      <c r="H187" s="372">
        <f>H188+H189</f>
        <v>595350</v>
      </c>
      <c r="I187" s="372">
        <f t="shared" si="13"/>
        <v>2779151.6</v>
      </c>
    </row>
    <row r="188" spans="1:12" ht="30" x14ac:dyDescent="0.2">
      <c r="A188" s="30"/>
      <c r="B188" s="378" t="s">
        <v>496</v>
      </c>
      <c r="C188" s="378" t="s">
        <v>497</v>
      </c>
      <c r="D188" s="378" t="s">
        <v>324</v>
      </c>
      <c r="E188" s="378" t="s">
        <v>494</v>
      </c>
      <c r="F188" s="396" t="s">
        <v>29</v>
      </c>
      <c r="G188" s="376">
        <f>(1000000)-111998.4</f>
        <v>888001.6</v>
      </c>
      <c r="H188" s="376">
        <f>(0)+195350</f>
        <v>195350</v>
      </c>
      <c r="I188" s="376">
        <f t="shared" si="13"/>
        <v>1083351.6000000001</v>
      </c>
    </row>
    <row r="189" spans="1:12" ht="60" x14ac:dyDescent="0.2">
      <c r="A189" s="30"/>
      <c r="B189" s="378" t="s">
        <v>496</v>
      </c>
      <c r="C189" s="378" t="s">
        <v>497</v>
      </c>
      <c r="D189" s="378" t="s">
        <v>324</v>
      </c>
      <c r="E189" s="378" t="s">
        <v>494</v>
      </c>
      <c r="F189" s="396" t="s">
        <v>295</v>
      </c>
      <c r="G189" s="376">
        <f>(1195800)+100000</f>
        <v>1295800</v>
      </c>
      <c r="H189" s="376">
        <f>(0)+400000</f>
        <v>400000</v>
      </c>
      <c r="I189" s="376">
        <f t="shared" si="13"/>
        <v>1695800</v>
      </c>
    </row>
    <row r="190" spans="1:12" ht="57.75" customHeight="1" x14ac:dyDescent="0.2">
      <c r="A190" s="30"/>
      <c r="B190" s="282" t="s">
        <v>318</v>
      </c>
      <c r="C190" s="282"/>
      <c r="D190" s="282"/>
      <c r="E190" s="282" t="s">
        <v>72</v>
      </c>
      <c r="F190" s="405"/>
      <c r="G190" s="316">
        <v>0</v>
      </c>
      <c r="H190" s="316">
        <f>H191</f>
        <v>1271148.6600000001</v>
      </c>
      <c r="I190" s="316">
        <f>I191</f>
        <v>1271148.6600000001</v>
      </c>
      <c r="J190" s="229" t="b">
        <f>I190='dod7'!F18</f>
        <v>1</v>
      </c>
    </row>
    <row r="191" spans="1:12" ht="42.75" x14ac:dyDescent="0.2">
      <c r="A191" s="30"/>
      <c r="B191" s="286" t="s">
        <v>319</v>
      </c>
      <c r="C191" s="286"/>
      <c r="D191" s="286"/>
      <c r="E191" s="286" t="s">
        <v>73</v>
      </c>
      <c r="F191" s="406"/>
      <c r="G191" s="317">
        <v>0</v>
      </c>
      <c r="H191" s="317">
        <f>H192+H195+H196</f>
        <v>1271148.6600000001</v>
      </c>
      <c r="I191" s="317">
        <f>G191+H191</f>
        <v>1271148.6600000001</v>
      </c>
    </row>
    <row r="192" spans="1:12" ht="30" x14ac:dyDescent="0.2">
      <c r="A192" s="30"/>
      <c r="B192" s="502" t="s">
        <v>583</v>
      </c>
      <c r="C192" s="502" t="s">
        <v>584</v>
      </c>
      <c r="D192" s="502"/>
      <c r="E192" s="502" t="s">
        <v>585</v>
      </c>
      <c r="F192" s="371" t="s">
        <v>30</v>
      </c>
      <c r="G192" s="372">
        <f>G193+G194</f>
        <v>0</v>
      </c>
      <c r="H192" s="372">
        <f>H193+H194</f>
        <v>937148.66</v>
      </c>
      <c r="I192" s="372">
        <f t="shared" ref="I192:I193" si="14">G192+H192</f>
        <v>937148.66</v>
      </c>
    </row>
    <row r="193" spans="1:16384" ht="30" x14ac:dyDescent="0.2">
      <c r="A193" s="30"/>
      <c r="B193" s="501" t="s">
        <v>586</v>
      </c>
      <c r="C193" s="501" t="s">
        <v>587</v>
      </c>
      <c r="D193" s="501" t="s">
        <v>119</v>
      </c>
      <c r="E193" s="501" t="s">
        <v>120</v>
      </c>
      <c r="F193" s="396" t="s">
        <v>30</v>
      </c>
      <c r="G193" s="376">
        <f>'dod3'!E189</f>
        <v>0</v>
      </c>
      <c r="H193" s="376">
        <f>'dod3'!J189</f>
        <v>629148.66</v>
      </c>
      <c r="I193" s="376">
        <f t="shared" si="14"/>
        <v>629148.66</v>
      </c>
    </row>
    <row r="194" spans="1:16384" ht="30" x14ac:dyDescent="0.2">
      <c r="A194" s="30"/>
      <c r="B194" s="501" t="s">
        <v>588</v>
      </c>
      <c r="C194" s="501" t="s">
        <v>589</v>
      </c>
      <c r="D194" s="501" t="s">
        <v>121</v>
      </c>
      <c r="E194" s="501" t="s">
        <v>590</v>
      </c>
      <c r="F194" s="396" t="s">
        <v>30</v>
      </c>
      <c r="G194" s="376">
        <f>'dod3'!E190</f>
        <v>0</v>
      </c>
      <c r="H194" s="376">
        <f>'dod3'!J190</f>
        <v>308000</v>
      </c>
      <c r="I194" s="376">
        <f>G194+H194</f>
        <v>308000</v>
      </c>
    </row>
    <row r="195" spans="1:16384" ht="30" x14ac:dyDescent="0.2">
      <c r="B195" s="502" t="s">
        <v>591</v>
      </c>
      <c r="C195" s="502" t="s">
        <v>592</v>
      </c>
      <c r="D195" s="502" t="s">
        <v>123</v>
      </c>
      <c r="E195" s="502" t="s">
        <v>130</v>
      </c>
      <c r="F195" s="371" t="s">
        <v>30</v>
      </c>
      <c r="G195" s="372">
        <f>'dod3'!E191</f>
        <v>0</v>
      </c>
      <c r="H195" s="372">
        <f>'dod3'!J191</f>
        <v>125000</v>
      </c>
      <c r="I195" s="372">
        <f>G195+H195</f>
        <v>125000</v>
      </c>
    </row>
    <row r="196" spans="1:16384" ht="30" x14ac:dyDescent="0.2">
      <c r="B196" s="502" t="s">
        <v>593</v>
      </c>
      <c r="C196" s="502" t="s">
        <v>594</v>
      </c>
      <c r="D196" s="502" t="s">
        <v>122</v>
      </c>
      <c r="E196" s="502" t="s">
        <v>595</v>
      </c>
      <c r="F196" s="371" t="s">
        <v>30</v>
      </c>
      <c r="G196" s="372">
        <f>'dod3'!E192</f>
        <v>0</v>
      </c>
      <c r="H196" s="372">
        <f>'dod3'!J192</f>
        <v>209000</v>
      </c>
      <c r="I196" s="372">
        <f>G196+H196</f>
        <v>209000</v>
      </c>
      <c r="AW196" s="215"/>
      <c r="AX196" s="215"/>
      <c r="AY196" s="215"/>
      <c r="AZ196" s="215"/>
      <c r="BA196" s="215"/>
      <c r="BB196" s="215"/>
      <c r="BC196" s="215"/>
      <c r="BD196" s="215"/>
      <c r="BE196" s="215"/>
      <c r="BF196" s="215"/>
      <c r="BG196" s="215"/>
      <c r="BH196" s="215"/>
      <c r="BI196" s="215"/>
      <c r="BJ196" s="215"/>
      <c r="BK196" s="215"/>
      <c r="BL196" s="215"/>
      <c r="BM196" s="215"/>
      <c r="BN196" s="215"/>
      <c r="BO196" s="215"/>
      <c r="BP196" s="215"/>
      <c r="BQ196" s="215"/>
      <c r="BR196" s="215"/>
      <c r="BS196" s="215"/>
      <c r="BT196" s="215"/>
      <c r="BU196" s="215"/>
      <c r="BV196" s="215"/>
      <c r="BW196" s="215"/>
      <c r="BX196" s="215"/>
      <c r="BY196" s="215"/>
      <c r="BZ196" s="215"/>
      <c r="CA196" s="215"/>
      <c r="CB196" s="215"/>
      <c r="CC196" s="215"/>
      <c r="CD196" s="215"/>
      <c r="CE196" s="215"/>
      <c r="CF196" s="215"/>
      <c r="CG196" s="215"/>
      <c r="CH196" s="215"/>
      <c r="CI196" s="215"/>
      <c r="CJ196" s="215"/>
      <c r="CK196" s="215"/>
      <c r="CL196" s="215"/>
      <c r="CM196" s="215"/>
      <c r="CN196" s="215"/>
      <c r="CO196" s="215"/>
      <c r="CP196" s="215"/>
      <c r="CQ196" s="215"/>
      <c r="CR196" s="215"/>
      <c r="CS196" s="215"/>
      <c r="CT196" s="215"/>
      <c r="CU196" s="215"/>
      <c r="CV196" s="215"/>
      <c r="CW196" s="215"/>
      <c r="CX196" s="215"/>
      <c r="CY196" s="215"/>
      <c r="CZ196" s="215"/>
      <c r="DA196" s="215"/>
      <c r="DB196" s="215"/>
      <c r="DC196" s="215"/>
      <c r="DD196" s="215"/>
      <c r="DE196" s="215"/>
      <c r="DF196" s="215"/>
      <c r="DG196" s="215"/>
      <c r="DH196" s="215"/>
      <c r="DI196" s="215"/>
      <c r="DJ196" s="215"/>
      <c r="DK196" s="215"/>
      <c r="DL196" s="215"/>
      <c r="DM196" s="215"/>
      <c r="DN196" s="215"/>
      <c r="DO196" s="215"/>
      <c r="DP196" s="215"/>
      <c r="DQ196" s="215"/>
      <c r="DR196" s="215"/>
      <c r="DS196" s="215"/>
      <c r="DT196" s="215"/>
      <c r="DU196" s="215"/>
      <c r="DV196" s="215"/>
      <c r="DW196" s="215"/>
      <c r="DX196" s="215"/>
      <c r="DY196" s="215"/>
      <c r="DZ196" s="215"/>
      <c r="EA196" s="215"/>
      <c r="EB196" s="215"/>
      <c r="EC196" s="215"/>
      <c r="ED196" s="215"/>
      <c r="EE196" s="215"/>
      <c r="EF196" s="215"/>
      <c r="EG196" s="215"/>
      <c r="EH196" s="215"/>
      <c r="EI196" s="215"/>
      <c r="EJ196" s="215"/>
      <c r="EK196" s="215"/>
      <c r="EL196" s="215"/>
      <c r="EM196" s="215"/>
      <c r="EN196" s="215"/>
      <c r="EO196" s="215"/>
      <c r="EP196" s="215"/>
      <c r="EQ196" s="215"/>
      <c r="ER196" s="215"/>
      <c r="ES196" s="215"/>
      <c r="ET196" s="215"/>
      <c r="EU196" s="215"/>
      <c r="EV196" s="215"/>
      <c r="EW196" s="215"/>
      <c r="EX196" s="215"/>
      <c r="EY196" s="215"/>
      <c r="EZ196" s="215"/>
      <c r="FA196" s="215"/>
      <c r="FB196" s="215"/>
      <c r="FC196" s="215"/>
      <c r="FD196" s="215"/>
      <c r="FE196" s="215"/>
      <c r="FF196" s="215"/>
      <c r="FG196" s="215"/>
      <c r="FH196" s="215"/>
      <c r="FI196" s="215"/>
      <c r="FJ196" s="215"/>
      <c r="FK196" s="215"/>
      <c r="FL196" s="215"/>
      <c r="FM196" s="215"/>
      <c r="FN196" s="215"/>
      <c r="FO196" s="215"/>
      <c r="FP196" s="215"/>
      <c r="FQ196" s="215"/>
      <c r="FR196" s="215"/>
      <c r="FS196" s="215"/>
      <c r="FT196" s="215"/>
      <c r="FU196" s="215"/>
      <c r="FV196" s="215"/>
      <c r="FW196" s="215"/>
      <c r="FX196" s="215"/>
      <c r="FY196" s="215"/>
      <c r="FZ196" s="215"/>
      <c r="GA196" s="215"/>
      <c r="GB196" s="215"/>
      <c r="GC196" s="215"/>
      <c r="GD196" s="215"/>
      <c r="GE196" s="215"/>
      <c r="GF196" s="215"/>
      <c r="GG196" s="215"/>
      <c r="GH196" s="215"/>
      <c r="GI196" s="215"/>
      <c r="GJ196" s="215"/>
    </row>
    <row r="197" spans="1:16384" ht="60" x14ac:dyDescent="0.2">
      <c r="B197" s="428" t="s">
        <v>316</v>
      </c>
      <c r="C197" s="428"/>
      <c r="D197" s="428"/>
      <c r="E197" s="282" t="s">
        <v>766</v>
      </c>
      <c r="F197" s="429"/>
      <c r="G197" s="430">
        <f t="shared" ref="G197:I197" si="15">G198</f>
        <v>0</v>
      </c>
      <c r="H197" s="430">
        <f t="shared" si="15"/>
        <v>300000</v>
      </c>
      <c r="I197" s="431">
        <f t="shared" si="15"/>
        <v>300000</v>
      </c>
      <c r="AW197" s="215"/>
      <c r="AX197" s="215"/>
      <c r="AY197" s="215"/>
      <c r="AZ197" s="215"/>
      <c r="BA197" s="215"/>
      <c r="BB197" s="215"/>
      <c r="BC197" s="215"/>
      <c r="BD197" s="215"/>
      <c r="BE197" s="215"/>
      <c r="BF197" s="215"/>
      <c r="BG197" s="215"/>
      <c r="BH197" s="215"/>
      <c r="BI197" s="215"/>
      <c r="BJ197" s="215"/>
      <c r="BK197" s="215"/>
      <c r="BL197" s="215"/>
      <c r="BM197" s="215"/>
      <c r="BN197" s="215"/>
      <c r="BO197" s="215"/>
      <c r="BP197" s="215"/>
      <c r="BQ197" s="215"/>
      <c r="BR197" s="215"/>
      <c r="BS197" s="215"/>
      <c r="BT197" s="215"/>
      <c r="BU197" s="215"/>
      <c r="BV197" s="215"/>
      <c r="BW197" s="215"/>
      <c r="BX197" s="215"/>
      <c r="BY197" s="215"/>
      <c r="BZ197" s="215"/>
      <c r="CA197" s="215"/>
      <c r="CB197" s="215"/>
      <c r="CC197" s="215"/>
      <c r="CD197" s="215"/>
      <c r="CE197" s="215"/>
      <c r="CF197" s="215"/>
      <c r="CG197" s="215"/>
      <c r="CH197" s="215"/>
      <c r="CI197" s="215"/>
      <c r="CJ197" s="215"/>
      <c r="CK197" s="215"/>
      <c r="CL197" s="215"/>
      <c r="CM197" s="215"/>
      <c r="CN197" s="215"/>
      <c r="CO197" s="215"/>
      <c r="CP197" s="215"/>
      <c r="CQ197" s="215"/>
      <c r="CR197" s="215"/>
      <c r="CS197" s="215"/>
      <c r="CT197" s="215"/>
      <c r="CU197" s="215"/>
      <c r="CV197" s="215"/>
      <c r="CW197" s="215"/>
      <c r="CX197" s="215"/>
      <c r="CY197" s="215"/>
      <c r="CZ197" s="215"/>
      <c r="DA197" s="215"/>
      <c r="DB197" s="215"/>
      <c r="DC197" s="215"/>
      <c r="DD197" s="215"/>
      <c r="DE197" s="215"/>
      <c r="DF197" s="215"/>
      <c r="DG197" s="215"/>
      <c r="DH197" s="215"/>
      <c r="DI197" s="215"/>
      <c r="DJ197" s="215"/>
      <c r="DK197" s="215"/>
      <c r="DL197" s="215"/>
      <c r="DM197" s="215"/>
      <c r="DN197" s="215"/>
      <c r="DO197" s="215"/>
      <c r="DP197" s="215"/>
      <c r="DQ197" s="215"/>
      <c r="DR197" s="215"/>
      <c r="DS197" s="215"/>
      <c r="DT197" s="215"/>
      <c r="DU197" s="215"/>
      <c r="DV197" s="215"/>
      <c r="DW197" s="215"/>
      <c r="DX197" s="215"/>
      <c r="DY197" s="215"/>
      <c r="DZ197" s="215"/>
      <c r="EA197" s="215"/>
      <c r="EB197" s="215"/>
      <c r="EC197" s="215"/>
      <c r="ED197" s="215"/>
      <c r="EE197" s="215"/>
      <c r="EF197" s="215"/>
      <c r="EG197" s="215"/>
      <c r="EH197" s="215"/>
      <c r="EI197" s="215"/>
      <c r="EJ197" s="215"/>
      <c r="EK197" s="215"/>
      <c r="EL197" s="215"/>
      <c r="EM197" s="215"/>
      <c r="EN197" s="215"/>
      <c r="EO197" s="215"/>
      <c r="EP197" s="215"/>
      <c r="EQ197" s="215"/>
      <c r="ER197" s="215"/>
      <c r="ES197" s="215"/>
      <c r="ET197" s="215"/>
      <c r="EU197" s="215"/>
      <c r="EV197" s="215"/>
      <c r="EW197" s="215"/>
      <c r="EX197" s="215"/>
      <c r="EY197" s="215"/>
      <c r="EZ197" s="215"/>
      <c r="FA197" s="215"/>
      <c r="FB197" s="215"/>
      <c r="FC197" s="215"/>
      <c r="FD197" s="215"/>
      <c r="FE197" s="215"/>
      <c r="FF197" s="215"/>
      <c r="FG197" s="215"/>
      <c r="FH197" s="215"/>
      <c r="FI197" s="215"/>
      <c r="FJ197" s="215"/>
      <c r="FK197" s="215"/>
      <c r="FL197" s="215"/>
      <c r="FM197" s="215"/>
      <c r="FN197" s="215"/>
      <c r="FO197" s="215"/>
      <c r="FP197" s="215"/>
      <c r="FQ197" s="215"/>
      <c r="FR197" s="215"/>
      <c r="FS197" s="215"/>
      <c r="FT197" s="215"/>
      <c r="FU197" s="215"/>
      <c r="FV197" s="215"/>
      <c r="FW197" s="215"/>
      <c r="FX197" s="215"/>
      <c r="FY197" s="215"/>
      <c r="FZ197" s="215"/>
      <c r="GA197" s="215"/>
      <c r="GB197" s="215"/>
      <c r="GC197" s="215"/>
      <c r="GD197" s="215"/>
      <c r="GE197" s="215"/>
      <c r="GF197" s="215"/>
      <c r="GG197" s="215"/>
      <c r="GH197" s="215"/>
      <c r="GI197" s="215"/>
      <c r="GJ197" s="215"/>
    </row>
    <row r="198" spans="1:16384" ht="57" x14ac:dyDescent="0.2">
      <c r="B198" s="286" t="s">
        <v>317</v>
      </c>
      <c r="C198" s="286"/>
      <c r="D198" s="286"/>
      <c r="E198" s="286" t="s">
        <v>767</v>
      </c>
      <c r="F198" s="407"/>
      <c r="G198" s="332">
        <f>G199+G200</f>
        <v>0</v>
      </c>
      <c r="H198" s="332">
        <f>H199+H200</f>
        <v>300000</v>
      </c>
      <c r="I198" s="317">
        <f>G198+H198</f>
        <v>300000</v>
      </c>
      <c r="J198" s="30" t="b">
        <f>I198='dod3'!P194</f>
        <v>1</v>
      </c>
      <c r="K198" s="30" t="b">
        <f>G198='dod3'!E194</f>
        <v>1</v>
      </c>
      <c r="L198" s="30" t="b">
        <f>H198='dod3'!J194</f>
        <v>1</v>
      </c>
      <c r="AW198" s="215"/>
      <c r="AX198" s="215"/>
      <c r="AY198" s="215"/>
      <c r="AZ198" s="215"/>
      <c r="BA198" s="215"/>
      <c r="BB198" s="215"/>
      <c r="BC198" s="215"/>
      <c r="BD198" s="215"/>
      <c r="BE198" s="215"/>
      <c r="BF198" s="215"/>
      <c r="BG198" s="215"/>
      <c r="BH198" s="215"/>
      <c r="BI198" s="215"/>
      <c r="BJ198" s="215"/>
      <c r="BK198" s="215"/>
      <c r="BL198" s="215"/>
      <c r="BM198" s="215"/>
      <c r="BN198" s="215"/>
      <c r="BO198" s="215"/>
      <c r="BP198" s="215"/>
      <c r="BQ198" s="215"/>
      <c r="BR198" s="215"/>
      <c r="BS198" s="215"/>
      <c r="BT198" s="215"/>
      <c r="BU198" s="215"/>
      <c r="BV198" s="215"/>
      <c r="BW198" s="215"/>
      <c r="BX198" s="215"/>
      <c r="BY198" s="215"/>
      <c r="BZ198" s="215"/>
      <c r="CA198" s="215"/>
      <c r="CB198" s="215"/>
      <c r="CC198" s="215"/>
      <c r="CD198" s="215"/>
      <c r="CE198" s="215"/>
      <c r="CF198" s="215"/>
      <c r="CG198" s="215"/>
      <c r="CH198" s="215"/>
      <c r="CI198" s="215"/>
      <c r="CJ198" s="215"/>
      <c r="CK198" s="215"/>
      <c r="CL198" s="215"/>
      <c r="CM198" s="215"/>
      <c r="CN198" s="215"/>
      <c r="CO198" s="215"/>
      <c r="CP198" s="215"/>
      <c r="CQ198" s="215"/>
      <c r="CR198" s="215"/>
      <c r="CS198" s="215"/>
      <c r="CT198" s="215"/>
      <c r="CU198" s="215"/>
      <c r="CV198" s="215"/>
      <c r="CW198" s="215"/>
      <c r="CX198" s="215"/>
      <c r="CY198" s="215"/>
      <c r="CZ198" s="215"/>
      <c r="DA198" s="215"/>
      <c r="DB198" s="215"/>
      <c r="DC198" s="215"/>
      <c r="DD198" s="215"/>
      <c r="DE198" s="215"/>
      <c r="DF198" s="215"/>
      <c r="DG198" s="215"/>
      <c r="DH198" s="215"/>
      <c r="DI198" s="215"/>
      <c r="DJ198" s="215"/>
      <c r="DK198" s="215"/>
      <c r="DL198" s="215"/>
      <c r="DM198" s="215"/>
      <c r="DN198" s="215"/>
      <c r="DO198" s="215"/>
      <c r="DP198" s="215"/>
      <c r="DQ198" s="215"/>
      <c r="DR198" s="215"/>
      <c r="DS198" s="215"/>
      <c r="DT198" s="215"/>
      <c r="DU198" s="215"/>
      <c r="DV198" s="215"/>
      <c r="DW198" s="215"/>
      <c r="DX198" s="215"/>
      <c r="DY198" s="215"/>
      <c r="DZ198" s="215"/>
      <c r="EA198" s="215"/>
      <c r="EB198" s="215"/>
      <c r="EC198" s="215"/>
      <c r="ED198" s="215"/>
      <c r="EE198" s="215"/>
      <c r="EF198" s="215"/>
      <c r="EG198" s="215"/>
      <c r="EH198" s="215"/>
      <c r="EI198" s="215"/>
      <c r="EJ198" s="215"/>
      <c r="EK198" s="215"/>
      <c r="EL198" s="215"/>
      <c r="EM198" s="215"/>
      <c r="EN198" s="215"/>
      <c r="EO198" s="215"/>
      <c r="EP198" s="215"/>
      <c r="EQ198" s="215"/>
      <c r="ER198" s="215"/>
      <c r="ES198" s="215"/>
      <c r="ET198" s="215"/>
      <c r="EU198" s="215"/>
      <c r="EV198" s="215"/>
      <c r="EW198" s="215"/>
      <c r="EX198" s="215"/>
      <c r="EY198" s="215"/>
      <c r="EZ198" s="215"/>
      <c r="FA198" s="215"/>
      <c r="FB198" s="215"/>
      <c r="FC198" s="215"/>
      <c r="FD198" s="215"/>
      <c r="FE198" s="215"/>
      <c r="FF198" s="215"/>
      <c r="FG198" s="215"/>
      <c r="FH198" s="215"/>
      <c r="FI198" s="215"/>
      <c r="FJ198" s="215"/>
      <c r="FK198" s="215"/>
      <c r="FL198" s="215"/>
      <c r="FM198" s="215"/>
      <c r="FN198" s="215"/>
      <c r="FO198" s="215"/>
      <c r="FP198" s="215"/>
      <c r="FQ198" s="215"/>
      <c r="FR198" s="215"/>
      <c r="FS198" s="215"/>
      <c r="FT198" s="215"/>
      <c r="FU198" s="215"/>
      <c r="FV198" s="215"/>
      <c r="FW198" s="215"/>
      <c r="FX198" s="215"/>
      <c r="FY198" s="215"/>
      <c r="FZ198" s="215"/>
      <c r="GA198" s="215"/>
      <c r="GB198" s="215"/>
      <c r="GC198" s="215"/>
      <c r="GD198" s="215"/>
      <c r="GE198" s="215"/>
      <c r="GF198" s="215"/>
      <c r="GG198" s="215"/>
      <c r="GH198" s="215"/>
      <c r="GI198" s="215"/>
      <c r="GJ198" s="215"/>
    </row>
    <row r="199" spans="1:16384" ht="45" x14ac:dyDescent="0.2">
      <c r="B199" s="367" t="s">
        <v>577</v>
      </c>
      <c r="C199" s="367" t="s">
        <v>578</v>
      </c>
      <c r="D199" s="367" t="s">
        <v>579</v>
      </c>
      <c r="E199" s="367" t="s">
        <v>576</v>
      </c>
      <c r="F199" s="371" t="s">
        <v>596</v>
      </c>
      <c r="G199" s="372">
        <f>'dod3'!E195</f>
        <v>0</v>
      </c>
      <c r="H199" s="370">
        <f>'dod3'!J195</f>
        <v>248000</v>
      </c>
      <c r="I199" s="372">
        <f t="shared" ref="I199:I200" si="16">G199+H199</f>
        <v>248000</v>
      </c>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c r="AH199" s="215"/>
      <c r="AI199" s="215"/>
      <c r="AJ199" s="215"/>
      <c r="AK199" s="215"/>
      <c r="AL199" s="215"/>
      <c r="AM199" s="215"/>
      <c r="AN199" s="215"/>
      <c r="AO199" s="215"/>
      <c r="AP199" s="215"/>
      <c r="AQ199" s="215"/>
      <c r="AR199" s="215"/>
      <c r="AS199" s="215"/>
      <c r="AT199" s="215"/>
      <c r="AU199" s="215"/>
      <c r="AV199" s="215"/>
      <c r="AW199" s="215"/>
      <c r="AX199" s="215"/>
      <c r="AY199" s="215"/>
      <c r="AZ199" s="215"/>
      <c r="BA199" s="215"/>
      <c r="BB199" s="215"/>
      <c r="BC199" s="215"/>
      <c r="BD199" s="215"/>
      <c r="BE199" s="215"/>
      <c r="BF199" s="215"/>
      <c r="BG199" s="215"/>
      <c r="BH199" s="215"/>
      <c r="BI199" s="215"/>
      <c r="BJ199" s="215"/>
      <c r="BK199" s="215"/>
      <c r="BL199" s="215"/>
      <c r="BM199" s="215"/>
      <c r="BN199" s="215"/>
      <c r="BO199" s="215"/>
      <c r="BP199" s="215"/>
      <c r="BQ199" s="215"/>
      <c r="BR199" s="215"/>
      <c r="BS199" s="215"/>
      <c r="BT199" s="215"/>
      <c r="BU199" s="215"/>
      <c r="BV199" s="215"/>
      <c r="BW199" s="215"/>
      <c r="BX199" s="215"/>
      <c r="BY199" s="215"/>
      <c r="BZ199" s="215"/>
      <c r="CA199" s="215"/>
      <c r="CB199" s="215"/>
      <c r="CC199" s="215"/>
      <c r="CD199" s="215"/>
      <c r="CE199" s="215"/>
      <c r="CF199" s="215"/>
      <c r="CG199" s="215"/>
      <c r="CH199" s="215"/>
      <c r="CI199" s="215"/>
      <c r="CJ199" s="215"/>
      <c r="CK199" s="215"/>
      <c r="CL199" s="215"/>
      <c r="CM199" s="215"/>
      <c r="CN199" s="215"/>
      <c r="CO199" s="215"/>
      <c r="CP199" s="215"/>
      <c r="CQ199" s="215"/>
      <c r="CR199" s="215"/>
      <c r="CS199" s="215"/>
      <c r="CT199" s="215"/>
      <c r="CU199" s="215"/>
      <c r="CV199" s="215"/>
      <c r="CW199" s="215"/>
      <c r="CX199" s="215"/>
      <c r="CY199" s="215"/>
      <c r="CZ199" s="215"/>
      <c r="DA199" s="215"/>
      <c r="DB199" s="215"/>
      <c r="DC199" s="215"/>
      <c r="DD199" s="215"/>
      <c r="DE199" s="215"/>
      <c r="DF199" s="215"/>
      <c r="DG199" s="215"/>
      <c r="DH199" s="215"/>
      <c r="DI199" s="215"/>
      <c r="DJ199" s="215"/>
      <c r="DK199" s="215"/>
      <c r="DL199" s="215"/>
      <c r="DM199" s="215"/>
      <c r="DN199" s="215"/>
      <c r="DO199" s="215"/>
      <c r="DP199" s="215"/>
      <c r="DQ199" s="215"/>
      <c r="DR199" s="215"/>
      <c r="DS199" s="215"/>
      <c r="DT199" s="215"/>
      <c r="DU199" s="215"/>
      <c r="DV199" s="215"/>
      <c r="DW199" s="215"/>
      <c r="DX199" s="215"/>
      <c r="DY199" s="215"/>
      <c r="DZ199" s="215"/>
      <c r="EA199" s="215"/>
      <c r="EB199" s="215"/>
      <c r="EC199" s="215"/>
      <c r="ED199" s="215"/>
      <c r="EE199" s="215"/>
      <c r="EF199" s="215"/>
      <c r="EG199" s="215"/>
      <c r="EH199" s="215"/>
      <c r="EI199" s="215"/>
      <c r="EJ199" s="215"/>
      <c r="EK199" s="215"/>
      <c r="EL199" s="215"/>
      <c r="EM199" s="215"/>
      <c r="EN199" s="215"/>
      <c r="EO199" s="215"/>
      <c r="EP199" s="215"/>
      <c r="EQ199" s="215"/>
      <c r="ER199" s="215"/>
      <c r="ES199" s="215"/>
      <c r="ET199" s="215"/>
      <c r="EU199" s="215"/>
      <c r="EV199" s="215"/>
      <c r="EW199" s="215"/>
      <c r="EX199" s="215"/>
      <c r="EY199" s="215"/>
      <c r="EZ199" s="215"/>
      <c r="FA199" s="215"/>
      <c r="FB199" s="215"/>
      <c r="FC199" s="215"/>
      <c r="FD199" s="215"/>
      <c r="FE199" s="215"/>
      <c r="FF199" s="215"/>
      <c r="FG199" s="215"/>
      <c r="FH199" s="215"/>
      <c r="FI199" s="215"/>
      <c r="FJ199" s="215"/>
      <c r="FK199" s="215"/>
      <c r="FL199" s="215"/>
      <c r="FM199" s="215"/>
      <c r="FN199" s="215"/>
      <c r="FO199" s="215"/>
      <c r="FP199" s="215"/>
      <c r="FQ199" s="215"/>
      <c r="FR199" s="215"/>
      <c r="FS199" s="215"/>
      <c r="FT199" s="215"/>
      <c r="FU199" s="215"/>
      <c r="FV199" s="215"/>
      <c r="FW199" s="215"/>
      <c r="FX199" s="215"/>
      <c r="FY199" s="215"/>
      <c r="FZ199" s="215"/>
      <c r="GA199" s="215"/>
      <c r="GB199" s="215"/>
      <c r="GC199" s="215"/>
      <c r="GD199" s="215"/>
      <c r="GE199" s="215"/>
      <c r="GF199" s="215"/>
      <c r="GG199" s="215"/>
      <c r="GH199" s="215"/>
      <c r="GI199" s="215"/>
      <c r="GJ199" s="215"/>
    </row>
    <row r="200" spans="1:16384" ht="45" x14ac:dyDescent="0.2">
      <c r="B200" s="367" t="s">
        <v>839</v>
      </c>
      <c r="C200" s="367" t="s">
        <v>840</v>
      </c>
      <c r="D200" s="367" t="s">
        <v>324</v>
      </c>
      <c r="E200" s="367" t="s">
        <v>841</v>
      </c>
      <c r="F200" s="371" t="s">
        <v>596</v>
      </c>
      <c r="G200" s="372">
        <f>'dod3'!E196</f>
        <v>0</v>
      </c>
      <c r="H200" s="370">
        <f>'dod3'!J196</f>
        <v>52000</v>
      </c>
      <c r="I200" s="372">
        <f t="shared" si="16"/>
        <v>52000</v>
      </c>
      <c r="J200" s="215"/>
      <c r="K200" s="215"/>
      <c r="L200" s="215"/>
      <c r="M200" s="215"/>
      <c r="N200" s="215"/>
      <c r="O200" s="215"/>
      <c r="P200" s="215"/>
      <c r="Q200" s="215"/>
      <c r="R200" s="215"/>
      <c r="S200" s="215"/>
      <c r="T200" s="215"/>
      <c r="U200" s="215"/>
      <c r="V200" s="215"/>
      <c r="W200" s="215"/>
      <c r="X200" s="215"/>
      <c r="Y200" s="215"/>
      <c r="Z200" s="215"/>
      <c r="AA200" s="215"/>
      <c r="AB200" s="215"/>
      <c r="AC200" s="215"/>
      <c r="AD200" s="215"/>
      <c r="AE200" s="215"/>
      <c r="AF200" s="215"/>
      <c r="AG200" s="215"/>
      <c r="AH200" s="215"/>
      <c r="AI200" s="215"/>
      <c r="AJ200" s="215"/>
      <c r="AK200" s="215"/>
      <c r="AL200" s="215"/>
      <c r="AM200" s="215"/>
      <c r="AN200" s="215"/>
      <c r="AO200" s="215"/>
      <c r="AP200" s="215"/>
      <c r="AQ200" s="215"/>
      <c r="AR200" s="215"/>
      <c r="AS200" s="215"/>
      <c r="AT200" s="215"/>
      <c r="AU200" s="215"/>
      <c r="AV200" s="215"/>
      <c r="AW200" s="215"/>
      <c r="AX200" s="215"/>
      <c r="AY200" s="215"/>
      <c r="AZ200" s="215"/>
      <c r="BA200" s="215"/>
      <c r="BB200" s="215"/>
      <c r="BC200" s="215"/>
      <c r="BD200" s="215"/>
      <c r="BE200" s="215"/>
      <c r="BF200" s="215"/>
      <c r="BG200" s="215"/>
      <c r="BH200" s="215"/>
      <c r="BI200" s="215"/>
      <c r="BJ200" s="215"/>
      <c r="BK200" s="215"/>
      <c r="BL200" s="215"/>
      <c r="BM200" s="215"/>
      <c r="BN200" s="215"/>
      <c r="BO200" s="215"/>
      <c r="BP200" s="215"/>
      <c r="BQ200" s="215"/>
      <c r="BR200" s="215"/>
      <c r="BS200" s="215"/>
      <c r="BT200" s="215"/>
      <c r="BU200" s="215"/>
      <c r="BV200" s="215"/>
      <c r="BW200" s="215"/>
      <c r="BX200" s="215"/>
      <c r="BY200" s="215"/>
      <c r="BZ200" s="215"/>
      <c r="CA200" s="215"/>
      <c r="CB200" s="215"/>
      <c r="CC200" s="215"/>
      <c r="CD200" s="215"/>
      <c r="CE200" s="215"/>
      <c r="CF200" s="215"/>
      <c r="CG200" s="215"/>
      <c r="CH200" s="215"/>
      <c r="CI200" s="215"/>
      <c r="CJ200" s="215"/>
      <c r="CK200" s="215"/>
      <c r="CL200" s="215"/>
      <c r="CM200" s="215"/>
      <c r="CN200" s="215"/>
      <c r="CO200" s="215"/>
      <c r="CP200" s="215"/>
      <c r="CQ200" s="215"/>
      <c r="CR200" s="215"/>
      <c r="CS200" s="215"/>
      <c r="CT200" s="215"/>
      <c r="CU200" s="215"/>
      <c r="CV200" s="215"/>
      <c r="CW200" s="215"/>
      <c r="CX200" s="215"/>
      <c r="CY200" s="215"/>
      <c r="CZ200" s="215"/>
      <c r="DA200" s="215"/>
      <c r="DB200" s="215"/>
      <c r="DC200" s="215"/>
      <c r="DD200" s="215"/>
      <c r="DE200" s="215"/>
      <c r="DF200" s="215"/>
      <c r="DG200" s="215"/>
      <c r="DH200" s="215"/>
      <c r="DI200" s="215"/>
      <c r="DJ200" s="215"/>
      <c r="DK200" s="215"/>
      <c r="DL200" s="215"/>
      <c r="DM200" s="215"/>
      <c r="DN200" s="215"/>
      <c r="DO200" s="215"/>
      <c r="DP200" s="215"/>
      <c r="DQ200" s="215"/>
      <c r="DR200" s="215"/>
      <c r="DS200" s="215"/>
      <c r="DT200" s="215"/>
      <c r="DU200" s="215"/>
      <c r="DV200" s="215"/>
      <c r="DW200" s="215"/>
      <c r="DX200" s="215"/>
      <c r="DY200" s="215"/>
      <c r="DZ200" s="215"/>
      <c r="EA200" s="215"/>
      <c r="EB200" s="215"/>
      <c r="EC200" s="215"/>
      <c r="ED200" s="215"/>
      <c r="EE200" s="215"/>
      <c r="EF200" s="215"/>
      <c r="EG200" s="215"/>
      <c r="EH200" s="215"/>
      <c r="EI200" s="215"/>
      <c r="EJ200" s="215"/>
      <c r="EK200" s="215"/>
      <c r="EL200" s="215"/>
      <c r="EM200" s="215"/>
      <c r="EN200" s="215"/>
      <c r="EO200" s="215"/>
      <c r="EP200" s="215"/>
      <c r="EQ200" s="215"/>
      <c r="ER200" s="215"/>
      <c r="ES200" s="215"/>
      <c r="ET200" s="215"/>
      <c r="EU200" s="215"/>
      <c r="EV200" s="215"/>
      <c r="EW200" s="215"/>
      <c r="EX200" s="215"/>
      <c r="EY200" s="215"/>
      <c r="EZ200" s="215"/>
      <c r="FA200" s="215"/>
      <c r="FB200" s="215"/>
      <c r="FC200" s="215"/>
      <c r="FD200" s="215"/>
      <c r="FE200" s="215"/>
      <c r="FF200" s="215"/>
      <c r="FG200" s="215"/>
      <c r="FH200" s="215"/>
      <c r="FI200" s="215"/>
      <c r="FJ200" s="215"/>
      <c r="FK200" s="215"/>
      <c r="FL200" s="215"/>
      <c r="FM200" s="215"/>
      <c r="FN200" s="215"/>
      <c r="FO200" s="215"/>
      <c r="FP200" s="215"/>
      <c r="FQ200" s="215"/>
      <c r="FR200" s="215"/>
      <c r="FS200" s="215"/>
      <c r="FT200" s="215"/>
      <c r="FU200" s="215"/>
      <c r="FV200" s="215"/>
      <c r="FW200" s="215"/>
      <c r="FX200" s="215"/>
      <c r="FY200" s="215"/>
      <c r="FZ200" s="215"/>
      <c r="GA200" s="215"/>
      <c r="GB200" s="215"/>
      <c r="GC200" s="215"/>
      <c r="GD200" s="215"/>
      <c r="GE200" s="215"/>
      <c r="GF200" s="215"/>
      <c r="GG200" s="215"/>
      <c r="GH200" s="215"/>
      <c r="GI200" s="215"/>
      <c r="GJ200" s="215"/>
    </row>
    <row r="201" spans="1:16384" ht="26.25" customHeight="1" x14ac:dyDescent="0.2">
      <c r="A201" s="30"/>
      <c r="B201" s="251"/>
      <c r="C201" s="251"/>
      <c r="D201" s="252"/>
      <c r="E201" s="253" t="s">
        <v>60</v>
      </c>
      <c r="F201" s="264"/>
      <c r="G201" s="256">
        <f>G5+G22+G121+G41+G57+G106+G147+G181+G197+G190+G178+G171</f>
        <v>2562824007.8699999</v>
      </c>
      <c r="H201" s="256">
        <f>H5+H22+H121+H41+H57+H106+H147+H171+H178+H197+H190+H181</f>
        <v>577158982.94999993</v>
      </c>
      <c r="I201" s="265">
        <f>G201+H201</f>
        <v>3139982990.8199997</v>
      </c>
      <c r="J201" s="215"/>
      <c r="K201" s="215"/>
      <c r="L201" s="215"/>
      <c r="M201" s="215"/>
      <c r="N201" s="215"/>
      <c r="O201" s="215"/>
      <c r="P201" s="215"/>
      <c r="Q201" s="215"/>
      <c r="R201" s="215"/>
      <c r="S201" s="215"/>
      <c r="T201" s="215"/>
      <c r="U201" s="215"/>
      <c r="V201" s="215"/>
      <c r="W201" s="215"/>
      <c r="X201" s="215"/>
      <c r="Y201" s="215"/>
      <c r="Z201" s="215"/>
      <c r="AA201" s="215"/>
      <c r="AB201" s="215"/>
      <c r="AC201" s="215"/>
      <c r="AD201" s="215"/>
      <c r="AE201" s="215"/>
      <c r="AF201" s="215"/>
      <c r="AG201" s="215"/>
      <c r="AH201" s="215"/>
      <c r="AI201" s="215"/>
      <c r="AJ201" s="215"/>
      <c r="AK201" s="215"/>
      <c r="AL201" s="215"/>
      <c r="AM201" s="215"/>
      <c r="AN201" s="215"/>
      <c r="AO201" s="215"/>
      <c r="AP201" s="215"/>
      <c r="AQ201" s="215"/>
      <c r="AR201" s="215"/>
      <c r="AS201" s="215"/>
      <c r="AT201" s="215"/>
      <c r="AU201" s="215"/>
      <c r="AV201" s="215"/>
      <c r="AW201" s="215"/>
      <c r="AX201" s="215"/>
      <c r="AY201" s="215"/>
      <c r="AZ201" s="215"/>
      <c r="BA201" s="215"/>
      <c r="BB201" s="215"/>
      <c r="BC201" s="215"/>
      <c r="BD201" s="215"/>
      <c r="BE201" s="215"/>
      <c r="BF201" s="215"/>
      <c r="BG201" s="215"/>
      <c r="BH201" s="215"/>
      <c r="BI201" s="215"/>
      <c r="BJ201" s="215"/>
      <c r="BK201" s="215"/>
      <c r="BL201" s="215"/>
      <c r="BM201" s="215"/>
      <c r="BN201" s="215"/>
      <c r="BO201" s="215"/>
      <c r="BP201" s="215"/>
      <c r="BQ201" s="215"/>
      <c r="BR201" s="215"/>
      <c r="BS201" s="215"/>
      <c r="BT201" s="215"/>
      <c r="BU201" s="215"/>
      <c r="BV201" s="215"/>
      <c r="BW201" s="215"/>
      <c r="BX201" s="215"/>
      <c r="BY201" s="215"/>
      <c r="BZ201" s="215"/>
      <c r="CA201" s="215"/>
      <c r="CB201" s="215"/>
      <c r="CC201" s="215"/>
      <c r="CD201" s="215"/>
      <c r="CE201" s="215"/>
      <c r="CF201" s="215"/>
      <c r="CG201" s="215"/>
      <c r="CH201" s="215"/>
      <c r="CI201" s="215"/>
      <c r="CJ201" s="215"/>
      <c r="CK201" s="215"/>
      <c r="CL201" s="215"/>
      <c r="CM201" s="215"/>
      <c r="CN201" s="215"/>
      <c r="CO201" s="215"/>
      <c r="CP201" s="215"/>
      <c r="CQ201" s="215"/>
      <c r="CR201" s="215"/>
      <c r="CS201" s="215"/>
      <c r="CT201" s="215"/>
      <c r="CU201" s="215"/>
      <c r="CV201" s="215"/>
      <c r="CW201" s="215"/>
      <c r="CX201" s="215"/>
      <c r="CY201" s="215"/>
      <c r="CZ201" s="215"/>
      <c r="DA201" s="215"/>
      <c r="DB201" s="215"/>
      <c r="DC201" s="215"/>
      <c r="DD201" s="215"/>
      <c r="DE201" s="215"/>
      <c r="DF201" s="215"/>
      <c r="DG201" s="215"/>
      <c r="DH201" s="215"/>
      <c r="DI201" s="215"/>
      <c r="DJ201" s="215"/>
      <c r="DK201" s="215"/>
      <c r="DL201" s="215"/>
      <c r="DM201" s="215"/>
      <c r="DN201" s="215"/>
      <c r="DO201" s="215"/>
      <c r="DP201" s="215"/>
      <c r="DQ201" s="215"/>
      <c r="DR201" s="215"/>
      <c r="DS201" s="215"/>
      <c r="DT201" s="215"/>
      <c r="DU201" s="215"/>
      <c r="DV201" s="215"/>
      <c r="DW201" s="215"/>
      <c r="DX201" s="215"/>
      <c r="DY201" s="215"/>
      <c r="DZ201" s="215"/>
      <c r="EA201" s="215"/>
      <c r="EB201" s="215"/>
      <c r="EC201" s="215"/>
      <c r="ED201" s="215"/>
      <c r="EE201" s="215"/>
      <c r="EF201" s="215"/>
      <c r="EG201" s="215"/>
      <c r="EH201" s="215"/>
      <c r="EI201" s="215"/>
      <c r="EJ201" s="215"/>
      <c r="EK201" s="215"/>
      <c r="EL201" s="215"/>
      <c r="EM201" s="215"/>
      <c r="EN201" s="215"/>
      <c r="EO201" s="215"/>
      <c r="EP201" s="215"/>
      <c r="EQ201" s="215"/>
      <c r="ER201" s="215"/>
      <c r="ES201" s="215"/>
      <c r="ET201" s="215"/>
      <c r="EU201" s="215"/>
      <c r="EV201" s="215"/>
      <c r="EW201" s="215"/>
      <c r="EX201" s="215"/>
      <c r="EY201" s="215"/>
      <c r="EZ201" s="215"/>
      <c r="FA201" s="215"/>
      <c r="FB201" s="215"/>
      <c r="FC201" s="215"/>
      <c r="FD201" s="215"/>
      <c r="FE201" s="215"/>
      <c r="FF201" s="215"/>
      <c r="FG201" s="215"/>
      <c r="FH201" s="215"/>
      <c r="FI201" s="215"/>
      <c r="FJ201" s="215"/>
      <c r="FK201" s="215"/>
      <c r="FL201" s="215"/>
      <c r="FM201" s="215"/>
      <c r="FN201" s="215"/>
      <c r="FO201" s="215"/>
      <c r="FP201" s="215"/>
      <c r="FQ201" s="215"/>
      <c r="FR201" s="215"/>
      <c r="FS201" s="215"/>
      <c r="FT201" s="215"/>
      <c r="FU201" s="215"/>
      <c r="FV201" s="215"/>
      <c r="FW201" s="215"/>
      <c r="FX201" s="215"/>
      <c r="FY201" s="215"/>
      <c r="FZ201" s="215"/>
      <c r="GA201" s="215"/>
      <c r="GB201" s="215"/>
      <c r="GC201" s="215"/>
      <c r="GD201" s="215"/>
      <c r="GE201" s="215"/>
      <c r="GF201" s="215"/>
      <c r="GG201" s="215"/>
      <c r="GH201" s="215"/>
      <c r="GI201" s="215"/>
      <c r="GJ201" s="215"/>
    </row>
    <row r="202" spans="1:16384" ht="26.25" customHeight="1" x14ac:dyDescent="0.2">
      <c r="A202" s="660" t="s">
        <v>634</v>
      </c>
      <c r="B202" s="691"/>
      <c r="C202" s="691"/>
      <c r="D202" s="691"/>
      <c r="E202" s="691"/>
      <c r="F202" s="691"/>
      <c r="G202" s="691"/>
      <c r="H202" s="691"/>
      <c r="I202" s="691"/>
      <c r="J202" s="691"/>
      <c r="K202" s="691"/>
      <c r="L202" s="691"/>
      <c r="M202" s="691"/>
      <c r="N202" s="691"/>
      <c r="O202" s="691"/>
      <c r="P202" s="691"/>
      <c r="Q202" s="692"/>
      <c r="R202" s="691"/>
      <c r="S202" s="691"/>
      <c r="T202" s="691"/>
      <c r="U202" s="691"/>
      <c r="V202" s="691"/>
      <c r="W202" s="691"/>
      <c r="X202" s="691"/>
      <c r="Y202" s="691"/>
      <c r="Z202" s="691"/>
      <c r="AA202" s="691"/>
      <c r="AB202" s="691"/>
      <c r="AC202" s="691"/>
      <c r="AD202" s="691"/>
      <c r="AE202" s="691"/>
      <c r="AF202" s="691"/>
      <c r="AG202" s="692"/>
      <c r="AH202" s="691"/>
      <c r="AI202" s="691"/>
      <c r="AJ202" s="691"/>
      <c r="AK202" s="691"/>
      <c r="AL202" s="691"/>
      <c r="AM202" s="691"/>
      <c r="AN202" s="691"/>
      <c r="AO202" s="691"/>
      <c r="AP202" s="691"/>
      <c r="AQ202" s="691"/>
      <c r="AR202" s="691"/>
      <c r="AS202" s="691"/>
      <c r="AT202" s="691"/>
      <c r="AU202" s="691"/>
      <c r="AV202" s="691"/>
      <c r="AW202" s="692"/>
      <c r="AX202" s="691"/>
      <c r="AY202" s="691"/>
      <c r="AZ202" s="691"/>
      <c r="BA202" s="691"/>
      <c r="BB202" s="691"/>
      <c r="BC202" s="691"/>
      <c r="BD202" s="691"/>
      <c r="BE202" s="691"/>
      <c r="BF202" s="691"/>
      <c r="BG202" s="691"/>
      <c r="BH202" s="691"/>
      <c r="BI202" s="691"/>
      <c r="BJ202" s="691"/>
      <c r="BK202" s="691"/>
      <c r="BL202" s="691"/>
      <c r="BM202" s="692"/>
      <c r="BN202" s="691"/>
      <c r="BO202" s="691"/>
      <c r="BP202" s="691"/>
      <c r="BQ202" s="691"/>
      <c r="BR202" s="691"/>
      <c r="BS202" s="691"/>
      <c r="BT202" s="691"/>
      <c r="BU202" s="691"/>
      <c r="BV202" s="691"/>
      <c r="BW202" s="691"/>
      <c r="BX202" s="691"/>
      <c r="BY202" s="691"/>
      <c r="BZ202" s="691"/>
      <c r="CA202" s="691"/>
      <c r="CB202" s="691"/>
      <c r="CC202" s="692"/>
      <c r="CD202" s="691"/>
      <c r="CE202" s="691"/>
      <c r="CF202" s="691"/>
      <c r="CG202" s="691"/>
      <c r="CH202" s="691"/>
      <c r="CI202" s="691"/>
      <c r="CJ202" s="691"/>
      <c r="CK202" s="691"/>
      <c r="CL202" s="691"/>
      <c r="CM202" s="691"/>
      <c r="CN202" s="691"/>
      <c r="CO202" s="691"/>
      <c r="CP202" s="691"/>
      <c r="CQ202" s="691"/>
      <c r="CR202" s="691"/>
      <c r="CS202" s="692"/>
      <c r="CT202" s="691"/>
      <c r="CU202" s="691"/>
      <c r="CV202" s="691"/>
      <c r="CW202" s="691"/>
      <c r="CX202" s="691"/>
      <c r="CY202" s="691"/>
      <c r="CZ202" s="691"/>
      <c r="DA202" s="691"/>
      <c r="DB202" s="691"/>
      <c r="DC202" s="691"/>
      <c r="DD202" s="691"/>
      <c r="DE202" s="691"/>
      <c r="DF202" s="691"/>
      <c r="DG202" s="691"/>
      <c r="DH202" s="691"/>
      <c r="DI202" s="692"/>
      <c r="DJ202" s="691"/>
      <c r="DK202" s="691"/>
      <c r="DL202" s="691"/>
      <c r="DM202" s="691"/>
      <c r="DN202" s="691"/>
      <c r="DO202" s="691"/>
      <c r="DP202" s="691"/>
      <c r="DQ202" s="691"/>
      <c r="DR202" s="691"/>
      <c r="DS202" s="691"/>
      <c r="DT202" s="691"/>
      <c r="DU202" s="691"/>
      <c r="DV202" s="691"/>
      <c r="DW202" s="691"/>
      <c r="DX202" s="691"/>
      <c r="DY202" s="692"/>
      <c r="DZ202" s="691"/>
      <c r="EA202" s="691"/>
      <c r="EB202" s="691"/>
      <c r="EC202" s="691"/>
      <c r="ED202" s="691"/>
      <c r="EE202" s="691"/>
      <c r="EF202" s="691"/>
      <c r="EG202" s="691"/>
      <c r="EH202" s="691"/>
      <c r="EI202" s="691"/>
      <c r="EJ202" s="691"/>
      <c r="EK202" s="691"/>
      <c r="EL202" s="691"/>
      <c r="EM202" s="691"/>
      <c r="EN202" s="691"/>
      <c r="EO202" s="692"/>
      <c r="EP202" s="691"/>
      <c r="EQ202" s="691"/>
      <c r="ER202" s="691"/>
      <c r="ES202" s="691"/>
      <c r="ET202" s="691"/>
      <c r="EU202" s="691"/>
      <c r="EV202" s="691"/>
      <c r="EW202" s="691"/>
      <c r="EX202" s="691"/>
      <c r="EY202" s="691"/>
      <c r="EZ202" s="691"/>
      <c r="FA202" s="691"/>
      <c r="FB202" s="691"/>
      <c r="FC202" s="691"/>
      <c r="FD202" s="691"/>
      <c r="FE202" s="692"/>
      <c r="FF202" s="691"/>
      <c r="FG202" s="691"/>
      <c r="FH202" s="691"/>
      <c r="FI202" s="691"/>
      <c r="FJ202" s="691"/>
      <c r="FK202" s="691"/>
      <c r="FL202" s="691"/>
      <c r="FM202" s="691"/>
      <c r="FN202" s="691"/>
      <c r="FO202" s="691"/>
      <c r="FP202" s="691"/>
      <c r="FQ202" s="691"/>
      <c r="FR202" s="691"/>
      <c r="FS202" s="691"/>
      <c r="FT202" s="691"/>
      <c r="FU202" s="692"/>
      <c r="FV202" s="691"/>
      <c r="FW202" s="691"/>
      <c r="FX202" s="691"/>
      <c r="FY202" s="691"/>
      <c r="FZ202" s="691"/>
      <c r="GA202" s="691"/>
      <c r="GB202" s="691"/>
      <c r="GC202" s="691"/>
      <c r="GD202" s="691"/>
      <c r="GE202" s="691"/>
      <c r="GF202" s="691"/>
      <c r="GG202" s="691"/>
      <c r="GH202" s="691"/>
      <c r="GI202" s="691"/>
      <c r="GJ202" s="691"/>
      <c r="GK202" s="660" t="s">
        <v>634</v>
      </c>
      <c r="GL202" s="661"/>
      <c r="GM202" s="661"/>
      <c r="GN202" s="661"/>
      <c r="GO202" s="661"/>
      <c r="GP202" s="661"/>
      <c r="GQ202" s="661"/>
      <c r="GR202" s="661"/>
      <c r="GS202" s="661"/>
      <c r="GT202" s="661"/>
      <c r="GU202" s="661"/>
      <c r="GV202" s="661"/>
      <c r="GW202" s="661"/>
      <c r="GX202" s="661"/>
      <c r="GY202" s="661"/>
      <c r="GZ202" s="661"/>
      <c r="HA202" s="660" t="s">
        <v>634</v>
      </c>
      <c r="HB202" s="661"/>
      <c r="HC202" s="661"/>
      <c r="HD202" s="661"/>
      <c r="HE202" s="661"/>
      <c r="HF202" s="661"/>
      <c r="HG202" s="661"/>
      <c r="HH202" s="661"/>
      <c r="HI202" s="661"/>
      <c r="HJ202" s="661"/>
      <c r="HK202" s="661"/>
      <c r="HL202" s="661"/>
      <c r="HM202" s="661"/>
      <c r="HN202" s="661"/>
      <c r="HO202" s="661"/>
      <c r="HP202" s="661"/>
      <c r="HQ202" s="660" t="s">
        <v>634</v>
      </c>
      <c r="HR202" s="661"/>
      <c r="HS202" s="661"/>
      <c r="HT202" s="661"/>
      <c r="HU202" s="661"/>
      <c r="HV202" s="661"/>
      <c r="HW202" s="661"/>
      <c r="HX202" s="661"/>
      <c r="HY202" s="661"/>
      <c r="HZ202" s="661"/>
      <c r="IA202" s="661"/>
      <c r="IB202" s="661"/>
      <c r="IC202" s="661"/>
      <c r="ID202" s="661"/>
      <c r="IE202" s="661"/>
      <c r="IF202" s="661"/>
      <c r="IG202" s="660" t="s">
        <v>634</v>
      </c>
      <c r="IH202" s="661"/>
      <c r="II202" s="661"/>
      <c r="IJ202" s="661"/>
      <c r="IK202" s="661"/>
      <c r="IL202" s="661"/>
      <c r="IM202" s="661"/>
      <c r="IN202" s="661"/>
      <c r="IO202" s="661"/>
      <c r="IP202" s="661"/>
      <c r="IQ202" s="661"/>
      <c r="IR202" s="661"/>
      <c r="IS202" s="661"/>
      <c r="IT202" s="661"/>
      <c r="IU202" s="661"/>
      <c r="IV202" s="661"/>
      <c r="IW202" s="660" t="s">
        <v>634</v>
      </c>
      <c r="IX202" s="661"/>
      <c r="IY202" s="661"/>
      <c r="IZ202" s="661"/>
      <c r="JA202" s="661"/>
      <c r="JB202" s="661"/>
      <c r="JC202" s="661"/>
      <c r="JD202" s="661"/>
      <c r="JE202" s="661"/>
      <c r="JF202" s="661"/>
      <c r="JG202" s="661"/>
      <c r="JH202" s="661"/>
      <c r="JI202" s="661"/>
      <c r="JJ202" s="661"/>
      <c r="JK202" s="661"/>
      <c r="JL202" s="661"/>
      <c r="JM202" s="660" t="s">
        <v>634</v>
      </c>
      <c r="JN202" s="661"/>
      <c r="JO202" s="661"/>
      <c r="JP202" s="661"/>
      <c r="JQ202" s="661"/>
      <c r="JR202" s="661"/>
      <c r="JS202" s="661"/>
      <c r="JT202" s="661"/>
      <c r="JU202" s="661"/>
      <c r="JV202" s="661"/>
      <c r="JW202" s="661"/>
      <c r="JX202" s="661"/>
      <c r="JY202" s="661"/>
      <c r="JZ202" s="661"/>
      <c r="KA202" s="661"/>
      <c r="KB202" s="661"/>
      <c r="KC202" s="660" t="s">
        <v>634</v>
      </c>
      <c r="KD202" s="661"/>
      <c r="KE202" s="661"/>
      <c r="KF202" s="661"/>
      <c r="KG202" s="661"/>
      <c r="KH202" s="661"/>
      <c r="KI202" s="661"/>
      <c r="KJ202" s="661"/>
      <c r="KK202" s="661"/>
      <c r="KL202" s="661"/>
      <c r="KM202" s="661"/>
      <c r="KN202" s="661"/>
      <c r="KO202" s="661"/>
      <c r="KP202" s="661"/>
      <c r="KQ202" s="661"/>
      <c r="KR202" s="661"/>
      <c r="KS202" s="660" t="s">
        <v>634</v>
      </c>
      <c r="KT202" s="661"/>
      <c r="KU202" s="661"/>
      <c r="KV202" s="661"/>
      <c r="KW202" s="661"/>
      <c r="KX202" s="661"/>
      <c r="KY202" s="661"/>
      <c r="KZ202" s="661"/>
      <c r="LA202" s="661"/>
      <c r="LB202" s="661"/>
      <c r="LC202" s="661"/>
      <c r="LD202" s="661"/>
      <c r="LE202" s="661"/>
      <c r="LF202" s="661"/>
      <c r="LG202" s="661"/>
      <c r="LH202" s="661"/>
      <c r="LI202" s="660" t="s">
        <v>634</v>
      </c>
      <c r="LJ202" s="661"/>
      <c r="LK202" s="661"/>
      <c r="LL202" s="661"/>
      <c r="LM202" s="661"/>
      <c r="LN202" s="661"/>
      <c r="LO202" s="661"/>
      <c r="LP202" s="661"/>
      <c r="LQ202" s="661"/>
      <c r="LR202" s="661"/>
      <c r="LS202" s="661"/>
      <c r="LT202" s="661"/>
      <c r="LU202" s="661"/>
      <c r="LV202" s="661"/>
      <c r="LW202" s="661"/>
      <c r="LX202" s="661"/>
      <c r="LY202" s="660" t="s">
        <v>634</v>
      </c>
      <c r="LZ202" s="661"/>
      <c r="MA202" s="661"/>
      <c r="MB202" s="661"/>
      <c r="MC202" s="661"/>
      <c r="MD202" s="661"/>
      <c r="ME202" s="661"/>
      <c r="MF202" s="661"/>
      <c r="MG202" s="661"/>
      <c r="MH202" s="661"/>
      <c r="MI202" s="661"/>
      <c r="MJ202" s="661"/>
      <c r="MK202" s="661"/>
      <c r="ML202" s="661"/>
      <c r="MM202" s="661"/>
      <c r="MN202" s="661"/>
      <c r="MO202" s="660" t="s">
        <v>634</v>
      </c>
      <c r="MP202" s="661"/>
      <c r="MQ202" s="661"/>
      <c r="MR202" s="661"/>
      <c r="MS202" s="661"/>
      <c r="MT202" s="661"/>
      <c r="MU202" s="661"/>
      <c r="MV202" s="661"/>
      <c r="MW202" s="661"/>
      <c r="MX202" s="661"/>
      <c r="MY202" s="661"/>
      <c r="MZ202" s="661"/>
      <c r="NA202" s="661"/>
      <c r="NB202" s="661"/>
      <c r="NC202" s="661"/>
      <c r="ND202" s="661"/>
      <c r="NE202" s="660" t="s">
        <v>634</v>
      </c>
      <c r="NF202" s="661"/>
      <c r="NG202" s="661"/>
      <c r="NH202" s="661"/>
      <c r="NI202" s="661"/>
      <c r="NJ202" s="661"/>
      <c r="NK202" s="661"/>
      <c r="NL202" s="661"/>
      <c r="NM202" s="661"/>
      <c r="NN202" s="661"/>
      <c r="NO202" s="661"/>
      <c r="NP202" s="661"/>
      <c r="NQ202" s="661"/>
      <c r="NR202" s="661"/>
      <c r="NS202" s="661"/>
      <c r="NT202" s="661"/>
      <c r="NU202" s="660" t="s">
        <v>634</v>
      </c>
      <c r="NV202" s="661"/>
      <c r="NW202" s="661"/>
      <c r="NX202" s="661"/>
      <c r="NY202" s="661"/>
      <c r="NZ202" s="661"/>
      <c r="OA202" s="661"/>
      <c r="OB202" s="661"/>
      <c r="OC202" s="661"/>
      <c r="OD202" s="661"/>
      <c r="OE202" s="661"/>
      <c r="OF202" s="661"/>
      <c r="OG202" s="661"/>
      <c r="OH202" s="661"/>
      <c r="OI202" s="661"/>
      <c r="OJ202" s="661"/>
      <c r="OK202" s="660" t="s">
        <v>634</v>
      </c>
      <c r="OL202" s="661"/>
      <c r="OM202" s="661"/>
      <c r="ON202" s="661"/>
      <c r="OO202" s="661"/>
      <c r="OP202" s="661"/>
      <c r="OQ202" s="661"/>
      <c r="OR202" s="661"/>
      <c r="OS202" s="661"/>
      <c r="OT202" s="661"/>
      <c r="OU202" s="661"/>
      <c r="OV202" s="661"/>
      <c r="OW202" s="661"/>
      <c r="OX202" s="661"/>
      <c r="OY202" s="661"/>
      <c r="OZ202" s="661"/>
      <c r="PA202" s="660" t="s">
        <v>634</v>
      </c>
      <c r="PB202" s="661"/>
      <c r="PC202" s="661"/>
      <c r="PD202" s="661"/>
      <c r="PE202" s="661"/>
      <c r="PF202" s="661"/>
      <c r="PG202" s="661"/>
      <c r="PH202" s="661"/>
      <c r="PI202" s="661"/>
      <c r="PJ202" s="661"/>
      <c r="PK202" s="661"/>
      <c r="PL202" s="661"/>
      <c r="PM202" s="661"/>
      <c r="PN202" s="661"/>
      <c r="PO202" s="661"/>
      <c r="PP202" s="661"/>
      <c r="PQ202" s="660" t="s">
        <v>634</v>
      </c>
      <c r="PR202" s="661"/>
      <c r="PS202" s="661"/>
      <c r="PT202" s="661"/>
      <c r="PU202" s="661"/>
      <c r="PV202" s="661"/>
      <c r="PW202" s="661"/>
      <c r="PX202" s="661"/>
      <c r="PY202" s="661"/>
      <c r="PZ202" s="661"/>
      <c r="QA202" s="661"/>
      <c r="QB202" s="661"/>
      <c r="QC202" s="661"/>
      <c r="QD202" s="661"/>
      <c r="QE202" s="661"/>
      <c r="QF202" s="661"/>
      <c r="QG202" s="660" t="s">
        <v>634</v>
      </c>
      <c r="QH202" s="661"/>
      <c r="QI202" s="661"/>
      <c r="QJ202" s="661"/>
      <c r="QK202" s="661"/>
      <c r="QL202" s="661"/>
      <c r="QM202" s="661"/>
      <c r="QN202" s="661"/>
      <c r="QO202" s="661"/>
      <c r="QP202" s="661"/>
      <c r="QQ202" s="661"/>
      <c r="QR202" s="661"/>
      <c r="QS202" s="661"/>
      <c r="QT202" s="661"/>
      <c r="QU202" s="661"/>
      <c r="QV202" s="661"/>
      <c r="QW202" s="660" t="s">
        <v>634</v>
      </c>
      <c r="QX202" s="661"/>
      <c r="QY202" s="661"/>
      <c r="QZ202" s="661"/>
      <c r="RA202" s="661"/>
      <c r="RB202" s="661"/>
      <c r="RC202" s="661"/>
      <c r="RD202" s="661"/>
      <c r="RE202" s="661"/>
      <c r="RF202" s="661"/>
      <c r="RG202" s="661"/>
      <c r="RH202" s="661"/>
      <c r="RI202" s="661"/>
      <c r="RJ202" s="661"/>
      <c r="RK202" s="661"/>
      <c r="RL202" s="661"/>
      <c r="RM202" s="660" t="s">
        <v>634</v>
      </c>
      <c r="RN202" s="661"/>
      <c r="RO202" s="661"/>
      <c r="RP202" s="661"/>
      <c r="RQ202" s="661"/>
      <c r="RR202" s="661"/>
      <c r="RS202" s="661"/>
      <c r="RT202" s="661"/>
      <c r="RU202" s="661"/>
      <c r="RV202" s="661"/>
      <c r="RW202" s="661"/>
      <c r="RX202" s="661"/>
      <c r="RY202" s="661"/>
      <c r="RZ202" s="661"/>
      <c r="SA202" s="661"/>
      <c r="SB202" s="661"/>
      <c r="SC202" s="660" t="s">
        <v>634</v>
      </c>
      <c r="SD202" s="661"/>
      <c r="SE202" s="661"/>
      <c r="SF202" s="661"/>
      <c r="SG202" s="661"/>
      <c r="SH202" s="661"/>
      <c r="SI202" s="661"/>
      <c r="SJ202" s="661"/>
      <c r="SK202" s="661"/>
      <c r="SL202" s="661"/>
      <c r="SM202" s="661"/>
      <c r="SN202" s="661"/>
      <c r="SO202" s="661"/>
      <c r="SP202" s="661"/>
      <c r="SQ202" s="661"/>
      <c r="SR202" s="661"/>
      <c r="SS202" s="660" t="s">
        <v>634</v>
      </c>
      <c r="ST202" s="661"/>
      <c r="SU202" s="661"/>
      <c r="SV202" s="661"/>
      <c r="SW202" s="661"/>
      <c r="SX202" s="661"/>
      <c r="SY202" s="661"/>
      <c r="SZ202" s="661"/>
      <c r="TA202" s="661"/>
      <c r="TB202" s="661"/>
      <c r="TC202" s="661"/>
      <c r="TD202" s="661"/>
      <c r="TE202" s="661"/>
      <c r="TF202" s="661"/>
      <c r="TG202" s="661"/>
      <c r="TH202" s="661"/>
      <c r="TI202" s="660" t="s">
        <v>634</v>
      </c>
      <c r="TJ202" s="661"/>
      <c r="TK202" s="661"/>
      <c r="TL202" s="661"/>
      <c r="TM202" s="661"/>
      <c r="TN202" s="661"/>
      <c r="TO202" s="661"/>
      <c r="TP202" s="661"/>
      <c r="TQ202" s="661"/>
      <c r="TR202" s="661"/>
      <c r="TS202" s="661"/>
      <c r="TT202" s="661"/>
      <c r="TU202" s="661"/>
      <c r="TV202" s="661"/>
      <c r="TW202" s="661"/>
      <c r="TX202" s="661"/>
      <c r="TY202" s="660" t="s">
        <v>634</v>
      </c>
      <c r="TZ202" s="661"/>
      <c r="UA202" s="661"/>
      <c r="UB202" s="661"/>
      <c r="UC202" s="661"/>
      <c r="UD202" s="661"/>
      <c r="UE202" s="661"/>
      <c r="UF202" s="661"/>
      <c r="UG202" s="661"/>
      <c r="UH202" s="661"/>
      <c r="UI202" s="661"/>
      <c r="UJ202" s="661"/>
      <c r="UK202" s="661"/>
      <c r="UL202" s="661"/>
      <c r="UM202" s="661"/>
      <c r="UN202" s="661"/>
      <c r="UO202" s="660" t="s">
        <v>634</v>
      </c>
      <c r="UP202" s="661"/>
      <c r="UQ202" s="661"/>
      <c r="UR202" s="661"/>
      <c r="US202" s="661"/>
      <c r="UT202" s="661"/>
      <c r="UU202" s="661"/>
      <c r="UV202" s="661"/>
      <c r="UW202" s="661"/>
      <c r="UX202" s="661"/>
      <c r="UY202" s="661"/>
      <c r="UZ202" s="661"/>
      <c r="VA202" s="661"/>
      <c r="VB202" s="661"/>
      <c r="VC202" s="661"/>
      <c r="VD202" s="661"/>
      <c r="VE202" s="660" t="s">
        <v>634</v>
      </c>
      <c r="VF202" s="661"/>
      <c r="VG202" s="661"/>
      <c r="VH202" s="661"/>
      <c r="VI202" s="661"/>
      <c r="VJ202" s="661"/>
      <c r="VK202" s="661"/>
      <c r="VL202" s="661"/>
      <c r="VM202" s="661"/>
      <c r="VN202" s="661"/>
      <c r="VO202" s="661"/>
      <c r="VP202" s="661"/>
      <c r="VQ202" s="661"/>
      <c r="VR202" s="661"/>
      <c r="VS202" s="661"/>
      <c r="VT202" s="661"/>
      <c r="VU202" s="660" t="s">
        <v>634</v>
      </c>
      <c r="VV202" s="661"/>
      <c r="VW202" s="661"/>
      <c r="VX202" s="661"/>
      <c r="VY202" s="661"/>
      <c r="VZ202" s="661"/>
      <c r="WA202" s="661"/>
      <c r="WB202" s="661"/>
      <c r="WC202" s="661"/>
      <c r="WD202" s="661"/>
      <c r="WE202" s="661"/>
      <c r="WF202" s="661"/>
      <c r="WG202" s="661"/>
      <c r="WH202" s="661"/>
      <c r="WI202" s="661"/>
      <c r="WJ202" s="661"/>
      <c r="WK202" s="660" t="s">
        <v>634</v>
      </c>
      <c r="WL202" s="661"/>
      <c r="WM202" s="661"/>
      <c r="WN202" s="661"/>
      <c r="WO202" s="661"/>
      <c r="WP202" s="661"/>
      <c r="WQ202" s="661"/>
      <c r="WR202" s="661"/>
      <c r="WS202" s="661"/>
      <c r="WT202" s="661"/>
      <c r="WU202" s="661"/>
      <c r="WV202" s="661"/>
      <c r="WW202" s="661"/>
      <c r="WX202" s="661"/>
      <c r="WY202" s="661"/>
      <c r="WZ202" s="661"/>
      <c r="XA202" s="660" t="s">
        <v>634</v>
      </c>
      <c r="XB202" s="661"/>
      <c r="XC202" s="661"/>
      <c r="XD202" s="661"/>
      <c r="XE202" s="661"/>
      <c r="XF202" s="661"/>
      <c r="XG202" s="661"/>
      <c r="XH202" s="661"/>
      <c r="XI202" s="661"/>
      <c r="XJ202" s="661"/>
      <c r="XK202" s="661"/>
      <c r="XL202" s="661"/>
      <c r="XM202" s="661"/>
      <c r="XN202" s="661"/>
      <c r="XO202" s="661"/>
      <c r="XP202" s="661"/>
      <c r="XQ202" s="660" t="s">
        <v>634</v>
      </c>
      <c r="XR202" s="661"/>
      <c r="XS202" s="661"/>
      <c r="XT202" s="661"/>
      <c r="XU202" s="661"/>
      <c r="XV202" s="661"/>
      <c r="XW202" s="661"/>
      <c r="XX202" s="661"/>
      <c r="XY202" s="661"/>
      <c r="XZ202" s="661"/>
      <c r="YA202" s="661"/>
      <c r="YB202" s="661"/>
      <c r="YC202" s="661"/>
      <c r="YD202" s="661"/>
      <c r="YE202" s="661"/>
      <c r="YF202" s="661"/>
      <c r="YG202" s="660" t="s">
        <v>634</v>
      </c>
      <c r="YH202" s="661"/>
      <c r="YI202" s="661"/>
      <c r="YJ202" s="661"/>
      <c r="YK202" s="661"/>
      <c r="YL202" s="661"/>
      <c r="YM202" s="661"/>
      <c r="YN202" s="661"/>
      <c r="YO202" s="661"/>
      <c r="YP202" s="661"/>
      <c r="YQ202" s="661"/>
      <c r="YR202" s="661"/>
      <c r="YS202" s="661"/>
      <c r="YT202" s="661"/>
      <c r="YU202" s="661"/>
      <c r="YV202" s="661"/>
      <c r="YW202" s="660" t="s">
        <v>634</v>
      </c>
      <c r="YX202" s="661"/>
      <c r="YY202" s="661"/>
      <c r="YZ202" s="661"/>
      <c r="ZA202" s="661"/>
      <c r="ZB202" s="661"/>
      <c r="ZC202" s="661"/>
      <c r="ZD202" s="661"/>
      <c r="ZE202" s="661"/>
      <c r="ZF202" s="661"/>
      <c r="ZG202" s="661"/>
      <c r="ZH202" s="661"/>
      <c r="ZI202" s="661"/>
      <c r="ZJ202" s="661"/>
      <c r="ZK202" s="661"/>
      <c r="ZL202" s="661"/>
      <c r="ZM202" s="660" t="s">
        <v>634</v>
      </c>
      <c r="ZN202" s="661"/>
      <c r="ZO202" s="661"/>
      <c r="ZP202" s="661"/>
      <c r="ZQ202" s="661"/>
      <c r="ZR202" s="661"/>
      <c r="ZS202" s="661"/>
      <c r="ZT202" s="661"/>
      <c r="ZU202" s="661"/>
      <c r="ZV202" s="661"/>
      <c r="ZW202" s="661"/>
      <c r="ZX202" s="661"/>
      <c r="ZY202" s="661"/>
      <c r="ZZ202" s="661"/>
      <c r="AAA202" s="661"/>
      <c r="AAB202" s="661"/>
      <c r="AAC202" s="660" t="s">
        <v>634</v>
      </c>
      <c r="AAD202" s="661"/>
      <c r="AAE202" s="661"/>
      <c r="AAF202" s="661"/>
      <c r="AAG202" s="661"/>
      <c r="AAH202" s="661"/>
      <c r="AAI202" s="661"/>
      <c r="AAJ202" s="661"/>
      <c r="AAK202" s="661"/>
      <c r="AAL202" s="661"/>
      <c r="AAM202" s="661"/>
      <c r="AAN202" s="661"/>
      <c r="AAO202" s="661"/>
      <c r="AAP202" s="661"/>
      <c r="AAQ202" s="661"/>
      <c r="AAR202" s="661"/>
      <c r="AAS202" s="660" t="s">
        <v>634</v>
      </c>
      <c r="AAT202" s="661"/>
      <c r="AAU202" s="661"/>
      <c r="AAV202" s="661"/>
      <c r="AAW202" s="661"/>
      <c r="AAX202" s="661"/>
      <c r="AAY202" s="661"/>
      <c r="AAZ202" s="661"/>
      <c r="ABA202" s="661"/>
      <c r="ABB202" s="661"/>
      <c r="ABC202" s="661"/>
      <c r="ABD202" s="661"/>
      <c r="ABE202" s="661"/>
      <c r="ABF202" s="661"/>
      <c r="ABG202" s="661"/>
      <c r="ABH202" s="661"/>
      <c r="ABI202" s="660" t="s">
        <v>634</v>
      </c>
      <c r="ABJ202" s="661"/>
      <c r="ABK202" s="661"/>
      <c r="ABL202" s="661"/>
      <c r="ABM202" s="661"/>
      <c r="ABN202" s="661"/>
      <c r="ABO202" s="661"/>
      <c r="ABP202" s="661"/>
      <c r="ABQ202" s="661"/>
      <c r="ABR202" s="661"/>
      <c r="ABS202" s="661"/>
      <c r="ABT202" s="661"/>
      <c r="ABU202" s="661"/>
      <c r="ABV202" s="661"/>
      <c r="ABW202" s="661"/>
      <c r="ABX202" s="661"/>
      <c r="ABY202" s="660" t="s">
        <v>634</v>
      </c>
      <c r="ABZ202" s="661"/>
      <c r="ACA202" s="661"/>
      <c r="ACB202" s="661"/>
      <c r="ACC202" s="661"/>
      <c r="ACD202" s="661"/>
      <c r="ACE202" s="661"/>
      <c r="ACF202" s="661"/>
      <c r="ACG202" s="661"/>
      <c r="ACH202" s="661"/>
      <c r="ACI202" s="661"/>
      <c r="ACJ202" s="661"/>
      <c r="ACK202" s="661"/>
      <c r="ACL202" s="661"/>
      <c r="ACM202" s="661"/>
      <c r="ACN202" s="661"/>
      <c r="ACO202" s="660" t="s">
        <v>634</v>
      </c>
      <c r="ACP202" s="661"/>
      <c r="ACQ202" s="661"/>
      <c r="ACR202" s="661"/>
      <c r="ACS202" s="661"/>
      <c r="ACT202" s="661"/>
      <c r="ACU202" s="661"/>
      <c r="ACV202" s="661"/>
      <c r="ACW202" s="661"/>
      <c r="ACX202" s="661"/>
      <c r="ACY202" s="661"/>
      <c r="ACZ202" s="661"/>
      <c r="ADA202" s="661"/>
      <c r="ADB202" s="661"/>
      <c r="ADC202" s="661"/>
      <c r="ADD202" s="661"/>
      <c r="ADE202" s="660" t="s">
        <v>634</v>
      </c>
      <c r="ADF202" s="661"/>
      <c r="ADG202" s="661"/>
      <c r="ADH202" s="661"/>
      <c r="ADI202" s="661"/>
      <c r="ADJ202" s="661"/>
      <c r="ADK202" s="661"/>
      <c r="ADL202" s="661"/>
      <c r="ADM202" s="661"/>
      <c r="ADN202" s="661"/>
      <c r="ADO202" s="661"/>
      <c r="ADP202" s="661"/>
      <c r="ADQ202" s="661"/>
      <c r="ADR202" s="661"/>
      <c r="ADS202" s="661"/>
      <c r="ADT202" s="661"/>
      <c r="ADU202" s="660" t="s">
        <v>634</v>
      </c>
      <c r="ADV202" s="661"/>
      <c r="ADW202" s="661"/>
      <c r="ADX202" s="661"/>
      <c r="ADY202" s="661"/>
      <c r="ADZ202" s="661"/>
      <c r="AEA202" s="661"/>
      <c r="AEB202" s="661"/>
      <c r="AEC202" s="661"/>
      <c r="AED202" s="661"/>
      <c r="AEE202" s="661"/>
      <c r="AEF202" s="661"/>
      <c r="AEG202" s="661"/>
      <c r="AEH202" s="661"/>
      <c r="AEI202" s="661"/>
      <c r="AEJ202" s="661"/>
      <c r="AEK202" s="660" t="s">
        <v>634</v>
      </c>
      <c r="AEL202" s="661"/>
      <c r="AEM202" s="661"/>
      <c r="AEN202" s="661"/>
      <c r="AEO202" s="661"/>
      <c r="AEP202" s="661"/>
      <c r="AEQ202" s="661"/>
      <c r="AER202" s="661"/>
      <c r="AES202" s="661"/>
      <c r="AET202" s="661"/>
      <c r="AEU202" s="661"/>
      <c r="AEV202" s="661"/>
      <c r="AEW202" s="661"/>
      <c r="AEX202" s="661"/>
      <c r="AEY202" s="661"/>
      <c r="AEZ202" s="661"/>
      <c r="AFA202" s="660" t="s">
        <v>634</v>
      </c>
      <c r="AFB202" s="661"/>
      <c r="AFC202" s="661"/>
      <c r="AFD202" s="661"/>
      <c r="AFE202" s="661"/>
      <c r="AFF202" s="661"/>
      <c r="AFG202" s="661"/>
      <c r="AFH202" s="661"/>
      <c r="AFI202" s="661"/>
      <c r="AFJ202" s="661"/>
      <c r="AFK202" s="661"/>
      <c r="AFL202" s="661"/>
      <c r="AFM202" s="661"/>
      <c r="AFN202" s="661"/>
      <c r="AFO202" s="661"/>
      <c r="AFP202" s="661"/>
      <c r="AFQ202" s="660" t="s">
        <v>634</v>
      </c>
      <c r="AFR202" s="661"/>
      <c r="AFS202" s="661"/>
      <c r="AFT202" s="661"/>
      <c r="AFU202" s="661"/>
      <c r="AFV202" s="661"/>
      <c r="AFW202" s="661"/>
      <c r="AFX202" s="661"/>
      <c r="AFY202" s="661"/>
      <c r="AFZ202" s="661"/>
      <c r="AGA202" s="661"/>
      <c r="AGB202" s="661"/>
      <c r="AGC202" s="661"/>
      <c r="AGD202" s="661"/>
      <c r="AGE202" s="661"/>
      <c r="AGF202" s="661"/>
      <c r="AGG202" s="660" t="s">
        <v>634</v>
      </c>
      <c r="AGH202" s="661"/>
      <c r="AGI202" s="661"/>
      <c r="AGJ202" s="661"/>
      <c r="AGK202" s="661"/>
      <c r="AGL202" s="661"/>
      <c r="AGM202" s="661"/>
      <c r="AGN202" s="661"/>
      <c r="AGO202" s="661"/>
      <c r="AGP202" s="661"/>
      <c r="AGQ202" s="661"/>
      <c r="AGR202" s="661"/>
      <c r="AGS202" s="661"/>
      <c r="AGT202" s="661"/>
      <c r="AGU202" s="661"/>
      <c r="AGV202" s="661"/>
      <c r="AGW202" s="660" t="s">
        <v>634</v>
      </c>
      <c r="AGX202" s="661"/>
      <c r="AGY202" s="661"/>
      <c r="AGZ202" s="661"/>
      <c r="AHA202" s="661"/>
      <c r="AHB202" s="661"/>
      <c r="AHC202" s="661"/>
      <c r="AHD202" s="661"/>
      <c r="AHE202" s="661"/>
      <c r="AHF202" s="661"/>
      <c r="AHG202" s="661"/>
      <c r="AHH202" s="661"/>
      <c r="AHI202" s="661"/>
      <c r="AHJ202" s="661"/>
      <c r="AHK202" s="661"/>
      <c r="AHL202" s="661"/>
      <c r="AHM202" s="660" t="s">
        <v>634</v>
      </c>
      <c r="AHN202" s="661"/>
      <c r="AHO202" s="661"/>
      <c r="AHP202" s="661"/>
      <c r="AHQ202" s="661"/>
      <c r="AHR202" s="661"/>
      <c r="AHS202" s="661"/>
      <c r="AHT202" s="661"/>
      <c r="AHU202" s="661"/>
      <c r="AHV202" s="661"/>
      <c r="AHW202" s="661"/>
      <c r="AHX202" s="661"/>
      <c r="AHY202" s="661"/>
      <c r="AHZ202" s="661"/>
      <c r="AIA202" s="661"/>
      <c r="AIB202" s="661"/>
      <c r="AIC202" s="660" t="s">
        <v>634</v>
      </c>
      <c r="AID202" s="661"/>
      <c r="AIE202" s="661"/>
      <c r="AIF202" s="661"/>
      <c r="AIG202" s="661"/>
      <c r="AIH202" s="661"/>
      <c r="AII202" s="661"/>
      <c r="AIJ202" s="661"/>
      <c r="AIK202" s="661"/>
      <c r="AIL202" s="661"/>
      <c r="AIM202" s="661"/>
      <c r="AIN202" s="661"/>
      <c r="AIO202" s="661"/>
      <c r="AIP202" s="661"/>
      <c r="AIQ202" s="661"/>
      <c r="AIR202" s="661"/>
      <c r="AIS202" s="660" t="s">
        <v>634</v>
      </c>
      <c r="AIT202" s="661"/>
      <c r="AIU202" s="661"/>
      <c r="AIV202" s="661"/>
      <c r="AIW202" s="661"/>
      <c r="AIX202" s="661"/>
      <c r="AIY202" s="661"/>
      <c r="AIZ202" s="661"/>
      <c r="AJA202" s="661"/>
      <c r="AJB202" s="661"/>
      <c r="AJC202" s="661"/>
      <c r="AJD202" s="661"/>
      <c r="AJE202" s="661"/>
      <c r="AJF202" s="661"/>
      <c r="AJG202" s="661"/>
      <c r="AJH202" s="661"/>
      <c r="AJI202" s="660" t="s">
        <v>634</v>
      </c>
      <c r="AJJ202" s="661"/>
      <c r="AJK202" s="661"/>
      <c r="AJL202" s="661"/>
      <c r="AJM202" s="661"/>
      <c r="AJN202" s="661"/>
      <c r="AJO202" s="661"/>
      <c r="AJP202" s="661"/>
      <c r="AJQ202" s="661"/>
      <c r="AJR202" s="661"/>
      <c r="AJS202" s="661"/>
      <c r="AJT202" s="661"/>
      <c r="AJU202" s="661"/>
      <c r="AJV202" s="661"/>
      <c r="AJW202" s="661"/>
      <c r="AJX202" s="661"/>
      <c r="AJY202" s="660" t="s">
        <v>634</v>
      </c>
      <c r="AJZ202" s="661"/>
      <c r="AKA202" s="661"/>
      <c r="AKB202" s="661"/>
      <c r="AKC202" s="661"/>
      <c r="AKD202" s="661"/>
      <c r="AKE202" s="661"/>
      <c r="AKF202" s="661"/>
      <c r="AKG202" s="661"/>
      <c r="AKH202" s="661"/>
      <c r="AKI202" s="661"/>
      <c r="AKJ202" s="661"/>
      <c r="AKK202" s="661"/>
      <c r="AKL202" s="661"/>
      <c r="AKM202" s="661"/>
      <c r="AKN202" s="661"/>
      <c r="AKO202" s="660" t="s">
        <v>634</v>
      </c>
      <c r="AKP202" s="661"/>
      <c r="AKQ202" s="661"/>
      <c r="AKR202" s="661"/>
      <c r="AKS202" s="661"/>
      <c r="AKT202" s="661"/>
      <c r="AKU202" s="661"/>
      <c r="AKV202" s="661"/>
      <c r="AKW202" s="661"/>
      <c r="AKX202" s="661"/>
      <c r="AKY202" s="661"/>
      <c r="AKZ202" s="661"/>
      <c r="ALA202" s="661"/>
      <c r="ALB202" s="661"/>
      <c r="ALC202" s="661"/>
      <c r="ALD202" s="661"/>
      <c r="ALE202" s="660" t="s">
        <v>634</v>
      </c>
      <c r="ALF202" s="661"/>
      <c r="ALG202" s="661"/>
      <c r="ALH202" s="661"/>
      <c r="ALI202" s="661"/>
      <c r="ALJ202" s="661"/>
      <c r="ALK202" s="661"/>
      <c r="ALL202" s="661"/>
      <c r="ALM202" s="661"/>
      <c r="ALN202" s="661"/>
      <c r="ALO202" s="661"/>
      <c r="ALP202" s="661"/>
      <c r="ALQ202" s="661"/>
      <c r="ALR202" s="661"/>
      <c r="ALS202" s="661"/>
      <c r="ALT202" s="661"/>
      <c r="ALU202" s="660" t="s">
        <v>634</v>
      </c>
      <c r="ALV202" s="661"/>
      <c r="ALW202" s="661"/>
      <c r="ALX202" s="661"/>
      <c r="ALY202" s="661"/>
      <c r="ALZ202" s="661"/>
      <c r="AMA202" s="661"/>
      <c r="AMB202" s="661"/>
      <c r="AMC202" s="661"/>
      <c r="AMD202" s="661"/>
      <c r="AME202" s="661"/>
      <c r="AMF202" s="661"/>
      <c r="AMG202" s="661"/>
      <c r="AMH202" s="661"/>
      <c r="AMI202" s="661"/>
      <c r="AMJ202" s="661"/>
      <c r="AMK202" s="660" t="s">
        <v>634</v>
      </c>
      <c r="AML202" s="661"/>
      <c r="AMM202" s="661"/>
      <c r="AMN202" s="661"/>
      <c r="AMO202" s="661"/>
      <c r="AMP202" s="661"/>
      <c r="AMQ202" s="661"/>
      <c r="AMR202" s="661"/>
      <c r="AMS202" s="661"/>
      <c r="AMT202" s="661"/>
      <c r="AMU202" s="661"/>
      <c r="AMV202" s="661"/>
      <c r="AMW202" s="661"/>
      <c r="AMX202" s="661"/>
      <c r="AMY202" s="661"/>
      <c r="AMZ202" s="661"/>
      <c r="ANA202" s="660" t="s">
        <v>634</v>
      </c>
      <c r="ANB202" s="661"/>
      <c r="ANC202" s="661"/>
      <c r="AND202" s="661"/>
      <c r="ANE202" s="661"/>
      <c r="ANF202" s="661"/>
      <c r="ANG202" s="661"/>
      <c r="ANH202" s="661"/>
      <c r="ANI202" s="661"/>
      <c r="ANJ202" s="661"/>
      <c r="ANK202" s="661"/>
      <c r="ANL202" s="661"/>
      <c r="ANM202" s="661"/>
      <c r="ANN202" s="661"/>
      <c r="ANO202" s="661"/>
      <c r="ANP202" s="661"/>
      <c r="ANQ202" s="660" t="s">
        <v>634</v>
      </c>
      <c r="ANR202" s="661"/>
      <c r="ANS202" s="661"/>
      <c r="ANT202" s="661"/>
      <c r="ANU202" s="661"/>
      <c r="ANV202" s="661"/>
      <c r="ANW202" s="661"/>
      <c r="ANX202" s="661"/>
      <c r="ANY202" s="661"/>
      <c r="ANZ202" s="661"/>
      <c r="AOA202" s="661"/>
      <c r="AOB202" s="661"/>
      <c r="AOC202" s="661"/>
      <c r="AOD202" s="661"/>
      <c r="AOE202" s="661"/>
      <c r="AOF202" s="661"/>
      <c r="AOG202" s="660" t="s">
        <v>634</v>
      </c>
      <c r="AOH202" s="661"/>
      <c r="AOI202" s="661"/>
      <c r="AOJ202" s="661"/>
      <c r="AOK202" s="661"/>
      <c r="AOL202" s="661"/>
      <c r="AOM202" s="661"/>
      <c r="AON202" s="661"/>
      <c r="AOO202" s="661"/>
      <c r="AOP202" s="661"/>
      <c r="AOQ202" s="661"/>
      <c r="AOR202" s="661"/>
      <c r="AOS202" s="661"/>
      <c r="AOT202" s="661"/>
      <c r="AOU202" s="661"/>
      <c r="AOV202" s="661"/>
      <c r="AOW202" s="660" t="s">
        <v>634</v>
      </c>
      <c r="AOX202" s="661"/>
      <c r="AOY202" s="661"/>
      <c r="AOZ202" s="661"/>
      <c r="APA202" s="661"/>
      <c r="APB202" s="661"/>
      <c r="APC202" s="661"/>
      <c r="APD202" s="661"/>
      <c r="APE202" s="661"/>
      <c r="APF202" s="661"/>
      <c r="APG202" s="661"/>
      <c r="APH202" s="661"/>
      <c r="API202" s="661"/>
      <c r="APJ202" s="661"/>
      <c r="APK202" s="661"/>
      <c r="APL202" s="661"/>
      <c r="APM202" s="660" t="s">
        <v>634</v>
      </c>
      <c r="APN202" s="661"/>
      <c r="APO202" s="661"/>
      <c r="APP202" s="661"/>
      <c r="APQ202" s="661"/>
      <c r="APR202" s="661"/>
      <c r="APS202" s="661"/>
      <c r="APT202" s="661"/>
      <c r="APU202" s="661"/>
      <c r="APV202" s="661"/>
      <c r="APW202" s="661"/>
      <c r="APX202" s="661"/>
      <c r="APY202" s="661"/>
      <c r="APZ202" s="661"/>
      <c r="AQA202" s="661"/>
      <c r="AQB202" s="661"/>
      <c r="AQC202" s="660" t="s">
        <v>634</v>
      </c>
      <c r="AQD202" s="661"/>
      <c r="AQE202" s="661"/>
      <c r="AQF202" s="661"/>
      <c r="AQG202" s="661"/>
      <c r="AQH202" s="661"/>
      <c r="AQI202" s="661"/>
      <c r="AQJ202" s="661"/>
      <c r="AQK202" s="661"/>
      <c r="AQL202" s="661"/>
      <c r="AQM202" s="661"/>
      <c r="AQN202" s="661"/>
      <c r="AQO202" s="661"/>
      <c r="AQP202" s="661"/>
      <c r="AQQ202" s="661"/>
      <c r="AQR202" s="661"/>
      <c r="AQS202" s="660" t="s">
        <v>634</v>
      </c>
      <c r="AQT202" s="661"/>
      <c r="AQU202" s="661"/>
      <c r="AQV202" s="661"/>
      <c r="AQW202" s="661"/>
      <c r="AQX202" s="661"/>
      <c r="AQY202" s="661"/>
      <c r="AQZ202" s="661"/>
      <c r="ARA202" s="661"/>
      <c r="ARB202" s="661"/>
      <c r="ARC202" s="661"/>
      <c r="ARD202" s="661"/>
      <c r="ARE202" s="661"/>
      <c r="ARF202" s="661"/>
      <c r="ARG202" s="661"/>
      <c r="ARH202" s="661"/>
      <c r="ARI202" s="660" t="s">
        <v>634</v>
      </c>
      <c r="ARJ202" s="661"/>
      <c r="ARK202" s="661"/>
      <c r="ARL202" s="661"/>
      <c r="ARM202" s="661"/>
      <c r="ARN202" s="661"/>
      <c r="ARO202" s="661"/>
      <c r="ARP202" s="661"/>
      <c r="ARQ202" s="661"/>
      <c r="ARR202" s="661"/>
      <c r="ARS202" s="661"/>
      <c r="ART202" s="661"/>
      <c r="ARU202" s="661"/>
      <c r="ARV202" s="661"/>
      <c r="ARW202" s="661"/>
      <c r="ARX202" s="661"/>
      <c r="ARY202" s="660" t="s">
        <v>634</v>
      </c>
      <c r="ARZ202" s="661"/>
      <c r="ASA202" s="661"/>
      <c r="ASB202" s="661"/>
      <c r="ASC202" s="661"/>
      <c r="ASD202" s="661"/>
      <c r="ASE202" s="661"/>
      <c r="ASF202" s="661"/>
      <c r="ASG202" s="661"/>
      <c r="ASH202" s="661"/>
      <c r="ASI202" s="661"/>
      <c r="ASJ202" s="661"/>
      <c r="ASK202" s="661"/>
      <c r="ASL202" s="661"/>
      <c r="ASM202" s="661"/>
      <c r="ASN202" s="661"/>
      <c r="ASO202" s="660" t="s">
        <v>634</v>
      </c>
      <c r="ASP202" s="661"/>
      <c r="ASQ202" s="661"/>
      <c r="ASR202" s="661"/>
      <c r="ASS202" s="661"/>
      <c r="AST202" s="661"/>
      <c r="ASU202" s="661"/>
      <c r="ASV202" s="661"/>
      <c r="ASW202" s="661"/>
      <c r="ASX202" s="661"/>
      <c r="ASY202" s="661"/>
      <c r="ASZ202" s="661"/>
      <c r="ATA202" s="661"/>
      <c r="ATB202" s="661"/>
      <c r="ATC202" s="661"/>
      <c r="ATD202" s="661"/>
      <c r="ATE202" s="660" t="s">
        <v>634</v>
      </c>
      <c r="ATF202" s="661"/>
      <c r="ATG202" s="661"/>
      <c r="ATH202" s="661"/>
      <c r="ATI202" s="661"/>
      <c r="ATJ202" s="661"/>
      <c r="ATK202" s="661"/>
      <c r="ATL202" s="661"/>
      <c r="ATM202" s="661"/>
      <c r="ATN202" s="661"/>
      <c r="ATO202" s="661"/>
      <c r="ATP202" s="661"/>
      <c r="ATQ202" s="661"/>
      <c r="ATR202" s="661"/>
      <c r="ATS202" s="661"/>
      <c r="ATT202" s="661"/>
      <c r="ATU202" s="660" t="s">
        <v>634</v>
      </c>
      <c r="ATV202" s="661"/>
      <c r="ATW202" s="661"/>
      <c r="ATX202" s="661"/>
      <c r="ATY202" s="661"/>
      <c r="ATZ202" s="661"/>
      <c r="AUA202" s="661"/>
      <c r="AUB202" s="661"/>
      <c r="AUC202" s="661"/>
      <c r="AUD202" s="661"/>
      <c r="AUE202" s="661"/>
      <c r="AUF202" s="661"/>
      <c r="AUG202" s="661"/>
      <c r="AUH202" s="661"/>
      <c r="AUI202" s="661"/>
      <c r="AUJ202" s="661"/>
      <c r="AUK202" s="660" t="s">
        <v>634</v>
      </c>
      <c r="AUL202" s="661"/>
      <c r="AUM202" s="661"/>
      <c r="AUN202" s="661"/>
      <c r="AUO202" s="661"/>
      <c r="AUP202" s="661"/>
      <c r="AUQ202" s="661"/>
      <c r="AUR202" s="661"/>
      <c r="AUS202" s="661"/>
      <c r="AUT202" s="661"/>
      <c r="AUU202" s="661"/>
      <c r="AUV202" s="661"/>
      <c r="AUW202" s="661"/>
      <c r="AUX202" s="661"/>
      <c r="AUY202" s="661"/>
      <c r="AUZ202" s="661"/>
      <c r="AVA202" s="660" t="s">
        <v>634</v>
      </c>
      <c r="AVB202" s="661"/>
      <c r="AVC202" s="661"/>
      <c r="AVD202" s="661"/>
      <c r="AVE202" s="661"/>
      <c r="AVF202" s="661"/>
      <c r="AVG202" s="661"/>
      <c r="AVH202" s="661"/>
      <c r="AVI202" s="661"/>
      <c r="AVJ202" s="661"/>
      <c r="AVK202" s="661"/>
      <c r="AVL202" s="661"/>
      <c r="AVM202" s="661"/>
      <c r="AVN202" s="661"/>
      <c r="AVO202" s="661"/>
      <c r="AVP202" s="661"/>
      <c r="AVQ202" s="660" t="s">
        <v>634</v>
      </c>
      <c r="AVR202" s="661"/>
      <c r="AVS202" s="661"/>
      <c r="AVT202" s="661"/>
      <c r="AVU202" s="661"/>
      <c r="AVV202" s="661"/>
      <c r="AVW202" s="661"/>
      <c r="AVX202" s="661"/>
      <c r="AVY202" s="661"/>
      <c r="AVZ202" s="661"/>
      <c r="AWA202" s="661"/>
      <c r="AWB202" s="661"/>
      <c r="AWC202" s="661"/>
      <c r="AWD202" s="661"/>
      <c r="AWE202" s="661"/>
      <c r="AWF202" s="661"/>
      <c r="AWG202" s="660" t="s">
        <v>634</v>
      </c>
      <c r="AWH202" s="661"/>
      <c r="AWI202" s="661"/>
      <c r="AWJ202" s="661"/>
      <c r="AWK202" s="661"/>
      <c r="AWL202" s="661"/>
      <c r="AWM202" s="661"/>
      <c r="AWN202" s="661"/>
      <c r="AWO202" s="661"/>
      <c r="AWP202" s="661"/>
      <c r="AWQ202" s="661"/>
      <c r="AWR202" s="661"/>
      <c r="AWS202" s="661"/>
      <c r="AWT202" s="661"/>
      <c r="AWU202" s="661"/>
      <c r="AWV202" s="661"/>
      <c r="AWW202" s="660" t="s">
        <v>634</v>
      </c>
      <c r="AWX202" s="661"/>
      <c r="AWY202" s="661"/>
      <c r="AWZ202" s="661"/>
      <c r="AXA202" s="661"/>
      <c r="AXB202" s="661"/>
      <c r="AXC202" s="661"/>
      <c r="AXD202" s="661"/>
      <c r="AXE202" s="661"/>
      <c r="AXF202" s="661"/>
      <c r="AXG202" s="661"/>
      <c r="AXH202" s="661"/>
      <c r="AXI202" s="661"/>
      <c r="AXJ202" s="661"/>
      <c r="AXK202" s="661"/>
      <c r="AXL202" s="661"/>
      <c r="AXM202" s="660" t="s">
        <v>634</v>
      </c>
      <c r="AXN202" s="661"/>
      <c r="AXO202" s="661"/>
      <c r="AXP202" s="661"/>
      <c r="AXQ202" s="661"/>
      <c r="AXR202" s="661"/>
      <c r="AXS202" s="661"/>
      <c r="AXT202" s="661"/>
      <c r="AXU202" s="661"/>
      <c r="AXV202" s="661"/>
      <c r="AXW202" s="661"/>
      <c r="AXX202" s="661"/>
      <c r="AXY202" s="661"/>
      <c r="AXZ202" s="661"/>
      <c r="AYA202" s="661"/>
      <c r="AYB202" s="661"/>
      <c r="AYC202" s="660" t="s">
        <v>634</v>
      </c>
      <c r="AYD202" s="661"/>
      <c r="AYE202" s="661"/>
      <c r="AYF202" s="661"/>
      <c r="AYG202" s="661"/>
      <c r="AYH202" s="661"/>
      <c r="AYI202" s="661"/>
      <c r="AYJ202" s="661"/>
      <c r="AYK202" s="661"/>
      <c r="AYL202" s="661"/>
      <c r="AYM202" s="661"/>
      <c r="AYN202" s="661"/>
      <c r="AYO202" s="661"/>
      <c r="AYP202" s="661"/>
      <c r="AYQ202" s="661"/>
      <c r="AYR202" s="661"/>
      <c r="AYS202" s="660" t="s">
        <v>634</v>
      </c>
      <c r="AYT202" s="661"/>
      <c r="AYU202" s="661"/>
      <c r="AYV202" s="661"/>
      <c r="AYW202" s="661"/>
      <c r="AYX202" s="661"/>
      <c r="AYY202" s="661"/>
      <c r="AYZ202" s="661"/>
      <c r="AZA202" s="661"/>
      <c r="AZB202" s="661"/>
      <c r="AZC202" s="661"/>
      <c r="AZD202" s="661"/>
      <c r="AZE202" s="661"/>
      <c r="AZF202" s="661"/>
      <c r="AZG202" s="661"/>
      <c r="AZH202" s="661"/>
      <c r="AZI202" s="660" t="s">
        <v>634</v>
      </c>
      <c r="AZJ202" s="661"/>
      <c r="AZK202" s="661"/>
      <c r="AZL202" s="661"/>
      <c r="AZM202" s="661"/>
      <c r="AZN202" s="661"/>
      <c r="AZO202" s="661"/>
      <c r="AZP202" s="661"/>
      <c r="AZQ202" s="661"/>
      <c r="AZR202" s="661"/>
      <c r="AZS202" s="661"/>
      <c r="AZT202" s="661"/>
      <c r="AZU202" s="661"/>
      <c r="AZV202" s="661"/>
      <c r="AZW202" s="661"/>
      <c r="AZX202" s="661"/>
      <c r="AZY202" s="660" t="s">
        <v>634</v>
      </c>
      <c r="AZZ202" s="661"/>
      <c r="BAA202" s="661"/>
      <c r="BAB202" s="661"/>
      <c r="BAC202" s="661"/>
      <c r="BAD202" s="661"/>
      <c r="BAE202" s="661"/>
      <c r="BAF202" s="661"/>
      <c r="BAG202" s="661"/>
      <c r="BAH202" s="661"/>
      <c r="BAI202" s="661"/>
      <c r="BAJ202" s="661"/>
      <c r="BAK202" s="661"/>
      <c r="BAL202" s="661"/>
      <c r="BAM202" s="661"/>
      <c r="BAN202" s="661"/>
      <c r="BAO202" s="660" t="s">
        <v>634</v>
      </c>
      <c r="BAP202" s="661"/>
      <c r="BAQ202" s="661"/>
      <c r="BAR202" s="661"/>
      <c r="BAS202" s="661"/>
      <c r="BAT202" s="661"/>
      <c r="BAU202" s="661"/>
      <c r="BAV202" s="661"/>
      <c r="BAW202" s="661"/>
      <c r="BAX202" s="661"/>
      <c r="BAY202" s="661"/>
      <c r="BAZ202" s="661"/>
      <c r="BBA202" s="661"/>
      <c r="BBB202" s="661"/>
      <c r="BBC202" s="661"/>
      <c r="BBD202" s="661"/>
      <c r="BBE202" s="660" t="s">
        <v>634</v>
      </c>
      <c r="BBF202" s="661"/>
      <c r="BBG202" s="661"/>
      <c r="BBH202" s="661"/>
      <c r="BBI202" s="661"/>
      <c r="BBJ202" s="661"/>
      <c r="BBK202" s="661"/>
      <c r="BBL202" s="661"/>
      <c r="BBM202" s="661"/>
      <c r="BBN202" s="661"/>
      <c r="BBO202" s="661"/>
      <c r="BBP202" s="661"/>
      <c r="BBQ202" s="661"/>
      <c r="BBR202" s="661"/>
      <c r="BBS202" s="661"/>
      <c r="BBT202" s="661"/>
      <c r="BBU202" s="660" t="s">
        <v>634</v>
      </c>
      <c r="BBV202" s="661"/>
      <c r="BBW202" s="661"/>
      <c r="BBX202" s="661"/>
      <c r="BBY202" s="661"/>
      <c r="BBZ202" s="661"/>
      <c r="BCA202" s="661"/>
      <c r="BCB202" s="661"/>
      <c r="BCC202" s="661"/>
      <c r="BCD202" s="661"/>
      <c r="BCE202" s="661"/>
      <c r="BCF202" s="661"/>
      <c r="BCG202" s="661"/>
      <c r="BCH202" s="661"/>
      <c r="BCI202" s="661"/>
      <c r="BCJ202" s="661"/>
      <c r="BCK202" s="660" t="s">
        <v>634</v>
      </c>
      <c r="BCL202" s="661"/>
      <c r="BCM202" s="661"/>
      <c r="BCN202" s="661"/>
      <c r="BCO202" s="661"/>
      <c r="BCP202" s="661"/>
      <c r="BCQ202" s="661"/>
      <c r="BCR202" s="661"/>
      <c r="BCS202" s="661"/>
      <c r="BCT202" s="661"/>
      <c r="BCU202" s="661"/>
      <c r="BCV202" s="661"/>
      <c r="BCW202" s="661"/>
      <c r="BCX202" s="661"/>
      <c r="BCY202" s="661"/>
      <c r="BCZ202" s="661"/>
      <c r="BDA202" s="660" t="s">
        <v>634</v>
      </c>
      <c r="BDB202" s="661"/>
      <c r="BDC202" s="661"/>
      <c r="BDD202" s="661"/>
      <c r="BDE202" s="661"/>
      <c r="BDF202" s="661"/>
      <c r="BDG202" s="661"/>
      <c r="BDH202" s="661"/>
      <c r="BDI202" s="661"/>
      <c r="BDJ202" s="661"/>
      <c r="BDK202" s="661"/>
      <c r="BDL202" s="661"/>
      <c r="BDM202" s="661"/>
      <c r="BDN202" s="661"/>
      <c r="BDO202" s="661"/>
      <c r="BDP202" s="661"/>
      <c r="BDQ202" s="660" t="s">
        <v>634</v>
      </c>
      <c r="BDR202" s="661"/>
      <c r="BDS202" s="661"/>
      <c r="BDT202" s="661"/>
      <c r="BDU202" s="661"/>
      <c r="BDV202" s="661"/>
      <c r="BDW202" s="661"/>
      <c r="BDX202" s="661"/>
      <c r="BDY202" s="661"/>
      <c r="BDZ202" s="661"/>
      <c r="BEA202" s="661"/>
      <c r="BEB202" s="661"/>
      <c r="BEC202" s="661"/>
      <c r="BED202" s="661"/>
      <c r="BEE202" s="661"/>
      <c r="BEF202" s="661"/>
      <c r="BEG202" s="660" t="s">
        <v>634</v>
      </c>
      <c r="BEH202" s="661"/>
      <c r="BEI202" s="661"/>
      <c r="BEJ202" s="661"/>
      <c r="BEK202" s="661"/>
      <c r="BEL202" s="661"/>
      <c r="BEM202" s="661"/>
      <c r="BEN202" s="661"/>
      <c r="BEO202" s="661"/>
      <c r="BEP202" s="661"/>
      <c r="BEQ202" s="661"/>
      <c r="BER202" s="661"/>
      <c r="BES202" s="661"/>
      <c r="BET202" s="661"/>
      <c r="BEU202" s="661"/>
      <c r="BEV202" s="661"/>
      <c r="BEW202" s="660" t="s">
        <v>634</v>
      </c>
      <c r="BEX202" s="661"/>
      <c r="BEY202" s="661"/>
      <c r="BEZ202" s="661"/>
      <c r="BFA202" s="661"/>
      <c r="BFB202" s="661"/>
      <c r="BFC202" s="661"/>
      <c r="BFD202" s="661"/>
      <c r="BFE202" s="661"/>
      <c r="BFF202" s="661"/>
      <c r="BFG202" s="661"/>
      <c r="BFH202" s="661"/>
      <c r="BFI202" s="661"/>
      <c r="BFJ202" s="661"/>
      <c r="BFK202" s="661"/>
      <c r="BFL202" s="661"/>
      <c r="BFM202" s="660" t="s">
        <v>634</v>
      </c>
      <c r="BFN202" s="661"/>
      <c r="BFO202" s="661"/>
      <c r="BFP202" s="661"/>
      <c r="BFQ202" s="661"/>
      <c r="BFR202" s="661"/>
      <c r="BFS202" s="661"/>
      <c r="BFT202" s="661"/>
      <c r="BFU202" s="661"/>
      <c r="BFV202" s="661"/>
      <c r="BFW202" s="661"/>
      <c r="BFX202" s="661"/>
      <c r="BFY202" s="661"/>
      <c r="BFZ202" s="661"/>
      <c r="BGA202" s="661"/>
      <c r="BGB202" s="661"/>
      <c r="BGC202" s="660" t="s">
        <v>634</v>
      </c>
      <c r="BGD202" s="661"/>
      <c r="BGE202" s="661"/>
      <c r="BGF202" s="661"/>
      <c r="BGG202" s="661"/>
      <c r="BGH202" s="661"/>
      <c r="BGI202" s="661"/>
      <c r="BGJ202" s="661"/>
      <c r="BGK202" s="661"/>
      <c r="BGL202" s="661"/>
      <c r="BGM202" s="661"/>
      <c r="BGN202" s="661"/>
      <c r="BGO202" s="661"/>
      <c r="BGP202" s="661"/>
      <c r="BGQ202" s="661"/>
      <c r="BGR202" s="661"/>
      <c r="BGS202" s="660" t="s">
        <v>634</v>
      </c>
      <c r="BGT202" s="661"/>
      <c r="BGU202" s="661"/>
      <c r="BGV202" s="661"/>
      <c r="BGW202" s="661"/>
      <c r="BGX202" s="661"/>
      <c r="BGY202" s="661"/>
      <c r="BGZ202" s="661"/>
      <c r="BHA202" s="661"/>
      <c r="BHB202" s="661"/>
      <c r="BHC202" s="661"/>
      <c r="BHD202" s="661"/>
      <c r="BHE202" s="661"/>
      <c r="BHF202" s="661"/>
      <c r="BHG202" s="661"/>
      <c r="BHH202" s="661"/>
      <c r="BHI202" s="660" t="s">
        <v>634</v>
      </c>
      <c r="BHJ202" s="661"/>
      <c r="BHK202" s="661"/>
      <c r="BHL202" s="661"/>
      <c r="BHM202" s="661"/>
      <c r="BHN202" s="661"/>
      <c r="BHO202" s="661"/>
      <c r="BHP202" s="661"/>
      <c r="BHQ202" s="661"/>
      <c r="BHR202" s="661"/>
      <c r="BHS202" s="661"/>
      <c r="BHT202" s="661"/>
      <c r="BHU202" s="661"/>
      <c r="BHV202" s="661"/>
      <c r="BHW202" s="661"/>
      <c r="BHX202" s="661"/>
      <c r="BHY202" s="660" t="s">
        <v>634</v>
      </c>
      <c r="BHZ202" s="661"/>
      <c r="BIA202" s="661"/>
      <c r="BIB202" s="661"/>
      <c r="BIC202" s="661"/>
      <c r="BID202" s="661"/>
      <c r="BIE202" s="661"/>
      <c r="BIF202" s="661"/>
      <c r="BIG202" s="661"/>
      <c r="BIH202" s="661"/>
      <c r="BII202" s="661"/>
      <c r="BIJ202" s="661"/>
      <c r="BIK202" s="661"/>
      <c r="BIL202" s="661"/>
      <c r="BIM202" s="661"/>
      <c r="BIN202" s="661"/>
      <c r="BIO202" s="660" t="s">
        <v>634</v>
      </c>
      <c r="BIP202" s="661"/>
      <c r="BIQ202" s="661"/>
      <c r="BIR202" s="661"/>
      <c r="BIS202" s="661"/>
      <c r="BIT202" s="661"/>
      <c r="BIU202" s="661"/>
      <c r="BIV202" s="661"/>
      <c r="BIW202" s="661"/>
      <c r="BIX202" s="661"/>
      <c r="BIY202" s="661"/>
      <c r="BIZ202" s="661"/>
      <c r="BJA202" s="661"/>
      <c r="BJB202" s="661"/>
      <c r="BJC202" s="661"/>
      <c r="BJD202" s="661"/>
      <c r="BJE202" s="660" t="s">
        <v>634</v>
      </c>
      <c r="BJF202" s="661"/>
      <c r="BJG202" s="661"/>
      <c r="BJH202" s="661"/>
      <c r="BJI202" s="661"/>
      <c r="BJJ202" s="661"/>
      <c r="BJK202" s="661"/>
      <c r="BJL202" s="661"/>
      <c r="BJM202" s="661"/>
      <c r="BJN202" s="661"/>
      <c r="BJO202" s="661"/>
      <c r="BJP202" s="661"/>
      <c r="BJQ202" s="661"/>
      <c r="BJR202" s="661"/>
      <c r="BJS202" s="661"/>
      <c r="BJT202" s="661"/>
      <c r="BJU202" s="660" t="s">
        <v>634</v>
      </c>
      <c r="BJV202" s="661"/>
      <c r="BJW202" s="661"/>
      <c r="BJX202" s="661"/>
      <c r="BJY202" s="661"/>
      <c r="BJZ202" s="661"/>
      <c r="BKA202" s="661"/>
      <c r="BKB202" s="661"/>
      <c r="BKC202" s="661"/>
      <c r="BKD202" s="661"/>
      <c r="BKE202" s="661"/>
      <c r="BKF202" s="661"/>
      <c r="BKG202" s="661"/>
      <c r="BKH202" s="661"/>
      <c r="BKI202" s="661"/>
      <c r="BKJ202" s="661"/>
      <c r="BKK202" s="660" t="s">
        <v>634</v>
      </c>
      <c r="BKL202" s="661"/>
      <c r="BKM202" s="661"/>
      <c r="BKN202" s="661"/>
      <c r="BKO202" s="661"/>
      <c r="BKP202" s="661"/>
      <c r="BKQ202" s="661"/>
      <c r="BKR202" s="661"/>
      <c r="BKS202" s="661"/>
      <c r="BKT202" s="661"/>
      <c r="BKU202" s="661"/>
      <c r="BKV202" s="661"/>
      <c r="BKW202" s="661"/>
      <c r="BKX202" s="661"/>
      <c r="BKY202" s="661"/>
      <c r="BKZ202" s="661"/>
      <c r="BLA202" s="660" t="s">
        <v>634</v>
      </c>
      <c r="BLB202" s="661"/>
      <c r="BLC202" s="661"/>
      <c r="BLD202" s="661"/>
      <c r="BLE202" s="661"/>
      <c r="BLF202" s="661"/>
      <c r="BLG202" s="661"/>
      <c r="BLH202" s="661"/>
      <c r="BLI202" s="661"/>
      <c r="BLJ202" s="661"/>
      <c r="BLK202" s="661"/>
      <c r="BLL202" s="661"/>
      <c r="BLM202" s="661"/>
      <c r="BLN202" s="661"/>
      <c r="BLO202" s="661"/>
      <c r="BLP202" s="661"/>
      <c r="BLQ202" s="660" t="s">
        <v>634</v>
      </c>
      <c r="BLR202" s="661"/>
      <c r="BLS202" s="661"/>
      <c r="BLT202" s="661"/>
      <c r="BLU202" s="661"/>
      <c r="BLV202" s="661"/>
      <c r="BLW202" s="661"/>
      <c r="BLX202" s="661"/>
      <c r="BLY202" s="661"/>
      <c r="BLZ202" s="661"/>
      <c r="BMA202" s="661"/>
      <c r="BMB202" s="661"/>
      <c r="BMC202" s="661"/>
      <c r="BMD202" s="661"/>
      <c r="BME202" s="661"/>
      <c r="BMF202" s="661"/>
      <c r="BMG202" s="660" t="s">
        <v>634</v>
      </c>
      <c r="BMH202" s="661"/>
      <c r="BMI202" s="661"/>
      <c r="BMJ202" s="661"/>
      <c r="BMK202" s="661"/>
      <c r="BML202" s="661"/>
      <c r="BMM202" s="661"/>
      <c r="BMN202" s="661"/>
      <c r="BMO202" s="661"/>
      <c r="BMP202" s="661"/>
      <c r="BMQ202" s="661"/>
      <c r="BMR202" s="661"/>
      <c r="BMS202" s="661"/>
      <c r="BMT202" s="661"/>
      <c r="BMU202" s="661"/>
      <c r="BMV202" s="661"/>
      <c r="BMW202" s="660" t="s">
        <v>634</v>
      </c>
      <c r="BMX202" s="661"/>
      <c r="BMY202" s="661"/>
      <c r="BMZ202" s="661"/>
      <c r="BNA202" s="661"/>
      <c r="BNB202" s="661"/>
      <c r="BNC202" s="661"/>
      <c r="BND202" s="661"/>
      <c r="BNE202" s="661"/>
      <c r="BNF202" s="661"/>
      <c r="BNG202" s="661"/>
      <c r="BNH202" s="661"/>
      <c r="BNI202" s="661"/>
      <c r="BNJ202" s="661"/>
      <c r="BNK202" s="661"/>
      <c r="BNL202" s="661"/>
      <c r="BNM202" s="660" t="s">
        <v>634</v>
      </c>
      <c r="BNN202" s="661"/>
      <c r="BNO202" s="661"/>
      <c r="BNP202" s="661"/>
      <c r="BNQ202" s="661"/>
      <c r="BNR202" s="661"/>
      <c r="BNS202" s="661"/>
      <c r="BNT202" s="661"/>
      <c r="BNU202" s="661"/>
      <c r="BNV202" s="661"/>
      <c r="BNW202" s="661"/>
      <c r="BNX202" s="661"/>
      <c r="BNY202" s="661"/>
      <c r="BNZ202" s="661"/>
      <c r="BOA202" s="661"/>
      <c r="BOB202" s="661"/>
      <c r="BOC202" s="660" t="s">
        <v>634</v>
      </c>
      <c r="BOD202" s="661"/>
      <c r="BOE202" s="661"/>
      <c r="BOF202" s="661"/>
      <c r="BOG202" s="661"/>
      <c r="BOH202" s="661"/>
      <c r="BOI202" s="661"/>
      <c r="BOJ202" s="661"/>
      <c r="BOK202" s="661"/>
      <c r="BOL202" s="661"/>
      <c r="BOM202" s="661"/>
      <c r="BON202" s="661"/>
      <c r="BOO202" s="661"/>
      <c r="BOP202" s="661"/>
      <c r="BOQ202" s="661"/>
      <c r="BOR202" s="661"/>
      <c r="BOS202" s="660" t="s">
        <v>634</v>
      </c>
      <c r="BOT202" s="661"/>
      <c r="BOU202" s="661"/>
      <c r="BOV202" s="661"/>
      <c r="BOW202" s="661"/>
      <c r="BOX202" s="661"/>
      <c r="BOY202" s="661"/>
      <c r="BOZ202" s="661"/>
      <c r="BPA202" s="661"/>
      <c r="BPB202" s="661"/>
      <c r="BPC202" s="661"/>
      <c r="BPD202" s="661"/>
      <c r="BPE202" s="661"/>
      <c r="BPF202" s="661"/>
      <c r="BPG202" s="661"/>
      <c r="BPH202" s="661"/>
      <c r="BPI202" s="660" t="s">
        <v>634</v>
      </c>
      <c r="BPJ202" s="661"/>
      <c r="BPK202" s="661"/>
      <c r="BPL202" s="661"/>
      <c r="BPM202" s="661"/>
      <c r="BPN202" s="661"/>
      <c r="BPO202" s="661"/>
      <c r="BPP202" s="661"/>
      <c r="BPQ202" s="661"/>
      <c r="BPR202" s="661"/>
      <c r="BPS202" s="661"/>
      <c r="BPT202" s="661"/>
      <c r="BPU202" s="661"/>
      <c r="BPV202" s="661"/>
      <c r="BPW202" s="661"/>
      <c r="BPX202" s="661"/>
      <c r="BPY202" s="660" t="s">
        <v>634</v>
      </c>
      <c r="BPZ202" s="661"/>
      <c r="BQA202" s="661"/>
      <c r="BQB202" s="661"/>
      <c r="BQC202" s="661"/>
      <c r="BQD202" s="661"/>
      <c r="BQE202" s="661"/>
      <c r="BQF202" s="661"/>
      <c r="BQG202" s="661"/>
      <c r="BQH202" s="661"/>
      <c r="BQI202" s="661"/>
      <c r="BQJ202" s="661"/>
      <c r="BQK202" s="661"/>
      <c r="BQL202" s="661"/>
      <c r="BQM202" s="661"/>
      <c r="BQN202" s="661"/>
      <c r="BQO202" s="660" t="s">
        <v>634</v>
      </c>
      <c r="BQP202" s="661"/>
      <c r="BQQ202" s="661"/>
      <c r="BQR202" s="661"/>
      <c r="BQS202" s="661"/>
      <c r="BQT202" s="661"/>
      <c r="BQU202" s="661"/>
      <c r="BQV202" s="661"/>
      <c r="BQW202" s="661"/>
      <c r="BQX202" s="661"/>
      <c r="BQY202" s="661"/>
      <c r="BQZ202" s="661"/>
      <c r="BRA202" s="661"/>
      <c r="BRB202" s="661"/>
      <c r="BRC202" s="661"/>
      <c r="BRD202" s="661"/>
      <c r="BRE202" s="660" t="s">
        <v>634</v>
      </c>
      <c r="BRF202" s="661"/>
      <c r="BRG202" s="661"/>
      <c r="BRH202" s="661"/>
      <c r="BRI202" s="661"/>
      <c r="BRJ202" s="661"/>
      <c r="BRK202" s="661"/>
      <c r="BRL202" s="661"/>
      <c r="BRM202" s="661"/>
      <c r="BRN202" s="661"/>
      <c r="BRO202" s="661"/>
      <c r="BRP202" s="661"/>
      <c r="BRQ202" s="661"/>
      <c r="BRR202" s="661"/>
      <c r="BRS202" s="661"/>
      <c r="BRT202" s="661"/>
      <c r="BRU202" s="660" t="s">
        <v>634</v>
      </c>
      <c r="BRV202" s="661"/>
      <c r="BRW202" s="661"/>
      <c r="BRX202" s="661"/>
      <c r="BRY202" s="661"/>
      <c r="BRZ202" s="661"/>
      <c r="BSA202" s="661"/>
      <c r="BSB202" s="661"/>
      <c r="BSC202" s="661"/>
      <c r="BSD202" s="661"/>
      <c r="BSE202" s="661"/>
      <c r="BSF202" s="661"/>
      <c r="BSG202" s="661"/>
      <c r="BSH202" s="661"/>
      <c r="BSI202" s="661"/>
      <c r="BSJ202" s="661"/>
      <c r="BSK202" s="660" t="s">
        <v>634</v>
      </c>
      <c r="BSL202" s="661"/>
      <c r="BSM202" s="661"/>
      <c r="BSN202" s="661"/>
      <c r="BSO202" s="661"/>
      <c r="BSP202" s="661"/>
      <c r="BSQ202" s="661"/>
      <c r="BSR202" s="661"/>
      <c r="BSS202" s="661"/>
      <c r="BST202" s="661"/>
      <c r="BSU202" s="661"/>
      <c r="BSV202" s="661"/>
      <c r="BSW202" s="661"/>
      <c r="BSX202" s="661"/>
      <c r="BSY202" s="661"/>
      <c r="BSZ202" s="661"/>
      <c r="BTA202" s="660" t="s">
        <v>634</v>
      </c>
      <c r="BTB202" s="661"/>
      <c r="BTC202" s="661"/>
      <c r="BTD202" s="661"/>
      <c r="BTE202" s="661"/>
      <c r="BTF202" s="661"/>
      <c r="BTG202" s="661"/>
      <c r="BTH202" s="661"/>
      <c r="BTI202" s="661"/>
      <c r="BTJ202" s="661"/>
      <c r="BTK202" s="661"/>
      <c r="BTL202" s="661"/>
      <c r="BTM202" s="661"/>
      <c r="BTN202" s="661"/>
      <c r="BTO202" s="661"/>
      <c r="BTP202" s="661"/>
      <c r="BTQ202" s="660" t="s">
        <v>634</v>
      </c>
      <c r="BTR202" s="661"/>
      <c r="BTS202" s="661"/>
      <c r="BTT202" s="661"/>
      <c r="BTU202" s="661"/>
      <c r="BTV202" s="661"/>
      <c r="BTW202" s="661"/>
      <c r="BTX202" s="661"/>
      <c r="BTY202" s="661"/>
      <c r="BTZ202" s="661"/>
      <c r="BUA202" s="661"/>
      <c r="BUB202" s="661"/>
      <c r="BUC202" s="661"/>
      <c r="BUD202" s="661"/>
      <c r="BUE202" s="661"/>
      <c r="BUF202" s="661"/>
      <c r="BUG202" s="660" t="s">
        <v>634</v>
      </c>
      <c r="BUH202" s="661"/>
      <c r="BUI202" s="661"/>
      <c r="BUJ202" s="661"/>
      <c r="BUK202" s="661"/>
      <c r="BUL202" s="661"/>
      <c r="BUM202" s="661"/>
      <c r="BUN202" s="661"/>
      <c r="BUO202" s="661"/>
      <c r="BUP202" s="661"/>
      <c r="BUQ202" s="661"/>
      <c r="BUR202" s="661"/>
      <c r="BUS202" s="661"/>
      <c r="BUT202" s="661"/>
      <c r="BUU202" s="661"/>
      <c r="BUV202" s="661"/>
      <c r="BUW202" s="660" t="s">
        <v>634</v>
      </c>
      <c r="BUX202" s="661"/>
      <c r="BUY202" s="661"/>
      <c r="BUZ202" s="661"/>
      <c r="BVA202" s="661"/>
      <c r="BVB202" s="661"/>
      <c r="BVC202" s="661"/>
      <c r="BVD202" s="661"/>
      <c r="BVE202" s="661"/>
      <c r="BVF202" s="661"/>
      <c r="BVG202" s="661"/>
      <c r="BVH202" s="661"/>
      <c r="BVI202" s="661"/>
      <c r="BVJ202" s="661"/>
      <c r="BVK202" s="661"/>
      <c r="BVL202" s="661"/>
      <c r="BVM202" s="660" t="s">
        <v>634</v>
      </c>
      <c r="BVN202" s="661"/>
      <c r="BVO202" s="661"/>
      <c r="BVP202" s="661"/>
      <c r="BVQ202" s="661"/>
      <c r="BVR202" s="661"/>
      <c r="BVS202" s="661"/>
      <c r="BVT202" s="661"/>
      <c r="BVU202" s="661"/>
      <c r="BVV202" s="661"/>
      <c r="BVW202" s="661"/>
      <c r="BVX202" s="661"/>
      <c r="BVY202" s="661"/>
      <c r="BVZ202" s="661"/>
      <c r="BWA202" s="661"/>
      <c r="BWB202" s="661"/>
      <c r="BWC202" s="660" t="s">
        <v>634</v>
      </c>
      <c r="BWD202" s="661"/>
      <c r="BWE202" s="661"/>
      <c r="BWF202" s="661"/>
      <c r="BWG202" s="661"/>
      <c r="BWH202" s="661"/>
      <c r="BWI202" s="661"/>
      <c r="BWJ202" s="661"/>
      <c r="BWK202" s="661"/>
      <c r="BWL202" s="661"/>
      <c r="BWM202" s="661"/>
      <c r="BWN202" s="661"/>
      <c r="BWO202" s="661"/>
      <c r="BWP202" s="661"/>
      <c r="BWQ202" s="661"/>
      <c r="BWR202" s="661"/>
      <c r="BWS202" s="660" t="s">
        <v>634</v>
      </c>
      <c r="BWT202" s="661"/>
      <c r="BWU202" s="661"/>
      <c r="BWV202" s="661"/>
      <c r="BWW202" s="661"/>
      <c r="BWX202" s="661"/>
      <c r="BWY202" s="661"/>
      <c r="BWZ202" s="661"/>
      <c r="BXA202" s="661"/>
      <c r="BXB202" s="661"/>
      <c r="BXC202" s="661"/>
      <c r="BXD202" s="661"/>
      <c r="BXE202" s="661"/>
      <c r="BXF202" s="661"/>
      <c r="BXG202" s="661"/>
      <c r="BXH202" s="661"/>
      <c r="BXI202" s="660" t="s">
        <v>634</v>
      </c>
      <c r="BXJ202" s="661"/>
      <c r="BXK202" s="661"/>
      <c r="BXL202" s="661"/>
      <c r="BXM202" s="661"/>
      <c r="BXN202" s="661"/>
      <c r="BXO202" s="661"/>
      <c r="BXP202" s="661"/>
      <c r="BXQ202" s="661"/>
      <c r="BXR202" s="661"/>
      <c r="BXS202" s="661"/>
      <c r="BXT202" s="661"/>
      <c r="BXU202" s="661"/>
      <c r="BXV202" s="661"/>
      <c r="BXW202" s="661"/>
      <c r="BXX202" s="661"/>
      <c r="BXY202" s="660" t="s">
        <v>634</v>
      </c>
      <c r="BXZ202" s="661"/>
      <c r="BYA202" s="661"/>
      <c r="BYB202" s="661"/>
      <c r="BYC202" s="661"/>
      <c r="BYD202" s="661"/>
      <c r="BYE202" s="661"/>
      <c r="BYF202" s="661"/>
      <c r="BYG202" s="661"/>
      <c r="BYH202" s="661"/>
      <c r="BYI202" s="661"/>
      <c r="BYJ202" s="661"/>
      <c r="BYK202" s="661"/>
      <c r="BYL202" s="661"/>
      <c r="BYM202" s="661"/>
      <c r="BYN202" s="661"/>
      <c r="BYO202" s="660" t="s">
        <v>634</v>
      </c>
      <c r="BYP202" s="661"/>
      <c r="BYQ202" s="661"/>
      <c r="BYR202" s="661"/>
      <c r="BYS202" s="661"/>
      <c r="BYT202" s="661"/>
      <c r="BYU202" s="661"/>
      <c r="BYV202" s="661"/>
      <c r="BYW202" s="661"/>
      <c r="BYX202" s="661"/>
      <c r="BYY202" s="661"/>
      <c r="BYZ202" s="661"/>
      <c r="BZA202" s="661"/>
      <c r="BZB202" s="661"/>
      <c r="BZC202" s="661"/>
      <c r="BZD202" s="661"/>
      <c r="BZE202" s="660" t="s">
        <v>634</v>
      </c>
      <c r="BZF202" s="661"/>
      <c r="BZG202" s="661"/>
      <c r="BZH202" s="661"/>
      <c r="BZI202" s="661"/>
      <c r="BZJ202" s="661"/>
      <c r="BZK202" s="661"/>
      <c r="BZL202" s="661"/>
      <c r="BZM202" s="661"/>
      <c r="BZN202" s="661"/>
      <c r="BZO202" s="661"/>
      <c r="BZP202" s="661"/>
      <c r="BZQ202" s="661"/>
      <c r="BZR202" s="661"/>
      <c r="BZS202" s="661"/>
      <c r="BZT202" s="661"/>
      <c r="BZU202" s="660" t="s">
        <v>634</v>
      </c>
      <c r="BZV202" s="661"/>
      <c r="BZW202" s="661"/>
      <c r="BZX202" s="661"/>
      <c r="BZY202" s="661"/>
      <c r="BZZ202" s="661"/>
      <c r="CAA202" s="661"/>
      <c r="CAB202" s="661"/>
      <c r="CAC202" s="661"/>
      <c r="CAD202" s="661"/>
      <c r="CAE202" s="661"/>
      <c r="CAF202" s="661"/>
      <c r="CAG202" s="661"/>
      <c r="CAH202" s="661"/>
      <c r="CAI202" s="661"/>
      <c r="CAJ202" s="661"/>
      <c r="CAK202" s="660" t="s">
        <v>634</v>
      </c>
      <c r="CAL202" s="661"/>
      <c r="CAM202" s="661"/>
      <c r="CAN202" s="661"/>
      <c r="CAO202" s="661"/>
      <c r="CAP202" s="661"/>
      <c r="CAQ202" s="661"/>
      <c r="CAR202" s="661"/>
      <c r="CAS202" s="661"/>
      <c r="CAT202" s="661"/>
      <c r="CAU202" s="661"/>
      <c r="CAV202" s="661"/>
      <c r="CAW202" s="661"/>
      <c r="CAX202" s="661"/>
      <c r="CAY202" s="661"/>
      <c r="CAZ202" s="661"/>
      <c r="CBA202" s="660" t="s">
        <v>634</v>
      </c>
      <c r="CBB202" s="661"/>
      <c r="CBC202" s="661"/>
      <c r="CBD202" s="661"/>
      <c r="CBE202" s="661"/>
      <c r="CBF202" s="661"/>
      <c r="CBG202" s="661"/>
      <c r="CBH202" s="661"/>
      <c r="CBI202" s="661"/>
      <c r="CBJ202" s="661"/>
      <c r="CBK202" s="661"/>
      <c r="CBL202" s="661"/>
      <c r="CBM202" s="661"/>
      <c r="CBN202" s="661"/>
      <c r="CBO202" s="661"/>
      <c r="CBP202" s="661"/>
      <c r="CBQ202" s="660" t="s">
        <v>634</v>
      </c>
      <c r="CBR202" s="661"/>
      <c r="CBS202" s="661"/>
      <c r="CBT202" s="661"/>
      <c r="CBU202" s="661"/>
      <c r="CBV202" s="661"/>
      <c r="CBW202" s="661"/>
      <c r="CBX202" s="661"/>
      <c r="CBY202" s="661"/>
      <c r="CBZ202" s="661"/>
      <c r="CCA202" s="661"/>
      <c r="CCB202" s="661"/>
      <c r="CCC202" s="661"/>
      <c r="CCD202" s="661"/>
      <c r="CCE202" s="661"/>
      <c r="CCF202" s="661"/>
      <c r="CCG202" s="660" t="s">
        <v>634</v>
      </c>
      <c r="CCH202" s="661"/>
      <c r="CCI202" s="661"/>
      <c r="CCJ202" s="661"/>
      <c r="CCK202" s="661"/>
      <c r="CCL202" s="661"/>
      <c r="CCM202" s="661"/>
      <c r="CCN202" s="661"/>
      <c r="CCO202" s="661"/>
      <c r="CCP202" s="661"/>
      <c r="CCQ202" s="661"/>
      <c r="CCR202" s="661"/>
      <c r="CCS202" s="661"/>
      <c r="CCT202" s="661"/>
      <c r="CCU202" s="661"/>
      <c r="CCV202" s="661"/>
      <c r="CCW202" s="660" t="s">
        <v>634</v>
      </c>
      <c r="CCX202" s="661"/>
      <c r="CCY202" s="661"/>
      <c r="CCZ202" s="661"/>
      <c r="CDA202" s="661"/>
      <c r="CDB202" s="661"/>
      <c r="CDC202" s="661"/>
      <c r="CDD202" s="661"/>
      <c r="CDE202" s="661"/>
      <c r="CDF202" s="661"/>
      <c r="CDG202" s="661"/>
      <c r="CDH202" s="661"/>
      <c r="CDI202" s="661"/>
      <c r="CDJ202" s="661"/>
      <c r="CDK202" s="661"/>
      <c r="CDL202" s="661"/>
      <c r="CDM202" s="660" t="s">
        <v>634</v>
      </c>
      <c r="CDN202" s="661"/>
      <c r="CDO202" s="661"/>
      <c r="CDP202" s="661"/>
      <c r="CDQ202" s="661"/>
      <c r="CDR202" s="661"/>
      <c r="CDS202" s="661"/>
      <c r="CDT202" s="661"/>
      <c r="CDU202" s="661"/>
      <c r="CDV202" s="661"/>
      <c r="CDW202" s="661"/>
      <c r="CDX202" s="661"/>
      <c r="CDY202" s="661"/>
      <c r="CDZ202" s="661"/>
      <c r="CEA202" s="661"/>
      <c r="CEB202" s="661"/>
      <c r="CEC202" s="660" t="s">
        <v>634</v>
      </c>
      <c r="CED202" s="661"/>
      <c r="CEE202" s="661"/>
      <c r="CEF202" s="661"/>
      <c r="CEG202" s="661"/>
      <c r="CEH202" s="661"/>
      <c r="CEI202" s="661"/>
      <c r="CEJ202" s="661"/>
      <c r="CEK202" s="661"/>
      <c r="CEL202" s="661"/>
      <c r="CEM202" s="661"/>
      <c r="CEN202" s="661"/>
      <c r="CEO202" s="661"/>
      <c r="CEP202" s="661"/>
      <c r="CEQ202" s="661"/>
      <c r="CER202" s="661"/>
      <c r="CES202" s="660" t="s">
        <v>634</v>
      </c>
      <c r="CET202" s="661"/>
      <c r="CEU202" s="661"/>
      <c r="CEV202" s="661"/>
      <c r="CEW202" s="661"/>
      <c r="CEX202" s="661"/>
      <c r="CEY202" s="661"/>
      <c r="CEZ202" s="661"/>
      <c r="CFA202" s="661"/>
      <c r="CFB202" s="661"/>
      <c r="CFC202" s="661"/>
      <c r="CFD202" s="661"/>
      <c r="CFE202" s="661"/>
      <c r="CFF202" s="661"/>
      <c r="CFG202" s="661"/>
      <c r="CFH202" s="661"/>
      <c r="CFI202" s="660" t="s">
        <v>634</v>
      </c>
      <c r="CFJ202" s="661"/>
      <c r="CFK202" s="661"/>
      <c r="CFL202" s="661"/>
      <c r="CFM202" s="661"/>
      <c r="CFN202" s="661"/>
      <c r="CFO202" s="661"/>
      <c r="CFP202" s="661"/>
      <c r="CFQ202" s="661"/>
      <c r="CFR202" s="661"/>
      <c r="CFS202" s="661"/>
      <c r="CFT202" s="661"/>
      <c r="CFU202" s="661"/>
      <c r="CFV202" s="661"/>
      <c r="CFW202" s="661"/>
      <c r="CFX202" s="661"/>
      <c r="CFY202" s="660" t="s">
        <v>634</v>
      </c>
      <c r="CFZ202" s="661"/>
      <c r="CGA202" s="661"/>
      <c r="CGB202" s="661"/>
      <c r="CGC202" s="661"/>
      <c r="CGD202" s="661"/>
      <c r="CGE202" s="661"/>
      <c r="CGF202" s="661"/>
      <c r="CGG202" s="661"/>
      <c r="CGH202" s="661"/>
      <c r="CGI202" s="661"/>
      <c r="CGJ202" s="661"/>
      <c r="CGK202" s="661"/>
      <c r="CGL202" s="661"/>
      <c r="CGM202" s="661"/>
      <c r="CGN202" s="661"/>
      <c r="CGO202" s="660" t="s">
        <v>634</v>
      </c>
      <c r="CGP202" s="661"/>
      <c r="CGQ202" s="661"/>
      <c r="CGR202" s="661"/>
      <c r="CGS202" s="661"/>
      <c r="CGT202" s="661"/>
      <c r="CGU202" s="661"/>
      <c r="CGV202" s="661"/>
      <c r="CGW202" s="661"/>
      <c r="CGX202" s="661"/>
      <c r="CGY202" s="661"/>
      <c r="CGZ202" s="661"/>
      <c r="CHA202" s="661"/>
      <c r="CHB202" s="661"/>
      <c r="CHC202" s="661"/>
      <c r="CHD202" s="661"/>
      <c r="CHE202" s="660" t="s">
        <v>634</v>
      </c>
      <c r="CHF202" s="661"/>
      <c r="CHG202" s="661"/>
      <c r="CHH202" s="661"/>
      <c r="CHI202" s="661"/>
      <c r="CHJ202" s="661"/>
      <c r="CHK202" s="661"/>
      <c r="CHL202" s="661"/>
      <c r="CHM202" s="661"/>
      <c r="CHN202" s="661"/>
      <c r="CHO202" s="661"/>
      <c r="CHP202" s="661"/>
      <c r="CHQ202" s="661"/>
      <c r="CHR202" s="661"/>
      <c r="CHS202" s="661"/>
      <c r="CHT202" s="661"/>
      <c r="CHU202" s="660" t="s">
        <v>634</v>
      </c>
      <c r="CHV202" s="661"/>
      <c r="CHW202" s="661"/>
      <c r="CHX202" s="661"/>
      <c r="CHY202" s="661"/>
      <c r="CHZ202" s="661"/>
      <c r="CIA202" s="661"/>
      <c r="CIB202" s="661"/>
      <c r="CIC202" s="661"/>
      <c r="CID202" s="661"/>
      <c r="CIE202" s="661"/>
      <c r="CIF202" s="661"/>
      <c r="CIG202" s="661"/>
      <c r="CIH202" s="661"/>
      <c r="CII202" s="661"/>
      <c r="CIJ202" s="661"/>
      <c r="CIK202" s="660" t="s">
        <v>634</v>
      </c>
      <c r="CIL202" s="661"/>
      <c r="CIM202" s="661"/>
      <c r="CIN202" s="661"/>
      <c r="CIO202" s="661"/>
      <c r="CIP202" s="661"/>
      <c r="CIQ202" s="661"/>
      <c r="CIR202" s="661"/>
      <c r="CIS202" s="661"/>
      <c r="CIT202" s="661"/>
      <c r="CIU202" s="661"/>
      <c r="CIV202" s="661"/>
      <c r="CIW202" s="661"/>
      <c r="CIX202" s="661"/>
      <c r="CIY202" s="661"/>
      <c r="CIZ202" s="661"/>
      <c r="CJA202" s="660" t="s">
        <v>634</v>
      </c>
      <c r="CJB202" s="661"/>
      <c r="CJC202" s="661"/>
      <c r="CJD202" s="661"/>
      <c r="CJE202" s="661"/>
      <c r="CJF202" s="661"/>
      <c r="CJG202" s="661"/>
      <c r="CJH202" s="661"/>
      <c r="CJI202" s="661"/>
      <c r="CJJ202" s="661"/>
      <c r="CJK202" s="661"/>
      <c r="CJL202" s="661"/>
      <c r="CJM202" s="661"/>
      <c r="CJN202" s="661"/>
      <c r="CJO202" s="661"/>
      <c r="CJP202" s="661"/>
      <c r="CJQ202" s="660" t="s">
        <v>634</v>
      </c>
      <c r="CJR202" s="661"/>
      <c r="CJS202" s="661"/>
      <c r="CJT202" s="661"/>
      <c r="CJU202" s="661"/>
      <c r="CJV202" s="661"/>
      <c r="CJW202" s="661"/>
      <c r="CJX202" s="661"/>
      <c r="CJY202" s="661"/>
      <c r="CJZ202" s="661"/>
      <c r="CKA202" s="661"/>
      <c r="CKB202" s="661"/>
      <c r="CKC202" s="661"/>
      <c r="CKD202" s="661"/>
      <c r="CKE202" s="661"/>
      <c r="CKF202" s="661"/>
      <c r="CKG202" s="660" t="s">
        <v>634</v>
      </c>
      <c r="CKH202" s="661"/>
      <c r="CKI202" s="661"/>
      <c r="CKJ202" s="661"/>
      <c r="CKK202" s="661"/>
      <c r="CKL202" s="661"/>
      <c r="CKM202" s="661"/>
      <c r="CKN202" s="661"/>
      <c r="CKO202" s="661"/>
      <c r="CKP202" s="661"/>
      <c r="CKQ202" s="661"/>
      <c r="CKR202" s="661"/>
      <c r="CKS202" s="661"/>
      <c r="CKT202" s="661"/>
      <c r="CKU202" s="661"/>
      <c r="CKV202" s="661"/>
      <c r="CKW202" s="660" t="s">
        <v>634</v>
      </c>
      <c r="CKX202" s="661"/>
      <c r="CKY202" s="661"/>
      <c r="CKZ202" s="661"/>
      <c r="CLA202" s="661"/>
      <c r="CLB202" s="661"/>
      <c r="CLC202" s="661"/>
      <c r="CLD202" s="661"/>
      <c r="CLE202" s="661"/>
      <c r="CLF202" s="661"/>
      <c r="CLG202" s="661"/>
      <c r="CLH202" s="661"/>
      <c r="CLI202" s="661"/>
      <c r="CLJ202" s="661"/>
      <c r="CLK202" s="661"/>
      <c r="CLL202" s="661"/>
      <c r="CLM202" s="660" t="s">
        <v>634</v>
      </c>
      <c r="CLN202" s="661"/>
      <c r="CLO202" s="661"/>
      <c r="CLP202" s="661"/>
      <c r="CLQ202" s="661"/>
      <c r="CLR202" s="661"/>
      <c r="CLS202" s="661"/>
      <c r="CLT202" s="661"/>
      <c r="CLU202" s="661"/>
      <c r="CLV202" s="661"/>
      <c r="CLW202" s="661"/>
      <c r="CLX202" s="661"/>
      <c r="CLY202" s="661"/>
      <c r="CLZ202" s="661"/>
      <c r="CMA202" s="661"/>
      <c r="CMB202" s="661"/>
      <c r="CMC202" s="660" t="s">
        <v>634</v>
      </c>
      <c r="CMD202" s="661"/>
      <c r="CME202" s="661"/>
      <c r="CMF202" s="661"/>
      <c r="CMG202" s="661"/>
      <c r="CMH202" s="661"/>
      <c r="CMI202" s="661"/>
      <c r="CMJ202" s="661"/>
      <c r="CMK202" s="661"/>
      <c r="CML202" s="661"/>
      <c r="CMM202" s="661"/>
      <c r="CMN202" s="661"/>
      <c r="CMO202" s="661"/>
      <c r="CMP202" s="661"/>
      <c r="CMQ202" s="661"/>
      <c r="CMR202" s="661"/>
      <c r="CMS202" s="660" t="s">
        <v>634</v>
      </c>
      <c r="CMT202" s="661"/>
      <c r="CMU202" s="661"/>
      <c r="CMV202" s="661"/>
      <c r="CMW202" s="661"/>
      <c r="CMX202" s="661"/>
      <c r="CMY202" s="661"/>
      <c r="CMZ202" s="661"/>
      <c r="CNA202" s="661"/>
      <c r="CNB202" s="661"/>
      <c r="CNC202" s="661"/>
      <c r="CND202" s="661"/>
      <c r="CNE202" s="661"/>
      <c r="CNF202" s="661"/>
      <c r="CNG202" s="661"/>
      <c r="CNH202" s="661"/>
      <c r="CNI202" s="660" t="s">
        <v>634</v>
      </c>
      <c r="CNJ202" s="661"/>
      <c r="CNK202" s="661"/>
      <c r="CNL202" s="661"/>
      <c r="CNM202" s="661"/>
      <c r="CNN202" s="661"/>
      <c r="CNO202" s="661"/>
      <c r="CNP202" s="661"/>
      <c r="CNQ202" s="661"/>
      <c r="CNR202" s="661"/>
      <c r="CNS202" s="661"/>
      <c r="CNT202" s="661"/>
      <c r="CNU202" s="661"/>
      <c r="CNV202" s="661"/>
      <c r="CNW202" s="661"/>
      <c r="CNX202" s="661"/>
      <c r="CNY202" s="660" t="s">
        <v>634</v>
      </c>
      <c r="CNZ202" s="661"/>
      <c r="COA202" s="661"/>
      <c r="COB202" s="661"/>
      <c r="COC202" s="661"/>
      <c r="COD202" s="661"/>
      <c r="COE202" s="661"/>
      <c r="COF202" s="661"/>
      <c r="COG202" s="661"/>
      <c r="COH202" s="661"/>
      <c r="COI202" s="661"/>
      <c r="COJ202" s="661"/>
      <c r="COK202" s="661"/>
      <c r="COL202" s="661"/>
      <c r="COM202" s="661"/>
      <c r="CON202" s="661"/>
      <c r="COO202" s="660" t="s">
        <v>634</v>
      </c>
      <c r="COP202" s="661"/>
      <c r="COQ202" s="661"/>
      <c r="COR202" s="661"/>
      <c r="COS202" s="661"/>
      <c r="COT202" s="661"/>
      <c r="COU202" s="661"/>
      <c r="COV202" s="661"/>
      <c r="COW202" s="661"/>
      <c r="COX202" s="661"/>
      <c r="COY202" s="661"/>
      <c r="COZ202" s="661"/>
      <c r="CPA202" s="661"/>
      <c r="CPB202" s="661"/>
      <c r="CPC202" s="661"/>
      <c r="CPD202" s="661"/>
      <c r="CPE202" s="660" t="s">
        <v>634</v>
      </c>
      <c r="CPF202" s="661"/>
      <c r="CPG202" s="661"/>
      <c r="CPH202" s="661"/>
      <c r="CPI202" s="661"/>
      <c r="CPJ202" s="661"/>
      <c r="CPK202" s="661"/>
      <c r="CPL202" s="661"/>
      <c r="CPM202" s="661"/>
      <c r="CPN202" s="661"/>
      <c r="CPO202" s="661"/>
      <c r="CPP202" s="661"/>
      <c r="CPQ202" s="661"/>
      <c r="CPR202" s="661"/>
      <c r="CPS202" s="661"/>
      <c r="CPT202" s="661"/>
      <c r="CPU202" s="660" t="s">
        <v>634</v>
      </c>
      <c r="CPV202" s="661"/>
      <c r="CPW202" s="661"/>
      <c r="CPX202" s="661"/>
      <c r="CPY202" s="661"/>
      <c r="CPZ202" s="661"/>
      <c r="CQA202" s="661"/>
      <c r="CQB202" s="661"/>
      <c r="CQC202" s="661"/>
      <c r="CQD202" s="661"/>
      <c r="CQE202" s="661"/>
      <c r="CQF202" s="661"/>
      <c r="CQG202" s="661"/>
      <c r="CQH202" s="661"/>
      <c r="CQI202" s="661"/>
      <c r="CQJ202" s="661"/>
      <c r="CQK202" s="660" t="s">
        <v>634</v>
      </c>
      <c r="CQL202" s="661"/>
      <c r="CQM202" s="661"/>
      <c r="CQN202" s="661"/>
      <c r="CQO202" s="661"/>
      <c r="CQP202" s="661"/>
      <c r="CQQ202" s="661"/>
      <c r="CQR202" s="661"/>
      <c r="CQS202" s="661"/>
      <c r="CQT202" s="661"/>
      <c r="CQU202" s="661"/>
      <c r="CQV202" s="661"/>
      <c r="CQW202" s="661"/>
      <c r="CQX202" s="661"/>
      <c r="CQY202" s="661"/>
      <c r="CQZ202" s="661"/>
      <c r="CRA202" s="660" t="s">
        <v>634</v>
      </c>
      <c r="CRB202" s="661"/>
      <c r="CRC202" s="661"/>
      <c r="CRD202" s="661"/>
      <c r="CRE202" s="661"/>
      <c r="CRF202" s="661"/>
      <c r="CRG202" s="661"/>
      <c r="CRH202" s="661"/>
      <c r="CRI202" s="661"/>
      <c r="CRJ202" s="661"/>
      <c r="CRK202" s="661"/>
      <c r="CRL202" s="661"/>
      <c r="CRM202" s="661"/>
      <c r="CRN202" s="661"/>
      <c r="CRO202" s="661"/>
      <c r="CRP202" s="661"/>
      <c r="CRQ202" s="660" t="s">
        <v>634</v>
      </c>
      <c r="CRR202" s="661"/>
      <c r="CRS202" s="661"/>
      <c r="CRT202" s="661"/>
      <c r="CRU202" s="661"/>
      <c r="CRV202" s="661"/>
      <c r="CRW202" s="661"/>
      <c r="CRX202" s="661"/>
      <c r="CRY202" s="661"/>
      <c r="CRZ202" s="661"/>
      <c r="CSA202" s="661"/>
      <c r="CSB202" s="661"/>
      <c r="CSC202" s="661"/>
      <c r="CSD202" s="661"/>
      <c r="CSE202" s="661"/>
      <c r="CSF202" s="661"/>
      <c r="CSG202" s="660" t="s">
        <v>634</v>
      </c>
      <c r="CSH202" s="661"/>
      <c r="CSI202" s="661"/>
      <c r="CSJ202" s="661"/>
      <c r="CSK202" s="661"/>
      <c r="CSL202" s="661"/>
      <c r="CSM202" s="661"/>
      <c r="CSN202" s="661"/>
      <c r="CSO202" s="661"/>
      <c r="CSP202" s="661"/>
      <c r="CSQ202" s="661"/>
      <c r="CSR202" s="661"/>
      <c r="CSS202" s="661"/>
      <c r="CST202" s="661"/>
      <c r="CSU202" s="661"/>
      <c r="CSV202" s="661"/>
      <c r="CSW202" s="660" t="s">
        <v>634</v>
      </c>
      <c r="CSX202" s="661"/>
      <c r="CSY202" s="661"/>
      <c r="CSZ202" s="661"/>
      <c r="CTA202" s="661"/>
      <c r="CTB202" s="661"/>
      <c r="CTC202" s="661"/>
      <c r="CTD202" s="661"/>
      <c r="CTE202" s="661"/>
      <c r="CTF202" s="661"/>
      <c r="CTG202" s="661"/>
      <c r="CTH202" s="661"/>
      <c r="CTI202" s="661"/>
      <c r="CTJ202" s="661"/>
      <c r="CTK202" s="661"/>
      <c r="CTL202" s="661"/>
      <c r="CTM202" s="660" t="s">
        <v>634</v>
      </c>
      <c r="CTN202" s="661"/>
      <c r="CTO202" s="661"/>
      <c r="CTP202" s="661"/>
      <c r="CTQ202" s="661"/>
      <c r="CTR202" s="661"/>
      <c r="CTS202" s="661"/>
      <c r="CTT202" s="661"/>
      <c r="CTU202" s="661"/>
      <c r="CTV202" s="661"/>
      <c r="CTW202" s="661"/>
      <c r="CTX202" s="661"/>
      <c r="CTY202" s="661"/>
      <c r="CTZ202" s="661"/>
      <c r="CUA202" s="661"/>
      <c r="CUB202" s="661"/>
      <c r="CUC202" s="660" t="s">
        <v>634</v>
      </c>
      <c r="CUD202" s="661"/>
      <c r="CUE202" s="661"/>
      <c r="CUF202" s="661"/>
      <c r="CUG202" s="661"/>
      <c r="CUH202" s="661"/>
      <c r="CUI202" s="661"/>
      <c r="CUJ202" s="661"/>
      <c r="CUK202" s="661"/>
      <c r="CUL202" s="661"/>
      <c r="CUM202" s="661"/>
      <c r="CUN202" s="661"/>
      <c r="CUO202" s="661"/>
      <c r="CUP202" s="661"/>
      <c r="CUQ202" s="661"/>
      <c r="CUR202" s="661"/>
      <c r="CUS202" s="660" t="s">
        <v>634</v>
      </c>
      <c r="CUT202" s="661"/>
      <c r="CUU202" s="661"/>
      <c r="CUV202" s="661"/>
      <c r="CUW202" s="661"/>
      <c r="CUX202" s="661"/>
      <c r="CUY202" s="661"/>
      <c r="CUZ202" s="661"/>
      <c r="CVA202" s="661"/>
      <c r="CVB202" s="661"/>
      <c r="CVC202" s="661"/>
      <c r="CVD202" s="661"/>
      <c r="CVE202" s="661"/>
      <c r="CVF202" s="661"/>
      <c r="CVG202" s="661"/>
      <c r="CVH202" s="661"/>
      <c r="CVI202" s="660" t="s">
        <v>634</v>
      </c>
      <c r="CVJ202" s="661"/>
      <c r="CVK202" s="661"/>
      <c r="CVL202" s="661"/>
      <c r="CVM202" s="661"/>
      <c r="CVN202" s="661"/>
      <c r="CVO202" s="661"/>
      <c r="CVP202" s="661"/>
      <c r="CVQ202" s="661"/>
      <c r="CVR202" s="661"/>
      <c r="CVS202" s="661"/>
      <c r="CVT202" s="661"/>
      <c r="CVU202" s="661"/>
      <c r="CVV202" s="661"/>
      <c r="CVW202" s="661"/>
      <c r="CVX202" s="661"/>
      <c r="CVY202" s="660" t="s">
        <v>634</v>
      </c>
      <c r="CVZ202" s="661"/>
      <c r="CWA202" s="661"/>
      <c r="CWB202" s="661"/>
      <c r="CWC202" s="661"/>
      <c r="CWD202" s="661"/>
      <c r="CWE202" s="661"/>
      <c r="CWF202" s="661"/>
      <c r="CWG202" s="661"/>
      <c r="CWH202" s="661"/>
      <c r="CWI202" s="661"/>
      <c r="CWJ202" s="661"/>
      <c r="CWK202" s="661"/>
      <c r="CWL202" s="661"/>
      <c r="CWM202" s="661"/>
      <c r="CWN202" s="661"/>
      <c r="CWO202" s="660" t="s">
        <v>634</v>
      </c>
      <c r="CWP202" s="661"/>
      <c r="CWQ202" s="661"/>
      <c r="CWR202" s="661"/>
      <c r="CWS202" s="661"/>
      <c r="CWT202" s="661"/>
      <c r="CWU202" s="661"/>
      <c r="CWV202" s="661"/>
      <c r="CWW202" s="661"/>
      <c r="CWX202" s="661"/>
      <c r="CWY202" s="661"/>
      <c r="CWZ202" s="661"/>
      <c r="CXA202" s="661"/>
      <c r="CXB202" s="661"/>
      <c r="CXC202" s="661"/>
      <c r="CXD202" s="661"/>
      <c r="CXE202" s="660" t="s">
        <v>634</v>
      </c>
      <c r="CXF202" s="661"/>
      <c r="CXG202" s="661"/>
      <c r="CXH202" s="661"/>
      <c r="CXI202" s="661"/>
      <c r="CXJ202" s="661"/>
      <c r="CXK202" s="661"/>
      <c r="CXL202" s="661"/>
      <c r="CXM202" s="661"/>
      <c r="CXN202" s="661"/>
      <c r="CXO202" s="661"/>
      <c r="CXP202" s="661"/>
      <c r="CXQ202" s="661"/>
      <c r="CXR202" s="661"/>
      <c r="CXS202" s="661"/>
      <c r="CXT202" s="661"/>
      <c r="CXU202" s="660" t="s">
        <v>634</v>
      </c>
      <c r="CXV202" s="661"/>
      <c r="CXW202" s="661"/>
      <c r="CXX202" s="661"/>
      <c r="CXY202" s="661"/>
      <c r="CXZ202" s="661"/>
      <c r="CYA202" s="661"/>
      <c r="CYB202" s="661"/>
      <c r="CYC202" s="661"/>
      <c r="CYD202" s="661"/>
      <c r="CYE202" s="661"/>
      <c r="CYF202" s="661"/>
      <c r="CYG202" s="661"/>
      <c r="CYH202" s="661"/>
      <c r="CYI202" s="661"/>
      <c r="CYJ202" s="661"/>
      <c r="CYK202" s="660" t="s">
        <v>634</v>
      </c>
      <c r="CYL202" s="661"/>
      <c r="CYM202" s="661"/>
      <c r="CYN202" s="661"/>
      <c r="CYO202" s="661"/>
      <c r="CYP202" s="661"/>
      <c r="CYQ202" s="661"/>
      <c r="CYR202" s="661"/>
      <c r="CYS202" s="661"/>
      <c r="CYT202" s="661"/>
      <c r="CYU202" s="661"/>
      <c r="CYV202" s="661"/>
      <c r="CYW202" s="661"/>
      <c r="CYX202" s="661"/>
      <c r="CYY202" s="661"/>
      <c r="CYZ202" s="661"/>
      <c r="CZA202" s="660" t="s">
        <v>634</v>
      </c>
      <c r="CZB202" s="661"/>
      <c r="CZC202" s="661"/>
      <c r="CZD202" s="661"/>
      <c r="CZE202" s="661"/>
      <c r="CZF202" s="661"/>
      <c r="CZG202" s="661"/>
      <c r="CZH202" s="661"/>
      <c r="CZI202" s="661"/>
      <c r="CZJ202" s="661"/>
      <c r="CZK202" s="661"/>
      <c r="CZL202" s="661"/>
      <c r="CZM202" s="661"/>
      <c r="CZN202" s="661"/>
      <c r="CZO202" s="661"/>
      <c r="CZP202" s="661"/>
      <c r="CZQ202" s="660" t="s">
        <v>634</v>
      </c>
      <c r="CZR202" s="661"/>
      <c r="CZS202" s="661"/>
      <c r="CZT202" s="661"/>
      <c r="CZU202" s="661"/>
      <c r="CZV202" s="661"/>
      <c r="CZW202" s="661"/>
      <c r="CZX202" s="661"/>
      <c r="CZY202" s="661"/>
      <c r="CZZ202" s="661"/>
      <c r="DAA202" s="661"/>
      <c r="DAB202" s="661"/>
      <c r="DAC202" s="661"/>
      <c r="DAD202" s="661"/>
      <c r="DAE202" s="661"/>
      <c r="DAF202" s="661"/>
      <c r="DAG202" s="660" t="s">
        <v>634</v>
      </c>
      <c r="DAH202" s="661"/>
      <c r="DAI202" s="661"/>
      <c r="DAJ202" s="661"/>
      <c r="DAK202" s="661"/>
      <c r="DAL202" s="661"/>
      <c r="DAM202" s="661"/>
      <c r="DAN202" s="661"/>
      <c r="DAO202" s="661"/>
      <c r="DAP202" s="661"/>
      <c r="DAQ202" s="661"/>
      <c r="DAR202" s="661"/>
      <c r="DAS202" s="661"/>
      <c r="DAT202" s="661"/>
      <c r="DAU202" s="661"/>
      <c r="DAV202" s="661"/>
      <c r="DAW202" s="660" t="s">
        <v>634</v>
      </c>
      <c r="DAX202" s="661"/>
      <c r="DAY202" s="661"/>
      <c r="DAZ202" s="661"/>
      <c r="DBA202" s="661"/>
      <c r="DBB202" s="661"/>
      <c r="DBC202" s="661"/>
      <c r="DBD202" s="661"/>
      <c r="DBE202" s="661"/>
      <c r="DBF202" s="661"/>
      <c r="DBG202" s="661"/>
      <c r="DBH202" s="661"/>
      <c r="DBI202" s="661"/>
      <c r="DBJ202" s="661"/>
      <c r="DBK202" s="661"/>
      <c r="DBL202" s="661"/>
      <c r="DBM202" s="660" t="s">
        <v>634</v>
      </c>
      <c r="DBN202" s="661"/>
      <c r="DBO202" s="661"/>
      <c r="DBP202" s="661"/>
      <c r="DBQ202" s="661"/>
      <c r="DBR202" s="661"/>
      <c r="DBS202" s="661"/>
      <c r="DBT202" s="661"/>
      <c r="DBU202" s="661"/>
      <c r="DBV202" s="661"/>
      <c r="DBW202" s="661"/>
      <c r="DBX202" s="661"/>
      <c r="DBY202" s="661"/>
      <c r="DBZ202" s="661"/>
      <c r="DCA202" s="661"/>
      <c r="DCB202" s="661"/>
      <c r="DCC202" s="660" t="s">
        <v>634</v>
      </c>
      <c r="DCD202" s="661"/>
      <c r="DCE202" s="661"/>
      <c r="DCF202" s="661"/>
      <c r="DCG202" s="661"/>
      <c r="DCH202" s="661"/>
      <c r="DCI202" s="661"/>
      <c r="DCJ202" s="661"/>
      <c r="DCK202" s="661"/>
      <c r="DCL202" s="661"/>
      <c r="DCM202" s="661"/>
      <c r="DCN202" s="661"/>
      <c r="DCO202" s="661"/>
      <c r="DCP202" s="661"/>
      <c r="DCQ202" s="661"/>
      <c r="DCR202" s="661"/>
      <c r="DCS202" s="660" t="s">
        <v>634</v>
      </c>
      <c r="DCT202" s="661"/>
      <c r="DCU202" s="661"/>
      <c r="DCV202" s="661"/>
      <c r="DCW202" s="661"/>
      <c r="DCX202" s="661"/>
      <c r="DCY202" s="661"/>
      <c r="DCZ202" s="661"/>
      <c r="DDA202" s="661"/>
      <c r="DDB202" s="661"/>
      <c r="DDC202" s="661"/>
      <c r="DDD202" s="661"/>
      <c r="DDE202" s="661"/>
      <c r="DDF202" s="661"/>
      <c r="DDG202" s="661"/>
      <c r="DDH202" s="661"/>
      <c r="DDI202" s="660" t="s">
        <v>634</v>
      </c>
      <c r="DDJ202" s="661"/>
      <c r="DDK202" s="661"/>
      <c r="DDL202" s="661"/>
      <c r="DDM202" s="661"/>
      <c r="DDN202" s="661"/>
      <c r="DDO202" s="661"/>
      <c r="DDP202" s="661"/>
      <c r="DDQ202" s="661"/>
      <c r="DDR202" s="661"/>
      <c r="DDS202" s="661"/>
      <c r="DDT202" s="661"/>
      <c r="DDU202" s="661"/>
      <c r="DDV202" s="661"/>
      <c r="DDW202" s="661"/>
      <c r="DDX202" s="661"/>
      <c r="DDY202" s="660" t="s">
        <v>634</v>
      </c>
      <c r="DDZ202" s="661"/>
      <c r="DEA202" s="661"/>
      <c r="DEB202" s="661"/>
      <c r="DEC202" s="661"/>
      <c r="DED202" s="661"/>
      <c r="DEE202" s="661"/>
      <c r="DEF202" s="661"/>
      <c r="DEG202" s="661"/>
      <c r="DEH202" s="661"/>
      <c r="DEI202" s="661"/>
      <c r="DEJ202" s="661"/>
      <c r="DEK202" s="661"/>
      <c r="DEL202" s="661"/>
      <c r="DEM202" s="661"/>
      <c r="DEN202" s="661"/>
      <c r="DEO202" s="660" t="s">
        <v>634</v>
      </c>
      <c r="DEP202" s="661"/>
      <c r="DEQ202" s="661"/>
      <c r="DER202" s="661"/>
      <c r="DES202" s="661"/>
      <c r="DET202" s="661"/>
      <c r="DEU202" s="661"/>
      <c r="DEV202" s="661"/>
      <c r="DEW202" s="661"/>
      <c r="DEX202" s="661"/>
      <c r="DEY202" s="661"/>
      <c r="DEZ202" s="661"/>
      <c r="DFA202" s="661"/>
      <c r="DFB202" s="661"/>
      <c r="DFC202" s="661"/>
      <c r="DFD202" s="661"/>
      <c r="DFE202" s="660" t="s">
        <v>634</v>
      </c>
      <c r="DFF202" s="661"/>
      <c r="DFG202" s="661"/>
      <c r="DFH202" s="661"/>
      <c r="DFI202" s="661"/>
      <c r="DFJ202" s="661"/>
      <c r="DFK202" s="661"/>
      <c r="DFL202" s="661"/>
      <c r="DFM202" s="661"/>
      <c r="DFN202" s="661"/>
      <c r="DFO202" s="661"/>
      <c r="DFP202" s="661"/>
      <c r="DFQ202" s="661"/>
      <c r="DFR202" s="661"/>
      <c r="DFS202" s="661"/>
      <c r="DFT202" s="661"/>
      <c r="DFU202" s="660" t="s">
        <v>634</v>
      </c>
      <c r="DFV202" s="661"/>
      <c r="DFW202" s="661"/>
      <c r="DFX202" s="661"/>
      <c r="DFY202" s="661"/>
      <c r="DFZ202" s="661"/>
      <c r="DGA202" s="661"/>
      <c r="DGB202" s="661"/>
      <c r="DGC202" s="661"/>
      <c r="DGD202" s="661"/>
      <c r="DGE202" s="661"/>
      <c r="DGF202" s="661"/>
      <c r="DGG202" s="661"/>
      <c r="DGH202" s="661"/>
      <c r="DGI202" s="661"/>
      <c r="DGJ202" s="661"/>
      <c r="DGK202" s="660" t="s">
        <v>634</v>
      </c>
      <c r="DGL202" s="661"/>
      <c r="DGM202" s="661"/>
      <c r="DGN202" s="661"/>
      <c r="DGO202" s="661"/>
      <c r="DGP202" s="661"/>
      <c r="DGQ202" s="661"/>
      <c r="DGR202" s="661"/>
      <c r="DGS202" s="661"/>
      <c r="DGT202" s="661"/>
      <c r="DGU202" s="661"/>
      <c r="DGV202" s="661"/>
      <c r="DGW202" s="661"/>
      <c r="DGX202" s="661"/>
      <c r="DGY202" s="661"/>
      <c r="DGZ202" s="661"/>
      <c r="DHA202" s="660" t="s">
        <v>634</v>
      </c>
      <c r="DHB202" s="661"/>
      <c r="DHC202" s="661"/>
      <c r="DHD202" s="661"/>
      <c r="DHE202" s="661"/>
      <c r="DHF202" s="661"/>
      <c r="DHG202" s="661"/>
      <c r="DHH202" s="661"/>
      <c r="DHI202" s="661"/>
      <c r="DHJ202" s="661"/>
      <c r="DHK202" s="661"/>
      <c r="DHL202" s="661"/>
      <c r="DHM202" s="661"/>
      <c r="DHN202" s="661"/>
      <c r="DHO202" s="661"/>
      <c r="DHP202" s="661"/>
      <c r="DHQ202" s="660" t="s">
        <v>634</v>
      </c>
      <c r="DHR202" s="661"/>
      <c r="DHS202" s="661"/>
      <c r="DHT202" s="661"/>
      <c r="DHU202" s="661"/>
      <c r="DHV202" s="661"/>
      <c r="DHW202" s="661"/>
      <c r="DHX202" s="661"/>
      <c r="DHY202" s="661"/>
      <c r="DHZ202" s="661"/>
      <c r="DIA202" s="661"/>
      <c r="DIB202" s="661"/>
      <c r="DIC202" s="661"/>
      <c r="DID202" s="661"/>
      <c r="DIE202" s="661"/>
      <c r="DIF202" s="661"/>
      <c r="DIG202" s="660" t="s">
        <v>634</v>
      </c>
      <c r="DIH202" s="661"/>
      <c r="DII202" s="661"/>
      <c r="DIJ202" s="661"/>
      <c r="DIK202" s="661"/>
      <c r="DIL202" s="661"/>
      <c r="DIM202" s="661"/>
      <c r="DIN202" s="661"/>
      <c r="DIO202" s="661"/>
      <c r="DIP202" s="661"/>
      <c r="DIQ202" s="661"/>
      <c r="DIR202" s="661"/>
      <c r="DIS202" s="661"/>
      <c r="DIT202" s="661"/>
      <c r="DIU202" s="661"/>
      <c r="DIV202" s="661"/>
      <c r="DIW202" s="660" t="s">
        <v>634</v>
      </c>
      <c r="DIX202" s="661"/>
      <c r="DIY202" s="661"/>
      <c r="DIZ202" s="661"/>
      <c r="DJA202" s="661"/>
      <c r="DJB202" s="661"/>
      <c r="DJC202" s="661"/>
      <c r="DJD202" s="661"/>
      <c r="DJE202" s="661"/>
      <c r="DJF202" s="661"/>
      <c r="DJG202" s="661"/>
      <c r="DJH202" s="661"/>
      <c r="DJI202" s="661"/>
      <c r="DJJ202" s="661"/>
      <c r="DJK202" s="661"/>
      <c r="DJL202" s="661"/>
      <c r="DJM202" s="660" t="s">
        <v>634</v>
      </c>
      <c r="DJN202" s="661"/>
      <c r="DJO202" s="661"/>
      <c r="DJP202" s="661"/>
      <c r="DJQ202" s="661"/>
      <c r="DJR202" s="661"/>
      <c r="DJS202" s="661"/>
      <c r="DJT202" s="661"/>
      <c r="DJU202" s="661"/>
      <c r="DJV202" s="661"/>
      <c r="DJW202" s="661"/>
      <c r="DJX202" s="661"/>
      <c r="DJY202" s="661"/>
      <c r="DJZ202" s="661"/>
      <c r="DKA202" s="661"/>
      <c r="DKB202" s="661"/>
      <c r="DKC202" s="660" t="s">
        <v>634</v>
      </c>
      <c r="DKD202" s="661"/>
      <c r="DKE202" s="661"/>
      <c r="DKF202" s="661"/>
      <c r="DKG202" s="661"/>
      <c r="DKH202" s="661"/>
      <c r="DKI202" s="661"/>
      <c r="DKJ202" s="661"/>
      <c r="DKK202" s="661"/>
      <c r="DKL202" s="661"/>
      <c r="DKM202" s="661"/>
      <c r="DKN202" s="661"/>
      <c r="DKO202" s="661"/>
      <c r="DKP202" s="661"/>
      <c r="DKQ202" s="661"/>
      <c r="DKR202" s="661"/>
      <c r="DKS202" s="660" t="s">
        <v>634</v>
      </c>
      <c r="DKT202" s="661"/>
      <c r="DKU202" s="661"/>
      <c r="DKV202" s="661"/>
      <c r="DKW202" s="661"/>
      <c r="DKX202" s="661"/>
      <c r="DKY202" s="661"/>
      <c r="DKZ202" s="661"/>
      <c r="DLA202" s="661"/>
      <c r="DLB202" s="661"/>
      <c r="DLC202" s="661"/>
      <c r="DLD202" s="661"/>
      <c r="DLE202" s="661"/>
      <c r="DLF202" s="661"/>
      <c r="DLG202" s="661"/>
      <c r="DLH202" s="661"/>
      <c r="DLI202" s="660" t="s">
        <v>634</v>
      </c>
      <c r="DLJ202" s="661"/>
      <c r="DLK202" s="661"/>
      <c r="DLL202" s="661"/>
      <c r="DLM202" s="661"/>
      <c r="DLN202" s="661"/>
      <c r="DLO202" s="661"/>
      <c r="DLP202" s="661"/>
      <c r="DLQ202" s="661"/>
      <c r="DLR202" s="661"/>
      <c r="DLS202" s="661"/>
      <c r="DLT202" s="661"/>
      <c r="DLU202" s="661"/>
      <c r="DLV202" s="661"/>
      <c r="DLW202" s="661"/>
      <c r="DLX202" s="661"/>
      <c r="DLY202" s="660" t="s">
        <v>634</v>
      </c>
      <c r="DLZ202" s="661"/>
      <c r="DMA202" s="661"/>
      <c r="DMB202" s="661"/>
      <c r="DMC202" s="661"/>
      <c r="DMD202" s="661"/>
      <c r="DME202" s="661"/>
      <c r="DMF202" s="661"/>
      <c r="DMG202" s="661"/>
      <c r="DMH202" s="661"/>
      <c r="DMI202" s="661"/>
      <c r="DMJ202" s="661"/>
      <c r="DMK202" s="661"/>
      <c r="DML202" s="661"/>
      <c r="DMM202" s="661"/>
      <c r="DMN202" s="661"/>
      <c r="DMO202" s="660" t="s">
        <v>634</v>
      </c>
      <c r="DMP202" s="661"/>
      <c r="DMQ202" s="661"/>
      <c r="DMR202" s="661"/>
      <c r="DMS202" s="661"/>
      <c r="DMT202" s="661"/>
      <c r="DMU202" s="661"/>
      <c r="DMV202" s="661"/>
      <c r="DMW202" s="661"/>
      <c r="DMX202" s="661"/>
      <c r="DMY202" s="661"/>
      <c r="DMZ202" s="661"/>
      <c r="DNA202" s="661"/>
      <c r="DNB202" s="661"/>
      <c r="DNC202" s="661"/>
      <c r="DND202" s="661"/>
      <c r="DNE202" s="660" t="s">
        <v>634</v>
      </c>
      <c r="DNF202" s="661"/>
      <c r="DNG202" s="661"/>
      <c r="DNH202" s="661"/>
      <c r="DNI202" s="661"/>
      <c r="DNJ202" s="661"/>
      <c r="DNK202" s="661"/>
      <c r="DNL202" s="661"/>
      <c r="DNM202" s="661"/>
      <c r="DNN202" s="661"/>
      <c r="DNO202" s="661"/>
      <c r="DNP202" s="661"/>
      <c r="DNQ202" s="661"/>
      <c r="DNR202" s="661"/>
      <c r="DNS202" s="661"/>
      <c r="DNT202" s="661"/>
      <c r="DNU202" s="660" t="s">
        <v>634</v>
      </c>
      <c r="DNV202" s="661"/>
      <c r="DNW202" s="661"/>
      <c r="DNX202" s="661"/>
      <c r="DNY202" s="661"/>
      <c r="DNZ202" s="661"/>
      <c r="DOA202" s="661"/>
      <c r="DOB202" s="661"/>
      <c r="DOC202" s="661"/>
      <c r="DOD202" s="661"/>
      <c r="DOE202" s="661"/>
      <c r="DOF202" s="661"/>
      <c r="DOG202" s="661"/>
      <c r="DOH202" s="661"/>
      <c r="DOI202" s="661"/>
      <c r="DOJ202" s="661"/>
      <c r="DOK202" s="660" t="s">
        <v>634</v>
      </c>
      <c r="DOL202" s="661"/>
      <c r="DOM202" s="661"/>
      <c r="DON202" s="661"/>
      <c r="DOO202" s="661"/>
      <c r="DOP202" s="661"/>
      <c r="DOQ202" s="661"/>
      <c r="DOR202" s="661"/>
      <c r="DOS202" s="661"/>
      <c r="DOT202" s="661"/>
      <c r="DOU202" s="661"/>
      <c r="DOV202" s="661"/>
      <c r="DOW202" s="661"/>
      <c r="DOX202" s="661"/>
      <c r="DOY202" s="661"/>
      <c r="DOZ202" s="661"/>
      <c r="DPA202" s="660" t="s">
        <v>634</v>
      </c>
      <c r="DPB202" s="661"/>
      <c r="DPC202" s="661"/>
      <c r="DPD202" s="661"/>
      <c r="DPE202" s="661"/>
      <c r="DPF202" s="661"/>
      <c r="DPG202" s="661"/>
      <c r="DPH202" s="661"/>
      <c r="DPI202" s="661"/>
      <c r="DPJ202" s="661"/>
      <c r="DPK202" s="661"/>
      <c r="DPL202" s="661"/>
      <c r="DPM202" s="661"/>
      <c r="DPN202" s="661"/>
      <c r="DPO202" s="661"/>
      <c r="DPP202" s="661"/>
      <c r="DPQ202" s="660" t="s">
        <v>634</v>
      </c>
      <c r="DPR202" s="661"/>
      <c r="DPS202" s="661"/>
      <c r="DPT202" s="661"/>
      <c r="DPU202" s="661"/>
      <c r="DPV202" s="661"/>
      <c r="DPW202" s="661"/>
      <c r="DPX202" s="661"/>
      <c r="DPY202" s="661"/>
      <c r="DPZ202" s="661"/>
      <c r="DQA202" s="661"/>
      <c r="DQB202" s="661"/>
      <c r="DQC202" s="661"/>
      <c r="DQD202" s="661"/>
      <c r="DQE202" s="661"/>
      <c r="DQF202" s="661"/>
      <c r="DQG202" s="660" t="s">
        <v>634</v>
      </c>
      <c r="DQH202" s="661"/>
      <c r="DQI202" s="661"/>
      <c r="DQJ202" s="661"/>
      <c r="DQK202" s="661"/>
      <c r="DQL202" s="661"/>
      <c r="DQM202" s="661"/>
      <c r="DQN202" s="661"/>
      <c r="DQO202" s="661"/>
      <c r="DQP202" s="661"/>
      <c r="DQQ202" s="661"/>
      <c r="DQR202" s="661"/>
      <c r="DQS202" s="661"/>
      <c r="DQT202" s="661"/>
      <c r="DQU202" s="661"/>
      <c r="DQV202" s="661"/>
      <c r="DQW202" s="660" t="s">
        <v>634</v>
      </c>
      <c r="DQX202" s="661"/>
      <c r="DQY202" s="661"/>
      <c r="DQZ202" s="661"/>
      <c r="DRA202" s="661"/>
      <c r="DRB202" s="661"/>
      <c r="DRC202" s="661"/>
      <c r="DRD202" s="661"/>
      <c r="DRE202" s="661"/>
      <c r="DRF202" s="661"/>
      <c r="DRG202" s="661"/>
      <c r="DRH202" s="661"/>
      <c r="DRI202" s="661"/>
      <c r="DRJ202" s="661"/>
      <c r="DRK202" s="661"/>
      <c r="DRL202" s="661"/>
      <c r="DRM202" s="660" t="s">
        <v>634</v>
      </c>
      <c r="DRN202" s="661"/>
      <c r="DRO202" s="661"/>
      <c r="DRP202" s="661"/>
      <c r="DRQ202" s="661"/>
      <c r="DRR202" s="661"/>
      <c r="DRS202" s="661"/>
      <c r="DRT202" s="661"/>
      <c r="DRU202" s="661"/>
      <c r="DRV202" s="661"/>
      <c r="DRW202" s="661"/>
      <c r="DRX202" s="661"/>
      <c r="DRY202" s="661"/>
      <c r="DRZ202" s="661"/>
      <c r="DSA202" s="661"/>
      <c r="DSB202" s="661"/>
      <c r="DSC202" s="660" t="s">
        <v>634</v>
      </c>
      <c r="DSD202" s="661"/>
      <c r="DSE202" s="661"/>
      <c r="DSF202" s="661"/>
      <c r="DSG202" s="661"/>
      <c r="DSH202" s="661"/>
      <c r="DSI202" s="661"/>
      <c r="DSJ202" s="661"/>
      <c r="DSK202" s="661"/>
      <c r="DSL202" s="661"/>
      <c r="DSM202" s="661"/>
      <c r="DSN202" s="661"/>
      <c r="DSO202" s="661"/>
      <c r="DSP202" s="661"/>
      <c r="DSQ202" s="661"/>
      <c r="DSR202" s="661"/>
      <c r="DSS202" s="660" t="s">
        <v>634</v>
      </c>
      <c r="DST202" s="661"/>
      <c r="DSU202" s="661"/>
      <c r="DSV202" s="661"/>
      <c r="DSW202" s="661"/>
      <c r="DSX202" s="661"/>
      <c r="DSY202" s="661"/>
      <c r="DSZ202" s="661"/>
      <c r="DTA202" s="661"/>
      <c r="DTB202" s="661"/>
      <c r="DTC202" s="661"/>
      <c r="DTD202" s="661"/>
      <c r="DTE202" s="661"/>
      <c r="DTF202" s="661"/>
      <c r="DTG202" s="661"/>
      <c r="DTH202" s="661"/>
      <c r="DTI202" s="660" t="s">
        <v>634</v>
      </c>
      <c r="DTJ202" s="661"/>
      <c r="DTK202" s="661"/>
      <c r="DTL202" s="661"/>
      <c r="DTM202" s="661"/>
      <c r="DTN202" s="661"/>
      <c r="DTO202" s="661"/>
      <c r="DTP202" s="661"/>
      <c r="DTQ202" s="661"/>
      <c r="DTR202" s="661"/>
      <c r="DTS202" s="661"/>
      <c r="DTT202" s="661"/>
      <c r="DTU202" s="661"/>
      <c r="DTV202" s="661"/>
      <c r="DTW202" s="661"/>
      <c r="DTX202" s="661"/>
      <c r="DTY202" s="660" t="s">
        <v>634</v>
      </c>
      <c r="DTZ202" s="661"/>
      <c r="DUA202" s="661"/>
      <c r="DUB202" s="661"/>
      <c r="DUC202" s="661"/>
      <c r="DUD202" s="661"/>
      <c r="DUE202" s="661"/>
      <c r="DUF202" s="661"/>
      <c r="DUG202" s="661"/>
      <c r="DUH202" s="661"/>
      <c r="DUI202" s="661"/>
      <c r="DUJ202" s="661"/>
      <c r="DUK202" s="661"/>
      <c r="DUL202" s="661"/>
      <c r="DUM202" s="661"/>
      <c r="DUN202" s="661"/>
      <c r="DUO202" s="660" t="s">
        <v>634</v>
      </c>
      <c r="DUP202" s="661"/>
      <c r="DUQ202" s="661"/>
      <c r="DUR202" s="661"/>
      <c r="DUS202" s="661"/>
      <c r="DUT202" s="661"/>
      <c r="DUU202" s="661"/>
      <c r="DUV202" s="661"/>
      <c r="DUW202" s="661"/>
      <c r="DUX202" s="661"/>
      <c r="DUY202" s="661"/>
      <c r="DUZ202" s="661"/>
      <c r="DVA202" s="661"/>
      <c r="DVB202" s="661"/>
      <c r="DVC202" s="661"/>
      <c r="DVD202" s="661"/>
      <c r="DVE202" s="660" t="s">
        <v>634</v>
      </c>
      <c r="DVF202" s="661"/>
      <c r="DVG202" s="661"/>
      <c r="DVH202" s="661"/>
      <c r="DVI202" s="661"/>
      <c r="DVJ202" s="661"/>
      <c r="DVK202" s="661"/>
      <c r="DVL202" s="661"/>
      <c r="DVM202" s="661"/>
      <c r="DVN202" s="661"/>
      <c r="DVO202" s="661"/>
      <c r="DVP202" s="661"/>
      <c r="DVQ202" s="661"/>
      <c r="DVR202" s="661"/>
      <c r="DVS202" s="661"/>
      <c r="DVT202" s="661"/>
      <c r="DVU202" s="660" t="s">
        <v>634</v>
      </c>
      <c r="DVV202" s="661"/>
      <c r="DVW202" s="661"/>
      <c r="DVX202" s="661"/>
      <c r="DVY202" s="661"/>
      <c r="DVZ202" s="661"/>
      <c r="DWA202" s="661"/>
      <c r="DWB202" s="661"/>
      <c r="DWC202" s="661"/>
      <c r="DWD202" s="661"/>
      <c r="DWE202" s="661"/>
      <c r="DWF202" s="661"/>
      <c r="DWG202" s="661"/>
      <c r="DWH202" s="661"/>
      <c r="DWI202" s="661"/>
      <c r="DWJ202" s="661"/>
      <c r="DWK202" s="660" t="s">
        <v>634</v>
      </c>
      <c r="DWL202" s="661"/>
      <c r="DWM202" s="661"/>
      <c r="DWN202" s="661"/>
      <c r="DWO202" s="661"/>
      <c r="DWP202" s="661"/>
      <c r="DWQ202" s="661"/>
      <c r="DWR202" s="661"/>
      <c r="DWS202" s="661"/>
      <c r="DWT202" s="661"/>
      <c r="DWU202" s="661"/>
      <c r="DWV202" s="661"/>
      <c r="DWW202" s="661"/>
      <c r="DWX202" s="661"/>
      <c r="DWY202" s="661"/>
      <c r="DWZ202" s="661"/>
      <c r="DXA202" s="660" t="s">
        <v>634</v>
      </c>
      <c r="DXB202" s="661"/>
      <c r="DXC202" s="661"/>
      <c r="DXD202" s="661"/>
      <c r="DXE202" s="661"/>
      <c r="DXF202" s="661"/>
      <c r="DXG202" s="661"/>
      <c r="DXH202" s="661"/>
      <c r="DXI202" s="661"/>
      <c r="DXJ202" s="661"/>
      <c r="DXK202" s="661"/>
      <c r="DXL202" s="661"/>
      <c r="DXM202" s="661"/>
      <c r="DXN202" s="661"/>
      <c r="DXO202" s="661"/>
      <c r="DXP202" s="661"/>
      <c r="DXQ202" s="660" t="s">
        <v>634</v>
      </c>
      <c r="DXR202" s="661"/>
      <c r="DXS202" s="661"/>
      <c r="DXT202" s="661"/>
      <c r="DXU202" s="661"/>
      <c r="DXV202" s="661"/>
      <c r="DXW202" s="661"/>
      <c r="DXX202" s="661"/>
      <c r="DXY202" s="661"/>
      <c r="DXZ202" s="661"/>
      <c r="DYA202" s="661"/>
      <c r="DYB202" s="661"/>
      <c r="DYC202" s="661"/>
      <c r="DYD202" s="661"/>
      <c r="DYE202" s="661"/>
      <c r="DYF202" s="661"/>
      <c r="DYG202" s="660" t="s">
        <v>634</v>
      </c>
      <c r="DYH202" s="661"/>
      <c r="DYI202" s="661"/>
      <c r="DYJ202" s="661"/>
      <c r="DYK202" s="661"/>
      <c r="DYL202" s="661"/>
      <c r="DYM202" s="661"/>
      <c r="DYN202" s="661"/>
      <c r="DYO202" s="661"/>
      <c r="DYP202" s="661"/>
      <c r="DYQ202" s="661"/>
      <c r="DYR202" s="661"/>
      <c r="DYS202" s="661"/>
      <c r="DYT202" s="661"/>
      <c r="DYU202" s="661"/>
      <c r="DYV202" s="661"/>
      <c r="DYW202" s="660" t="s">
        <v>634</v>
      </c>
      <c r="DYX202" s="661"/>
      <c r="DYY202" s="661"/>
      <c r="DYZ202" s="661"/>
      <c r="DZA202" s="661"/>
      <c r="DZB202" s="661"/>
      <c r="DZC202" s="661"/>
      <c r="DZD202" s="661"/>
      <c r="DZE202" s="661"/>
      <c r="DZF202" s="661"/>
      <c r="DZG202" s="661"/>
      <c r="DZH202" s="661"/>
      <c r="DZI202" s="661"/>
      <c r="DZJ202" s="661"/>
      <c r="DZK202" s="661"/>
      <c r="DZL202" s="661"/>
      <c r="DZM202" s="660" t="s">
        <v>634</v>
      </c>
      <c r="DZN202" s="661"/>
      <c r="DZO202" s="661"/>
      <c r="DZP202" s="661"/>
      <c r="DZQ202" s="661"/>
      <c r="DZR202" s="661"/>
      <c r="DZS202" s="661"/>
      <c r="DZT202" s="661"/>
      <c r="DZU202" s="661"/>
      <c r="DZV202" s="661"/>
      <c r="DZW202" s="661"/>
      <c r="DZX202" s="661"/>
      <c r="DZY202" s="661"/>
      <c r="DZZ202" s="661"/>
      <c r="EAA202" s="661"/>
      <c r="EAB202" s="661"/>
      <c r="EAC202" s="660" t="s">
        <v>634</v>
      </c>
      <c r="EAD202" s="661"/>
      <c r="EAE202" s="661"/>
      <c r="EAF202" s="661"/>
      <c r="EAG202" s="661"/>
      <c r="EAH202" s="661"/>
      <c r="EAI202" s="661"/>
      <c r="EAJ202" s="661"/>
      <c r="EAK202" s="661"/>
      <c r="EAL202" s="661"/>
      <c r="EAM202" s="661"/>
      <c r="EAN202" s="661"/>
      <c r="EAO202" s="661"/>
      <c r="EAP202" s="661"/>
      <c r="EAQ202" s="661"/>
      <c r="EAR202" s="661"/>
      <c r="EAS202" s="660" t="s">
        <v>634</v>
      </c>
      <c r="EAT202" s="661"/>
      <c r="EAU202" s="661"/>
      <c r="EAV202" s="661"/>
      <c r="EAW202" s="661"/>
      <c r="EAX202" s="661"/>
      <c r="EAY202" s="661"/>
      <c r="EAZ202" s="661"/>
      <c r="EBA202" s="661"/>
      <c r="EBB202" s="661"/>
      <c r="EBC202" s="661"/>
      <c r="EBD202" s="661"/>
      <c r="EBE202" s="661"/>
      <c r="EBF202" s="661"/>
      <c r="EBG202" s="661"/>
      <c r="EBH202" s="661"/>
      <c r="EBI202" s="660" t="s">
        <v>634</v>
      </c>
      <c r="EBJ202" s="661"/>
      <c r="EBK202" s="661"/>
      <c r="EBL202" s="661"/>
      <c r="EBM202" s="661"/>
      <c r="EBN202" s="661"/>
      <c r="EBO202" s="661"/>
      <c r="EBP202" s="661"/>
      <c r="EBQ202" s="661"/>
      <c r="EBR202" s="661"/>
      <c r="EBS202" s="661"/>
      <c r="EBT202" s="661"/>
      <c r="EBU202" s="661"/>
      <c r="EBV202" s="661"/>
      <c r="EBW202" s="661"/>
      <c r="EBX202" s="661"/>
      <c r="EBY202" s="660" t="s">
        <v>634</v>
      </c>
      <c r="EBZ202" s="661"/>
      <c r="ECA202" s="661"/>
      <c r="ECB202" s="661"/>
      <c r="ECC202" s="661"/>
      <c r="ECD202" s="661"/>
      <c r="ECE202" s="661"/>
      <c r="ECF202" s="661"/>
      <c r="ECG202" s="661"/>
      <c r="ECH202" s="661"/>
      <c r="ECI202" s="661"/>
      <c r="ECJ202" s="661"/>
      <c r="ECK202" s="661"/>
      <c r="ECL202" s="661"/>
      <c r="ECM202" s="661"/>
      <c r="ECN202" s="661"/>
      <c r="ECO202" s="660" t="s">
        <v>634</v>
      </c>
      <c r="ECP202" s="661"/>
      <c r="ECQ202" s="661"/>
      <c r="ECR202" s="661"/>
      <c r="ECS202" s="661"/>
      <c r="ECT202" s="661"/>
      <c r="ECU202" s="661"/>
      <c r="ECV202" s="661"/>
      <c r="ECW202" s="661"/>
      <c r="ECX202" s="661"/>
      <c r="ECY202" s="661"/>
      <c r="ECZ202" s="661"/>
      <c r="EDA202" s="661"/>
      <c r="EDB202" s="661"/>
      <c r="EDC202" s="661"/>
      <c r="EDD202" s="661"/>
      <c r="EDE202" s="660" t="s">
        <v>634</v>
      </c>
      <c r="EDF202" s="661"/>
      <c r="EDG202" s="661"/>
      <c r="EDH202" s="661"/>
      <c r="EDI202" s="661"/>
      <c r="EDJ202" s="661"/>
      <c r="EDK202" s="661"/>
      <c r="EDL202" s="661"/>
      <c r="EDM202" s="661"/>
      <c r="EDN202" s="661"/>
      <c r="EDO202" s="661"/>
      <c r="EDP202" s="661"/>
      <c r="EDQ202" s="661"/>
      <c r="EDR202" s="661"/>
      <c r="EDS202" s="661"/>
      <c r="EDT202" s="661"/>
      <c r="EDU202" s="660" t="s">
        <v>634</v>
      </c>
      <c r="EDV202" s="661"/>
      <c r="EDW202" s="661"/>
      <c r="EDX202" s="661"/>
      <c r="EDY202" s="661"/>
      <c r="EDZ202" s="661"/>
      <c r="EEA202" s="661"/>
      <c r="EEB202" s="661"/>
      <c r="EEC202" s="661"/>
      <c r="EED202" s="661"/>
      <c r="EEE202" s="661"/>
      <c r="EEF202" s="661"/>
      <c r="EEG202" s="661"/>
      <c r="EEH202" s="661"/>
      <c r="EEI202" s="661"/>
      <c r="EEJ202" s="661"/>
      <c r="EEK202" s="660" t="s">
        <v>634</v>
      </c>
      <c r="EEL202" s="661"/>
      <c r="EEM202" s="661"/>
      <c r="EEN202" s="661"/>
      <c r="EEO202" s="661"/>
      <c r="EEP202" s="661"/>
      <c r="EEQ202" s="661"/>
      <c r="EER202" s="661"/>
      <c r="EES202" s="661"/>
      <c r="EET202" s="661"/>
      <c r="EEU202" s="661"/>
      <c r="EEV202" s="661"/>
      <c r="EEW202" s="661"/>
      <c r="EEX202" s="661"/>
      <c r="EEY202" s="661"/>
      <c r="EEZ202" s="661"/>
      <c r="EFA202" s="660" t="s">
        <v>634</v>
      </c>
      <c r="EFB202" s="661"/>
      <c r="EFC202" s="661"/>
      <c r="EFD202" s="661"/>
      <c r="EFE202" s="661"/>
      <c r="EFF202" s="661"/>
      <c r="EFG202" s="661"/>
      <c r="EFH202" s="661"/>
      <c r="EFI202" s="661"/>
      <c r="EFJ202" s="661"/>
      <c r="EFK202" s="661"/>
      <c r="EFL202" s="661"/>
      <c r="EFM202" s="661"/>
      <c r="EFN202" s="661"/>
      <c r="EFO202" s="661"/>
      <c r="EFP202" s="661"/>
      <c r="EFQ202" s="660" t="s">
        <v>634</v>
      </c>
      <c r="EFR202" s="661"/>
      <c r="EFS202" s="661"/>
      <c r="EFT202" s="661"/>
      <c r="EFU202" s="661"/>
      <c r="EFV202" s="661"/>
      <c r="EFW202" s="661"/>
      <c r="EFX202" s="661"/>
      <c r="EFY202" s="661"/>
      <c r="EFZ202" s="661"/>
      <c r="EGA202" s="661"/>
      <c r="EGB202" s="661"/>
      <c r="EGC202" s="661"/>
      <c r="EGD202" s="661"/>
      <c r="EGE202" s="661"/>
      <c r="EGF202" s="661"/>
      <c r="EGG202" s="660" t="s">
        <v>634</v>
      </c>
      <c r="EGH202" s="661"/>
      <c r="EGI202" s="661"/>
      <c r="EGJ202" s="661"/>
      <c r="EGK202" s="661"/>
      <c r="EGL202" s="661"/>
      <c r="EGM202" s="661"/>
      <c r="EGN202" s="661"/>
      <c r="EGO202" s="661"/>
      <c r="EGP202" s="661"/>
      <c r="EGQ202" s="661"/>
      <c r="EGR202" s="661"/>
      <c r="EGS202" s="661"/>
      <c r="EGT202" s="661"/>
      <c r="EGU202" s="661"/>
      <c r="EGV202" s="661"/>
      <c r="EGW202" s="660" t="s">
        <v>634</v>
      </c>
      <c r="EGX202" s="661"/>
      <c r="EGY202" s="661"/>
      <c r="EGZ202" s="661"/>
      <c r="EHA202" s="661"/>
      <c r="EHB202" s="661"/>
      <c r="EHC202" s="661"/>
      <c r="EHD202" s="661"/>
      <c r="EHE202" s="661"/>
      <c r="EHF202" s="661"/>
      <c r="EHG202" s="661"/>
      <c r="EHH202" s="661"/>
      <c r="EHI202" s="661"/>
      <c r="EHJ202" s="661"/>
      <c r="EHK202" s="661"/>
      <c r="EHL202" s="661"/>
      <c r="EHM202" s="660" t="s">
        <v>634</v>
      </c>
      <c r="EHN202" s="661"/>
      <c r="EHO202" s="661"/>
      <c r="EHP202" s="661"/>
      <c r="EHQ202" s="661"/>
      <c r="EHR202" s="661"/>
      <c r="EHS202" s="661"/>
      <c r="EHT202" s="661"/>
      <c r="EHU202" s="661"/>
      <c r="EHV202" s="661"/>
      <c r="EHW202" s="661"/>
      <c r="EHX202" s="661"/>
      <c r="EHY202" s="661"/>
      <c r="EHZ202" s="661"/>
      <c r="EIA202" s="661"/>
      <c r="EIB202" s="661"/>
      <c r="EIC202" s="660" t="s">
        <v>634</v>
      </c>
      <c r="EID202" s="661"/>
      <c r="EIE202" s="661"/>
      <c r="EIF202" s="661"/>
      <c r="EIG202" s="661"/>
      <c r="EIH202" s="661"/>
      <c r="EII202" s="661"/>
      <c r="EIJ202" s="661"/>
      <c r="EIK202" s="661"/>
      <c r="EIL202" s="661"/>
      <c r="EIM202" s="661"/>
      <c r="EIN202" s="661"/>
      <c r="EIO202" s="661"/>
      <c r="EIP202" s="661"/>
      <c r="EIQ202" s="661"/>
      <c r="EIR202" s="661"/>
      <c r="EIS202" s="660" t="s">
        <v>634</v>
      </c>
      <c r="EIT202" s="661"/>
      <c r="EIU202" s="661"/>
      <c r="EIV202" s="661"/>
      <c r="EIW202" s="661"/>
      <c r="EIX202" s="661"/>
      <c r="EIY202" s="661"/>
      <c r="EIZ202" s="661"/>
      <c r="EJA202" s="661"/>
      <c r="EJB202" s="661"/>
      <c r="EJC202" s="661"/>
      <c r="EJD202" s="661"/>
      <c r="EJE202" s="661"/>
      <c r="EJF202" s="661"/>
      <c r="EJG202" s="661"/>
      <c r="EJH202" s="661"/>
      <c r="EJI202" s="660" t="s">
        <v>634</v>
      </c>
      <c r="EJJ202" s="661"/>
      <c r="EJK202" s="661"/>
      <c r="EJL202" s="661"/>
      <c r="EJM202" s="661"/>
      <c r="EJN202" s="661"/>
      <c r="EJO202" s="661"/>
      <c r="EJP202" s="661"/>
      <c r="EJQ202" s="661"/>
      <c r="EJR202" s="661"/>
      <c r="EJS202" s="661"/>
      <c r="EJT202" s="661"/>
      <c r="EJU202" s="661"/>
      <c r="EJV202" s="661"/>
      <c r="EJW202" s="661"/>
      <c r="EJX202" s="661"/>
      <c r="EJY202" s="660" t="s">
        <v>634</v>
      </c>
      <c r="EJZ202" s="661"/>
      <c r="EKA202" s="661"/>
      <c r="EKB202" s="661"/>
      <c r="EKC202" s="661"/>
      <c r="EKD202" s="661"/>
      <c r="EKE202" s="661"/>
      <c r="EKF202" s="661"/>
      <c r="EKG202" s="661"/>
      <c r="EKH202" s="661"/>
      <c r="EKI202" s="661"/>
      <c r="EKJ202" s="661"/>
      <c r="EKK202" s="661"/>
      <c r="EKL202" s="661"/>
      <c r="EKM202" s="661"/>
      <c r="EKN202" s="661"/>
      <c r="EKO202" s="660" t="s">
        <v>634</v>
      </c>
      <c r="EKP202" s="661"/>
      <c r="EKQ202" s="661"/>
      <c r="EKR202" s="661"/>
      <c r="EKS202" s="661"/>
      <c r="EKT202" s="661"/>
      <c r="EKU202" s="661"/>
      <c r="EKV202" s="661"/>
      <c r="EKW202" s="661"/>
      <c r="EKX202" s="661"/>
      <c r="EKY202" s="661"/>
      <c r="EKZ202" s="661"/>
      <c r="ELA202" s="661"/>
      <c r="ELB202" s="661"/>
      <c r="ELC202" s="661"/>
      <c r="ELD202" s="661"/>
      <c r="ELE202" s="660" t="s">
        <v>634</v>
      </c>
      <c r="ELF202" s="661"/>
      <c r="ELG202" s="661"/>
      <c r="ELH202" s="661"/>
      <c r="ELI202" s="661"/>
      <c r="ELJ202" s="661"/>
      <c r="ELK202" s="661"/>
      <c r="ELL202" s="661"/>
      <c r="ELM202" s="661"/>
      <c r="ELN202" s="661"/>
      <c r="ELO202" s="661"/>
      <c r="ELP202" s="661"/>
      <c r="ELQ202" s="661"/>
      <c r="ELR202" s="661"/>
      <c r="ELS202" s="661"/>
      <c r="ELT202" s="661"/>
      <c r="ELU202" s="660" t="s">
        <v>634</v>
      </c>
      <c r="ELV202" s="661"/>
      <c r="ELW202" s="661"/>
      <c r="ELX202" s="661"/>
      <c r="ELY202" s="661"/>
      <c r="ELZ202" s="661"/>
      <c r="EMA202" s="661"/>
      <c r="EMB202" s="661"/>
      <c r="EMC202" s="661"/>
      <c r="EMD202" s="661"/>
      <c r="EME202" s="661"/>
      <c r="EMF202" s="661"/>
      <c r="EMG202" s="661"/>
      <c r="EMH202" s="661"/>
      <c r="EMI202" s="661"/>
      <c r="EMJ202" s="661"/>
      <c r="EMK202" s="660" t="s">
        <v>634</v>
      </c>
      <c r="EML202" s="661"/>
      <c r="EMM202" s="661"/>
      <c r="EMN202" s="661"/>
      <c r="EMO202" s="661"/>
      <c r="EMP202" s="661"/>
      <c r="EMQ202" s="661"/>
      <c r="EMR202" s="661"/>
      <c r="EMS202" s="661"/>
      <c r="EMT202" s="661"/>
      <c r="EMU202" s="661"/>
      <c r="EMV202" s="661"/>
      <c r="EMW202" s="661"/>
      <c r="EMX202" s="661"/>
      <c r="EMY202" s="661"/>
      <c r="EMZ202" s="661"/>
      <c r="ENA202" s="660" t="s">
        <v>634</v>
      </c>
      <c r="ENB202" s="661"/>
      <c r="ENC202" s="661"/>
      <c r="END202" s="661"/>
      <c r="ENE202" s="661"/>
      <c r="ENF202" s="661"/>
      <c r="ENG202" s="661"/>
      <c r="ENH202" s="661"/>
      <c r="ENI202" s="661"/>
      <c r="ENJ202" s="661"/>
      <c r="ENK202" s="661"/>
      <c r="ENL202" s="661"/>
      <c r="ENM202" s="661"/>
      <c r="ENN202" s="661"/>
      <c r="ENO202" s="661"/>
      <c r="ENP202" s="661"/>
      <c r="ENQ202" s="660" t="s">
        <v>634</v>
      </c>
      <c r="ENR202" s="661"/>
      <c r="ENS202" s="661"/>
      <c r="ENT202" s="661"/>
      <c r="ENU202" s="661"/>
      <c r="ENV202" s="661"/>
      <c r="ENW202" s="661"/>
      <c r="ENX202" s="661"/>
      <c r="ENY202" s="661"/>
      <c r="ENZ202" s="661"/>
      <c r="EOA202" s="661"/>
      <c r="EOB202" s="661"/>
      <c r="EOC202" s="661"/>
      <c r="EOD202" s="661"/>
      <c r="EOE202" s="661"/>
      <c r="EOF202" s="661"/>
      <c r="EOG202" s="660" t="s">
        <v>634</v>
      </c>
      <c r="EOH202" s="661"/>
      <c r="EOI202" s="661"/>
      <c r="EOJ202" s="661"/>
      <c r="EOK202" s="661"/>
      <c r="EOL202" s="661"/>
      <c r="EOM202" s="661"/>
      <c r="EON202" s="661"/>
      <c r="EOO202" s="661"/>
      <c r="EOP202" s="661"/>
      <c r="EOQ202" s="661"/>
      <c r="EOR202" s="661"/>
      <c r="EOS202" s="661"/>
      <c r="EOT202" s="661"/>
      <c r="EOU202" s="661"/>
      <c r="EOV202" s="661"/>
      <c r="EOW202" s="660" t="s">
        <v>634</v>
      </c>
      <c r="EOX202" s="661"/>
      <c r="EOY202" s="661"/>
      <c r="EOZ202" s="661"/>
      <c r="EPA202" s="661"/>
      <c r="EPB202" s="661"/>
      <c r="EPC202" s="661"/>
      <c r="EPD202" s="661"/>
      <c r="EPE202" s="661"/>
      <c r="EPF202" s="661"/>
      <c r="EPG202" s="661"/>
      <c r="EPH202" s="661"/>
      <c r="EPI202" s="661"/>
      <c r="EPJ202" s="661"/>
      <c r="EPK202" s="661"/>
      <c r="EPL202" s="661"/>
      <c r="EPM202" s="660" t="s">
        <v>634</v>
      </c>
      <c r="EPN202" s="661"/>
      <c r="EPO202" s="661"/>
      <c r="EPP202" s="661"/>
      <c r="EPQ202" s="661"/>
      <c r="EPR202" s="661"/>
      <c r="EPS202" s="661"/>
      <c r="EPT202" s="661"/>
      <c r="EPU202" s="661"/>
      <c r="EPV202" s="661"/>
      <c r="EPW202" s="661"/>
      <c r="EPX202" s="661"/>
      <c r="EPY202" s="661"/>
      <c r="EPZ202" s="661"/>
      <c r="EQA202" s="661"/>
      <c r="EQB202" s="661"/>
      <c r="EQC202" s="660" t="s">
        <v>634</v>
      </c>
      <c r="EQD202" s="661"/>
      <c r="EQE202" s="661"/>
      <c r="EQF202" s="661"/>
      <c r="EQG202" s="661"/>
      <c r="EQH202" s="661"/>
      <c r="EQI202" s="661"/>
      <c r="EQJ202" s="661"/>
      <c r="EQK202" s="661"/>
      <c r="EQL202" s="661"/>
      <c r="EQM202" s="661"/>
      <c r="EQN202" s="661"/>
      <c r="EQO202" s="661"/>
      <c r="EQP202" s="661"/>
      <c r="EQQ202" s="661"/>
      <c r="EQR202" s="661"/>
      <c r="EQS202" s="660" t="s">
        <v>634</v>
      </c>
      <c r="EQT202" s="661"/>
      <c r="EQU202" s="661"/>
      <c r="EQV202" s="661"/>
      <c r="EQW202" s="661"/>
      <c r="EQX202" s="661"/>
      <c r="EQY202" s="661"/>
      <c r="EQZ202" s="661"/>
      <c r="ERA202" s="661"/>
      <c r="ERB202" s="661"/>
      <c r="ERC202" s="661"/>
      <c r="ERD202" s="661"/>
      <c r="ERE202" s="661"/>
      <c r="ERF202" s="661"/>
      <c r="ERG202" s="661"/>
      <c r="ERH202" s="661"/>
      <c r="ERI202" s="660" t="s">
        <v>634</v>
      </c>
      <c r="ERJ202" s="661"/>
      <c r="ERK202" s="661"/>
      <c r="ERL202" s="661"/>
      <c r="ERM202" s="661"/>
      <c r="ERN202" s="661"/>
      <c r="ERO202" s="661"/>
      <c r="ERP202" s="661"/>
      <c r="ERQ202" s="661"/>
      <c r="ERR202" s="661"/>
      <c r="ERS202" s="661"/>
      <c r="ERT202" s="661"/>
      <c r="ERU202" s="661"/>
      <c r="ERV202" s="661"/>
      <c r="ERW202" s="661"/>
      <c r="ERX202" s="661"/>
      <c r="ERY202" s="660" t="s">
        <v>634</v>
      </c>
      <c r="ERZ202" s="661"/>
      <c r="ESA202" s="661"/>
      <c r="ESB202" s="661"/>
      <c r="ESC202" s="661"/>
      <c r="ESD202" s="661"/>
      <c r="ESE202" s="661"/>
      <c r="ESF202" s="661"/>
      <c r="ESG202" s="661"/>
      <c r="ESH202" s="661"/>
      <c r="ESI202" s="661"/>
      <c r="ESJ202" s="661"/>
      <c r="ESK202" s="661"/>
      <c r="ESL202" s="661"/>
      <c r="ESM202" s="661"/>
      <c r="ESN202" s="661"/>
      <c r="ESO202" s="660" t="s">
        <v>634</v>
      </c>
      <c r="ESP202" s="661"/>
      <c r="ESQ202" s="661"/>
      <c r="ESR202" s="661"/>
      <c r="ESS202" s="661"/>
      <c r="EST202" s="661"/>
      <c r="ESU202" s="661"/>
      <c r="ESV202" s="661"/>
      <c r="ESW202" s="661"/>
      <c r="ESX202" s="661"/>
      <c r="ESY202" s="661"/>
      <c r="ESZ202" s="661"/>
      <c r="ETA202" s="661"/>
      <c r="ETB202" s="661"/>
      <c r="ETC202" s="661"/>
      <c r="ETD202" s="661"/>
      <c r="ETE202" s="660" t="s">
        <v>634</v>
      </c>
      <c r="ETF202" s="661"/>
      <c r="ETG202" s="661"/>
      <c r="ETH202" s="661"/>
      <c r="ETI202" s="661"/>
      <c r="ETJ202" s="661"/>
      <c r="ETK202" s="661"/>
      <c r="ETL202" s="661"/>
      <c r="ETM202" s="661"/>
      <c r="ETN202" s="661"/>
      <c r="ETO202" s="661"/>
      <c r="ETP202" s="661"/>
      <c r="ETQ202" s="661"/>
      <c r="ETR202" s="661"/>
      <c r="ETS202" s="661"/>
      <c r="ETT202" s="661"/>
      <c r="ETU202" s="660" t="s">
        <v>634</v>
      </c>
      <c r="ETV202" s="661"/>
      <c r="ETW202" s="661"/>
      <c r="ETX202" s="661"/>
      <c r="ETY202" s="661"/>
      <c r="ETZ202" s="661"/>
      <c r="EUA202" s="661"/>
      <c r="EUB202" s="661"/>
      <c r="EUC202" s="661"/>
      <c r="EUD202" s="661"/>
      <c r="EUE202" s="661"/>
      <c r="EUF202" s="661"/>
      <c r="EUG202" s="661"/>
      <c r="EUH202" s="661"/>
      <c r="EUI202" s="661"/>
      <c r="EUJ202" s="661"/>
      <c r="EUK202" s="660" t="s">
        <v>634</v>
      </c>
      <c r="EUL202" s="661"/>
      <c r="EUM202" s="661"/>
      <c r="EUN202" s="661"/>
      <c r="EUO202" s="661"/>
      <c r="EUP202" s="661"/>
      <c r="EUQ202" s="661"/>
      <c r="EUR202" s="661"/>
      <c r="EUS202" s="661"/>
      <c r="EUT202" s="661"/>
      <c r="EUU202" s="661"/>
      <c r="EUV202" s="661"/>
      <c r="EUW202" s="661"/>
      <c r="EUX202" s="661"/>
      <c r="EUY202" s="661"/>
      <c r="EUZ202" s="661"/>
      <c r="EVA202" s="660" t="s">
        <v>634</v>
      </c>
      <c r="EVB202" s="661"/>
      <c r="EVC202" s="661"/>
      <c r="EVD202" s="661"/>
      <c r="EVE202" s="661"/>
      <c r="EVF202" s="661"/>
      <c r="EVG202" s="661"/>
      <c r="EVH202" s="661"/>
      <c r="EVI202" s="661"/>
      <c r="EVJ202" s="661"/>
      <c r="EVK202" s="661"/>
      <c r="EVL202" s="661"/>
      <c r="EVM202" s="661"/>
      <c r="EVN202" s="661"/>
      <c r="EVO202" s="661"/>
      <c r="EVP202" s="661"/>
      <c r="EVQ202" s="660" t="s">
        <v>634</v>
      </c>
      <c r="EVR202" s="661"/>
      <c r="EVS202" s="661"/>
      <c r="EVT202" s="661"/>
      <c r="EVU202" s="661"/>
      <c r="EVV202" s="661"/>
      <c r="EVW202" s="661"/>
      <c r="EVX202" s="661"/>
      <c r="EVY202" s="661"/>
      <c r="EVZ202" s="661"/>
      <c r="EWA202" s="661"/>
      <c r="EWB202" s="661"/>
      <c r="EWC202" s="661"/>
      <c r="EWD202" s="661"/>
      <c r="EWE202" s="661"/>
      <c r="EWF202" s="661"/>
      <c r="EWG202" s="660" t="s">
        <v>634</v>
      </c>
      <c r="EWH202" s="661"/>
      <c r="EWI202" s="661"/>
      <c r="EWJ202" s="661"/>
      <c r="EWK202" s="661"/>
      <c r="EWL202" s="661"/>
      <c r="EWM202" s="661"/>
      <c r="EWN202" s="661"/>
      <c r="EWO202" s="661"/>
      <c r="EWP202" s="661"/>
      <c r="EWQ202" s="661"/>
      <c r="EWR202" s="661"/>
      <c r="EWS202" s="661"/>
      <c r="EWT202" s="661"/>
      <c r="EWU202" s="661"/>
      <c r="EWV202" s="661"/>
      <c r="EWW202" s="660" t="s">
        <v>634</v>
      </c>
      <c r="EWX202" s="661"/>
      <c r="EWY202" s="661"/>
      <c r="EWZ202" s="661"/>
      <c r="EXA202" s="661"/>
      <c r="EXB202" s="661"/>
      <c r="EXC202" s="661"/>
      <c r="EXD202" s="661"/>
      <c r="EXE202" s="661"/>
      <c r="EXF202" s="661"/>
      <c r="EXG202" s="661"/>
      <c r="EXH202" s="661"/>
      <c r="EXI202" s="661"/>
      <c r="EXJ202" s="661"/>
      <c r="EXK202" s="661"/>
      <c r="EXL202" s="661"/>
      <c r="EXM202" s="660" t="s">
        <v>634</v>
      </c>
      <c r="EXN202" s="661"/>
      <c r="EXO202" s="661"/>
      <c r="EXP202" s="661"/>
      <c r="EXQ202" s="661"/>
      <c r="EXR202" s="661"/>
      <c r="EXS202" s="661"/>
      <c r="EXT202" s="661"/>
      <c r="EXU202" s="661"/>
      <c r="EXV202" s="661"/>
      <c r="EXW202" s="661"/>
      <c r="EXX202" s="661"/>
      <c r="EXY202" s="661"/>
      <c r="EXZ202" s="661"/>
      <c r="EYA202" s="661"/>
      <c r="EYB202" s="661"/>
      <c r="EYC202" s="660" t="s">
        <v>634</v>
      </c>
      <c r="EYD202" s="661"/>
      <c r="EYE202" s="661"/>
      <c r="EYF202" s="661"/>
      <c r="EYG202" s="661"/>
      <c r="EYH202" s="661"/>
      <c r="EYI202" s="661"/>
      <c r="EYJ202" s="661"/>
      <c r="EYK202" s="661"/>
      <c r="EYL202" s="661"/>
      <c r="EYM202" s="661"/>
      <c r="EYN202" s="661"/>
      <c r="EYO202" s="661"/>
      <c r="EYP202" s="661"/>
      <c r="EYQ202" s="661"/>
      <c r="EYR202" s="661"/>
      <c r="EYS202" s="660" t="s">
        <v>634</v>
      </c>
      <c r="EYT202" s="661"/>
      <c r="EYU202" s="661"/>
      <c r="EYV202" s="661"/>
      <c r="EYW202" s="661"/>
      <c r="EYX202" s="661"/>
      <c r="EYY202" s="661"/>
      <c r="EYZ202" s="661"/>
      <c r="EZA202" s="661"/>
      <c r="EZB202" s="661"/>
      <c r="EZC202" s="661"/>
      <c r="EZD202" s="661"/>
      <c r="EZE202" s="661"/>
      <c r="EZF202" s="661"/>
      <c r="EZG202" s="661"/>
      <c r="EZH202" s="661"/>
      <c r="EZI202" s="660" t="s">
        <v>634</v>
      </c>
      <c r="EZJ202" s="661"/>
      <c r="EZK202" s="661"/>
      <c r="EZL202" s="661"/>
      <c r="EZM202" s="661"/>
      <c r="EZN202" s="661"/>
      <c r="EZO202" s="661"/>
      <c r="EZP202" s="661"/>
      <c r="EZQ202" s="661"/>
      <c r="EZR202" s="661"/>
      <c r="EZS202" s="661"/>
      <c r="EZT202" s="661"/>
      <c r="EZU202" s="661"/>
      <c r="EZV202" s="661"/>
      <c r="EZW202" s="661"/>
      <c r="EZX202" s="661"/>
      <c r="EZY202" s="660" t="s">
        <v>634</v>
      </c>
      <c r="EZZ202" s="661"/>
      <c r="FAA202" s="661"/>
      <c r="FAB202" s="661"/>
      <c r="FAC202" s="661"/>
      <c r="FAD202" s="661"/>
      <c r="FAE202" s="661"/>
      <c r="FAF202" s="661"/>
      <c r="FAG202" s="661"/>
      <c r="FAH202" s="661"/>
      <c r="FAI202" s="661"/>
      <c r="FAJ202" s="661"/>
      <c r="FAK202" s="661"/>
      <c r="FAL202" s="661"/>
      <c r="FAM202" s="661"/>
      <c r="FAN202" s="661"/>
      <c r="FAO202" s="660" t="s">
        <v>634</v>
      </c>
      <c r="FAP202" s="661"/>
      <c r="FAQ202" s="661"/>
      <c r="FAR202" s="661"/>
      <c r="FAS202" s="661"/>
      <c r="FAT202" s="661"/>
      <c r="FAU202" s="661"/>
      <c r="FAV202" s="661"/>
      <c r="FAW202" s="661"/>
      <c r="FAX202" s="661"/>
      <c r="FAY202" s="661"/>
      <c r="FAZ202" s="661"/>
      <c r="FBA202" s="661"/>
      <c r="FBB202" s="661"/>
      <c r="FBC202" s="661"/>
      <c r="FBD202" s="661"/>
      <c r="FBE202" s="660" t="s">
        <v>634</v>
      </c>
      <c r="FBF202" s="661"/>
      <c r="FBG202" s="661"/>
      <c r="FBH202" s="661"/>
      <c r="FBI202" s="661"/>
      <c r="FBJ202" s="661"/>
      <c r="FBK202" s="661"/>
      <c r="FBL202" s="661"/>
      <c r="FBM202" s="661"/>
      <c r="FBN202" s="661"/>
      <c r="FBO202" s="661"/>
      <c r="FBP202" s="661"/>
      <c r="FBQ202" s="661"/>
      <c r="FBR202" s="661"/>
      <c r="FBS202" s="661"/>
      <c r="FBT202" s="661"/>
      <c r="FBU202" s="660" t="s">
        <v>634</v>
      </c>
      <c r="FBV202" s="661"/>
      <c r="FBW202" s="661"/>
      <c r="FBX202" s="661"/>
      <c r="FBY202" s="661"/>
      <c r="FBZ202" s="661"/>
      <c r="FCA202" s="661"/>
      <c r="FCB202" s="661"/>
      <c r="FCC202" s="661"/>
      <c r="FCD202" s="661"/>
      <c r="FCE202" s="661"/>
      <c r="FCF202" s="661"/>
      <c r="FCG202" s="661"/>
      <c r="FCH202" s="661"/>
      <c r="FCI202" s="661"/>
      <c r="FCJ202" s="661"/>
      <c r="FCK202" s="660" t="s">
        <v>634</v>
      </c>
      <c r="FCL202" s="661"/>
      <c r="FCM202" s="661"/>
      <c r="FCN202" s="661"/>
      <c r="FCO202" s="661"/>
      <c r="FCP202" s="661"/>
      <c r="FCQ202" s="661"/>
      <c r="FCR202" s="661"/>
      <c r="FCS202" s="661"/>
      <c r="FCT202" s="661"/>
      <c r="FCU202" s="661"/>
      <c r="FCV202" s="661"/>
      <c r="FCW202" s="661"/>
      <c r="FCX202" s="661"/>
      <c r="FCY202" s="661"/>
      <c r="FCZ202" s="661"/>
      <c r="FDA202" s="660" t="s">
        <v>634</v>
      </c>
      <c r="FDB202" s="661"/>
      <c r="FDC202" s="661"/>
      <c r="FDD202" s="661"/>
      <c r="FDE202" s="661"/>
      <c r="FDF202" s="661"/>
      <c r="FDG202" s="661"/>
      <c r="FDH202" s="661"/>
      <c r="FDI202" s="661"/>
      <c r="FDJ202" s="661"/>
      <c r="FDK202" s="661"/>
      <c r="FDL202" s="661"/>
      <c r="FDM202" s="661"/>
      <c r="FDN202" s="661"/>
      <c r="FDO202" s="661"/>
      <c r="FDP202" s="661"/>
      <c r="FDQ202" s="660" t="s">
        <v>634</v>
      </c>
      <c r="FDR202" s="661"/>
      <c r="FDS202" s="661"/>
      <c r="FDT202" s="661"/>
      <c r="FDU202" s="661"/>
      <c r="FDV202" s="661"/>
      <c r="FDW202" s="661"/>
      <c r="FDX202" s="661"/>
      <c r="FDY202" s="661"/>
      <c r="FDZ202" s="661"/>
      <c r="FEA202" s="661"/>
      <c r="FEB202" s="661"/>
      <c r="FEC202" s="661"/>
      <c r="FED202" s="661"/>
      <c r="FEE202" s="661"/>
      <c r="FEF202" s="661"/>
      <c r="FEG202" s="660" t="s">
        <v>634</v>
      </c>
      <c r="FEH202" s="661"/>
      <c r="FEI202" s="661"/>
      <c r="FEJ202" s="661"/>
      <c r="FEK202" s="661"/>
      <c r="FEL202" s="661"/>
      <c r="FEM202" s="661"/>
      <c r="FEN202" s="661"/>
      <c r="FEO202" s="661"/>
      <c r="FEP202" s="661"/>
      <c r="FEQ202" s="661"/>
      <c r="FER202" s="661"/>
      <c r="FES202" s="661"/>
      <c r="FET202" s="661"/>
      <c r="FEU202" s="661"/>
      <c r="FEV202" s="661"/>
      <c r="FEW202" s="660" t="s">
        <v>634</v>
      </c>
      <c r="FEX202" s="661"/>
      <c r="FEY202" s="661"/>
      <c r="FEZ202" s="661"/>
      <c r="FFA202" s="661"/>
      <c r="FFB202" s="661"/>
      <c r="FFC202" s="661"/>
      <c r="FFD202" s="661"/>
      <c r="FFE202" s="661"/>
      <c r="FFF202" s="661"/>
      <c r="FFG202" s="661"/>
      <c r="FFH202" s="661"/>
      <c r="FFI202" s="661"/>
      <c r="FFJ202" s="661"/>
      <c r="FFK202" s="661"/>
      <c r="FFL202" s="661"/>
      <c r="FFM202" s="660" t="s">
        <v>634</v>
      </c>
      <c r="FFN202" s="661"/>
      <c r="FFO202" s="661"/>
      <c r="FFP202" s="661"/>
      <c r="FFQ202" s="661"/>
      <c r="FFR202" s="661"/>
      <c r="FFS202" s="661"/>
      <c r="FFT202" s="661"/>
      <c r="FFU202" s="661"/>
      <c r="FFV202" s="661"/>
      <c r="FFW202" s="661"/>
      <c r="FFX202" s="661"/>
      <c r="FFY202" s="661"/>
      <c r="FFZ202" s="661"/>
      <c r="FGA202" s="661"/>
      <c r="FGB202" s="661"/>
      <c r="FGC202" s="660" t="s">
        <v>634</v>
      </c>
      <c r="FGD202" s="661"/>
      <c r="FGE202" s="661"/>
      <c r="FGF202" s="661"/>
      <c r="FGG202" s="661"/>
      <c r="FGH202" s="661"/>
      <c r="FGI202" s="661"/>
      <c r="FGJ202" s="661"/>
      <c r="FGK202" s="661"/>
      <c r="FGL202" s="661"/>
      <c r="FGM202" s="661"/>
      <c r="FGN202" s="661"/>
      <c r="FGO202" s="661"/>
      <c r="FGP202" s="661"/>
      <c r="FGQ202" s="661"/>
      <c r="FGR202" s="661"/>
      <c r="FGS202" s="660" t="s">
        <v>634</v>
      </c>
      <c r="FGT202" s="661"/>
      <c r="FGU202" s="661"/>
      <c r="FGV202" s="661"/>
      <c r="FGW202" s="661"/>
      <c r="FGX202" s="661"/>
      <c r="FGY202" s="661"/>
      <c r="FGZ202" s="661"/>
      <c r="FHA202" s="661"/>
      <c r="FHB202" s="661"/>
      <c r="FHC202" s="661"/>
      <c r="FHD202" s="661"/>
      <c r="FHE202" s="661"/>
      <c r="FHF202" s="661"/>
      <c r="FHG202" s="661"/>
      <c r="FHH202" s="661"/>
      <c r="FHI202" s="660" t="s">
        <v>634</v>
      </c>
      <c r="FHJ202" s="661"/>
      <c r="FHK202" s="661"/>
      <c r="FHL202" s="661"/>
      <c r="FHM202" s="661"/>
      <c r="FHN202" s="661"/>
      <c r="FHO202" s="661"/>
      <c r="FHP202" s="661"/>
      <c r="FHQ202" s="661"/>
      <c r="FHR202" s="661"/>
      <c r="FHS202" s="661"/>
      <c r="FHT202" s="661"/>
      <c r="FHU202" s="661"/>
      <c r="FHV202" s="661"/>
      <c r="FHW202" s="661"/>
      <c r="FHX202" s="661"/>
      <c r="FHY202" s="660" t="s">
        <v>634</v>
      </c>
      <c r="FHZ202" s="661"/>
      <c r="FIA202" s="661"/>
      <c r="FIB202" s="661"/>
      <c r="FIC202" s="661"/>
      <c r="FID202" s="661"/>
      <c r="FIE202" s="661"/>
      <c r="FIF202" s="661"/>
      <c r="FIG202" s="661"/>
      <c r="FIH202" s="661"/>
      <c r="FII202" s="661"/>
      <c r="FIJ202" s="661"/>
      <c r="FIK202" s="661"/>
      <c r="FIL202" s="661"/>
      <c r="FIM202" s="661"/>
      <c r="FIN202" s="661"/>
      <c r="FIO202" s="660" t="s">
        <v>634</v>
      </c>
      <c r="FIP202" s="661"/>
      <c r="FIQ202" s="661"/>
      <c r="FIR202" s="661"/>
      <c r="FIS202" s="661"/>
      <c r="FIT202" s="661"/>
      <c r="FIU202" s="661"/>
      <c r="FIV202" s="661"/>
      <c r="FIW202" s="661"/>
      <c r="FIX202" s="661"/>
      <c r="FIY202" s="661"/>
      <c r="FIZ202" s="661"/>
      <c r="FJA202" s="661"/>
      <c r="FJB202" s="661"/>
      <c r="FJC202" s="661"/>
      <c r="FJD202" s="661"/>
      <c r="FJE202" s="660" t="s">
        <v>634</v>
      </c>
      <c r="FJF202" s="661"/>
      <c r="FJG202" s="661"/>
      <c r="FJH202" s="661"/>
      <c r="FJI202" s="661"/>
      <c r="FJJ202" s="661"/>
      <c r="FJK202" s="661"/>
      <c r="FJL202" s="661"/>
      <c r="FJM202" s="661"/>
      <c r="FJN202" s="661"/>
      <c r="FJO202" s="661"/>
      <c r="FJP202" s="661"/>
      <c r="FJQ202" s="661"/>
      <c r="FJR202" s="661"/>
      <c r="FJS202" s="661"/>
      <c r="FJT202" s="661"/>
      <c r="FJU202" s="660" t="s">
        <v>634</v>
      </c>
      <c r="FJV202" s="661"/>
      <c r="FJW202" s="661"/>
      <c r="FJX202" s="661"/>
      <c r="FJY202" s="661"/>
      <c r="FJZ202" s="661"/>
      <c r="FKA202" s="661"/>
      <c r="FKB202" s="661"/>
      <c r="FKC202" s="661"/>
      <c r="FKD202" s="661"/>
      <c r="FKE202" s="661"/>
      <c r="FKF202" s="661"/>
      <c r="FKG202" s="661"/>
      <c r="FKH202" s="661"/>
      <c r="FKI202" s="661"/>
      <c r="FKJ202" s="661"/>
      <c r="FKK202" s="660" t="s">
        <v>634</v>
      </c>
      <c r="FKL202" s="661"/>
      <c r="FKM202" s="661"/>
      <c r="FKN202" s="661"/>
      <c r="FKO202" s="661"/>
      <c r="FKP202" s="661"/>
      <c r="FKQ202" s="661"/>
      <c r="FKR202" s="661"/>
      <c r="FKS202" s="661"/>
      <c r="FKT202" s="661"/>
      <c r="FKU202" s="661"/>
      <c r="FKV202" s="661"/>
      <c r="FKW202" s="661"/>
      <c r="FKX202" s="661"/>
      <c r="FKY202" s="661"/>
      <c r="FKZ202" s="661"/>
      <c r="FLA202" s="660" t="s">
        <v>634</v>
      </c>
      <c r="FLB202" s="661"/>
      <c r="FLC202" s="661"/>
      <c r="FLD202" s="661"/>
      <c r="FLE202" s="661"/>
      <c r="FLF202" s="661"/>
      <c r="FLG202" s="661"/>
      <c r="FLH202" s="661"/>
      <c r="FLI202" s="661"/>
      <c r="FLJ202" s="661"/>
      <c r="FLK202" s="661"/>
      <c r="FLL202" s="661"/>
      <c r="FLM202" s="661"/>
      <c r="FLN202" s="661"/>
      <c r="FLO202" s="661"/>
      <c r="FLP202" s="661"/>
      <c r="FLQ202" s="660" t="s">
        <v>634</v>
      </c>
      <c r="FLR202" s="661"/>
      <c r="FLS202" s="661"/>
      <c r="FLT202" s="661"/>
      <c r="FLU202" s="661"/>
      <c r="FLV202" s="661"/>
      <c r="FLW202" s="661"/>
      <c r="FLX202" s="661"/>
      <c r="FLY202" s="661"/>
      <c r="FLZ202" s="661"/>
      <c r="FMA202" s="661"/>
      <c r="FMB202" s="661"/>
      <c r="FMC202" s="661"/>
      <c r="FMD202" s="661"/>
      <c r="FME202" s="661"/>
      <c r="FMF202" s="661"/>
      <c r="FMG202" s="660" t="s">
        <v>634</v>
      </c>
      <c r="FMH202" s="661"/>
      <c r="FMI202" s="661"/>
      <c r="FMJ202" s="661"/>
      <c r="FMK202" s="661"/>
      <c r="FML202" s="661"/>
      <c r="FMM202" s="661"/>
      <c r="FMN202" s="661"/>
      <c r="FMO202" s="661"/>
      <c r="FMP202" s="661"/>
      <c r="FMQ202" s="661"/>
      <c r="FMR202" s="661"/>
      <c r="FMS202" s="661"/>
      <c r="FMT202" s="661"/>
      <c r="FMU202" s="661"/>
      <c r="FMV202" s="661"/>
      <c r="FMW202" s="660" t="s">
        <v>634</v>
      </c>
      <c r="FMX202" s="661"/>
      <c r="FMY202" s="661"/>
      <c r="FMZ202" s="661"/>
      <c r="FNA202" s="661"/>
      <c r="FNB202" s="661"/>
      <c r="FNC202" s="661"/>
      <c r="FND202" s="661"/>
      <c r="FNE202" s="661"/>
      <c r="FNF202" s="661"/>
      <c r="FNG202" s="661"/>
      <c r="FNH202" s="661"/>
      <c r="FNI202" s="661"/>
      <c r="FNJ202" s="661"/>
      <c r="FNK202" s="661"/>
      <c r="FNL202" s="661"/>
      <c r="FNM202" s="660" t="s">
        <v>634</v>
      </c>
      <c r="FNN202" s="661"/>
      <c r="FNO202" s="661"/>
      <c r="FNP202" s="661"/>
      <c r="FNQ202" s="661"/>
      <c r="FNR202" s="661"/>
      <c r="FNS202" s="661"/>
      <c r="FNT202" s="661"/>
      <c r="FNU202" s="661"/>
      <c r="FNV202" s="661"/>
      <c r="FNW202" s="661"/>
      <c r="FNX202" s="661"/>
      <c r="FNY202" s="661"/>
      <c r="FNZ202" s="661"/>
      <c r="FOA202" s="661"/>
      <c r="FOB202" s="661"/>
      <c r="FOC202" s="660" t="s">
        <v>634</v>
      </c>
      <c r="FOD202" s="661"/>
      <c r="FOE202" s="661"/>
      <c r="FOF202" s="661"/>
      <c r="FOG202" s="661"/>
      <c r="FOH202" s="661"/>
      <c r="FOI202" s="661"/>
      <c r="FOJ202" s="661"/>
      <c r="FOK202" s="661"/>
      <c r="FOL202" s="661"/>
      <c r="FOM202" s="661"/>
      <c r="FON202" s="661"/>
      <c r="FOO202" s="661"/>
      <c r="FOP202" s="661"/>
      <c r="FOQ202" s="661"/>
      <c r="FOR202" s="661"/>
      <c r="FOS202" s="660" t="s">
        <v>634</v>
      </c>
      <c r="FOT202" s="661"/>
      <c r="FOU202" s="661"/>
      <c r="FOV202" s="661"/>
      <c r="FOW202" s="661"/>
      <c r="FOX202" s="661"/>
      <c r="FOY202" s="661"/>
      <c r="FOZ202" s="661"/>
      <c r="FPA202" s="661"/>
      <c r="FPB202" s="661"/>
      <c r="FPC202" s="661"/>
      <c r="FPD202" s="661"/>
      <c r="FPE202" s="661"/>
      <c r="FPF202" s="661"/>
      <c r="FPG202" s="661"/>
      <c r="FPH202" s="661"/>
      <c r="FPI202" s="660" t="s">
        <v>634</v>
      </c>
      <c r="FPJ202" s="661"/>
      <c r="FPK202" s="661"/>
      <c r="FPL202" s="661"/>
      <c r="FPM202" s="661"/>
      <c r="FPN202" s="661"/>
      <c r="FPO202" s="661"/>
      <c r="FPP202" s="661"/>
      <c r="FPQ202" s="661"/>
      <c r="FPR202" s="661"/>
      <c r="FPS202" s="661"/>
      <c r="FPT202" s="661"/>
      <c r="FPU202" s="661"/>
      <c r="FPV202" s="661"/>
      <c r="FPW202" s="661"/>
      <c r="FPX202" s="661"/>
      <c r="FPY202" s="660" t="s">
        <v>634</v>
      </c>
      <c r="FPZ202" s="661"/>
      <c r="FQA202" s="661"/>
      <c r="FQB202" s="661"/>
      <c r="FQC202" s="661"/>
      <c r="FQD202" s="661"/>
      <c r="FQE202" s="661"/>
      <c r="FQF202" s="661"/>
      <c r="FQG202" s="661"/>
      <c r="FQH202" s="661"/>
      <c r="FQI202" s="661"/>
      <c r="FQJ202" s="661"/>
      <c r="FQK202" s="661"/>
      <c r="FQL202" s="661"/>
      <c r="FQM202" s="661"/>
      <c r="FQN202" s="661"/>
      <c r="FQO202" s="660" t="s">
        <v>634</v>
      </c>
      <c r="FQP202" s="661"/>
      <c r="FQQ202" s="661"/>
      <c r="FQR202" s="661"/>
      <c r="FQS202" s="661"/>
      <c r="FQT202" s="661"/>
      <c r="FQU202" s="661"/>
      <c r="FQV202" s="661"/>
      <c r="FQW202" s="661"/>
      <c r="FQX202" s="661"/>
      <c r="FQY202" s="661"/>
      <c r="FQZ202" s="661"/>
      <c r="FRA202" s="661"/>
      <c r="FRB202" s="661"/>
      <c r="FRC202" s="661"/>
      <c r="FRD202" s="661"/>
      <c r="FRE202" s="660" t="s">
        <v>634</v>
      </c>
      <c r="FRF202" s="661"/>
      <c r="FRG202" s="661"/>
      <c r="FRH202" s="661"/>
      <c r="FRI202" s="661"/>
      <c r="FRJ202" s="661"/>
      <c r="FRK202" s="661"/>
      <c r="FRL202" s="661"/>
      <c r="FRM202" s="661"/>
      <c r="FRN202" s="661"/>
      <c r="FRO202" s="661"/>
      <c r="FRP202" s="661"/>
      <c r="FRQ202" s="661"/>
      <c r="FRR202" s="661"/>
      <c r="FRS202" s="661"/>
      <c r="FRT202" s="661"/>
      <c r="FRU202" s="660" t="s">
        <v>634</v>
      </c>
      <c r="FRV202" s="661"/>
      <c r="FRW202" s="661"/>
      <c r="FRX202" s="661"/>
      <c r="FRY202" s="661"/>
      <c r="FRZ202" s="661"/>
      <c r="FSA202" s="661"/>
      <c r="FSB202" s="661"/>
      <c r="FSC202" s="661"/>
      <c r="FSD202" s="661"/>
      <c r="FSE202" s="661"/>
      <c r="FSF202" s="661"/>
      <c r="FSG202" s="661"/>
      <c r="FSH202" s="661"/>
      <c r="FSI202" s="661"/>
      <c r="FSJ202" s="661"/>
      <c r="FSK202" s="660" t="s">
        <v>634</v>
      </c>
      <c r="FSL202" s="661"/>
      <c r="FSM202" s="661"/>
      <c r="FSN202" s="661"/>
      <c r="FSO202" s="661"/>
      <c r="FSP202" s="661"/>
      <c r="FSQ202" s="661"/>
      <c r="FSR202" s="661"/>
      <c r="FSS202" s="661"/>
      <c r="FST202" s="661"/>
      <c r="FSU202" s="661"/>
      <c r="FSV202" s="661"/>
      <c r="FSW202" s="661"/>
      <c r="FSX202" s="661"/>
      <c r="FSY202" s="661"/>
      <c r="FSZ202" s="661"/>
      <c r="FTA202" s="660" t="s">
        <v>634</v>
      </c>
      <c r="FTB202" s="661"/>
      <c r="FTC202" s="661"/>
      <c r="FTD202" s="661"/>
      <c r="FTE202" s="661"/>
      <c r="FTF202" s="661"/>
      <c r="FTG202" s="661"/>
      <c r="FTH202" s="661"/>
      <c r="FTI202" s="661"/>
      <c r="FTJ202" s="661"/>
      <c r="FTK202" s="661"/>
      <c r="FTL202" s="661"/>
      <c r="FTM202" s="661"/>
      <c r="FTN202" s="661"/>
      <c r="FTO202" s="661"/>
      <c r="FTP202" s="661"/>
      <c r="FTQ202" s="660" t="s">
        <v>634</v>
      </c>
      <c r="FTR202" s="661"/>
      <c r="FTS202" s="661"/>
      <c r="FTT202" s="661"/>
      <c r="FTU202" s="661"/>
      <c r="FTV202" s="661"/>
      <c r="FTW202" s="661"/>
      <c r="FTX202" s="661"/>
      <c r="FTY202" s="661"/>
      <c r="FTZ202" s="661"/>
      <c r="FUA202" s="661"/>
      <c r="FUB202" s="661"/>
      <c r="FUC202" s="661"/>
      <c r="FUD202" s="661"/>
      <c r="FUE202" s="661"/>
      <c r="FUF202" s="661"/>
      <c r="FUG202" s="660" t="s">
        <v>634</v>
      </c>
      <c r="FUH202" s="661"/>
      <c r="FUI202" s="661"/>
      <c r="FUJ202" s="661"/>
      <c r="FUK202" s="661"/>
      <c r="FUL202" s="661"/>
      <c r="FUM202" s="661"/>
      <c r="FUN202" s="661"/>
      <c r="FUO202" s="661"/>
      <c r="FUP202" s="661"/>
      <c r="FUQ202" s="661"/>
      <c r="FUR202" s="661"/>
      <c r="FUS202" s="661"/>
      <c r="FUT202" s="661"/>
      <c r="FUU202" s="661"/>
      <c r="FUV202" s="661"/>
      <c r="FUW202" s="660" t="s">
        <v>634</v>
      </c>
      <c r="FUX202" s="661"/>
      <c r="FUY202" s="661"/>
      <c r="FUZ202" s="661"/>
      <c r="FVA202" s="661"/>
      <c r="FVB202" s="661"/>
      <c r="FVC202" s="661"/>
      <c r="FVD202" s="661"/>
      <c r="FVE202" s="661"/>
      <c r="FVF202" s="661"/>
      <c r="FVG202" s="661"/>
      <c r="FVH202" s="661"/>
      <c r="FVI202" s="661"/>
      <c r="FVJ202" s="661"/>
      <c r="FVK202" s="661"/>
      <c r="FVL202" s="661"/>
      <c r="FVM202" s="660" t="s">
        <v>634</v>
      </c>
      <c r="FVN202" s="661"/>
      <c r="FVO202" s="661"/>
      <c r="FVP202" s="661"/>
      <c r="FVQ202" s="661"/>
      <c r="FVR202" s="661"/>
      <c r="FVS202" s="661"/>
      <c r="FVT202" s="661"/>
      <c r="FVU202" s="661"/>
      <c r="FVV202" s="661"/>
      <c r="FVW202" s="661"/>
      <c r="FVX202" s="661"/>
      <c r="FVY202" s="661"/>
      <c r="FVZ202" s="661"/>
      <c r="FWA202" s="661"/>
      <c r="FWB202" s="661"/>
      <c r="FWC202" s="660" t="s">
        <v>634</v>
      </c>
      <c r="FWD202" s="661"/>
      <c r="FWE202" s="661"/>
      <c r="FWF202" s="661"/>
      <c r="FWG202" s="661"/>
      <c r="FWH202" s="661"/>
      <c r="FWI202" s="661"/>
      <c r="FWJ202" s="661"/>
      <c r="FWK202" s="661"/>
      <c r="FWL202" s="661"/>
      <c r="FWM202" s="661"/>
      <c r="FWN202" s="661"/>
      <c r="FWO202" s="661"/>
      <c r="FWP202" s="661"/>
      <c r="FWQ202" s="661"/>
      <c r="FWR202" s="661"/>
      <c r="FWS202" s="660" t="s">
        <v>634</v>
      </c>
      <c r="FWT202" s="661"/>
      <c r="FWU202" s="661"/>
      <c r="FWV202" s="661"/>
      <c r="FWW202" s="661"/>
      <c r="FWX202" s="661"/>
      <c r="FWY202" s="661"/>
      <c r="FWZ202" s="661"/>
      <c r="FXA202" s="661"/>
      <c r="FXB202" s="661"/>
      <c r="FXC202" s="661"/>
      <c r="FXD202" s="661"/>
      <c r="FXE202" s="661"/>
      <c r="FXF202" s="661"/>
      <c r="FXG202" s="661"/>
      <c r="FXH202" s="661"/>
      <c r="FXI202" s="660" t="s">
        <v>634</v>
      </c>
      <c r="FXJ202" s="661"/>
      <c r="FXK202" s="661"/>
      <c r="FXL202" s="661"/>
      <c r="FXM202" s="661"/>
      <c r="FXN202" s="661"/>
      <c r="FXO202" s="661"/>
      <c r="FXP202" s="661"/>
      <c r="FXQ202" s="661"/>
      <c r="FXR202" s="661"/>
      <c r="FXS202" s="661"/>
      <c r="FXT202" s="661"/>
      <c r="FXU202" s="661"/>
      <c r="FXV202" s="661"/>
      <c r="FXW202" s="661"/>
      <c r="FXX202" s="661"/>
      <c r="FXY202" s="660" t="s">
        <v>634</v>
      </c>
      <c r="FXZ202" s="661"/>
      <c r="FYA202" s="661"/>
      <c r="FYB202" s="661"/>
      <c r="FYC202" s="661"/>
      <c r="FYD202" s="661"/>
      <c r="FYE202" s="661"/>
      <c r="FYF202" s="661"/>
      <c r="FYG202" s="661"/>
      <c r="FYH202" s="661"/>
      <c r="FYI202" s="661"/>
      <c r="FYJ202" s="661"/>
      <c r="FYK202" s="661"/>
      <c r="FYL202" s="661"/>
      <c r="FYM202" s="661"/>
      <c r="FYN202" s="661"/>
      <c r="FYO202" s="660" t="s">
        <v>634</v>
      </c>
      <c r="FYP202" s="661"/>
      <c r="FYQ202" s="661"/>
      <c r="FYR202" s="661"/>
      <c r="FYS202" s="661"/>
      <c r="FYT202" s="661"/>
      <c r="FYU202" s="661"/>
      <c r="FYV202" s="661"/>
      <c r="FYW202" s="661"/>
      <c r="FYX202" s="661"/>
      <c r="FYY202" s="661"/>
      <c r="FYZ202" s="661"/>
      <c r="FZA202" s="661"/>
      <c r="FZB202" s="661"/>
      <c r="FZC202" s="661"/>
      <c r="FZD202" s="661"/>
      <c r="FZE202" s="660" t="s">
        <v>634</v>
      </c>
      <c r="FZF202" s="661"/>
      <c r="FZG202" s="661"/>
      <c r="FZH202" s="661"/>
      <c r="FZI202" s="661"/>
      <c r="FZJ202" s="661"/>
      <c r="FZK202" s="661"/>
      <c r="FZL202" s="661"/>
      <c r="FZM202" s="661"/>
      <c r="FZN202" s="661"/>
      <c r="FZO202" s="661"/>
      <c r="FZP202" s="661"/>
      <c r="FZQ202" s="661"/>
      <c r="FZR202" s="661"/>
      <c r="FZS202" s="661"/>
      <c r="FZT202" s="661"/>
      <c r="FZU202" s="660" t="s">
        <v>634</v>
      </c>
      <c r="FZV202" s="661"/>
      <c r="FZW202" s="661"/>
      <c r="FZX202" s="661"/>
      <c r="FZY202" s="661"/>
      <c r="FZZ202" s="661"/>
      <c r="GAA202" s="661"/>
      <c r="GAB202" s="661"/>
      <c r="GAC202" s="661"/>
      <c r="GAD202" s="661"/>
      <c r="GAE202" s="661"/>
      <c r="GAF202" s="661"/>
      <c r="GAG202" s="661"/>
      <c r="GAH202" s="661"/>
      <c r="GAI202" s="661"/>
      <c r="GAJ202" s="661"/>
      <c r="GAK202" s="660" t="s">
        <v>634</v>
      </c>
      <c r="GAL202" s="661"/>
      <c r="GAM202" s="661"/>
      <c r="GAN202" s="661"/>
      <c r="GAO202" s="661"/>
      <c r="GAP202" s="661"/>
      <c r="GAQ202" s="661"/>
      <c r="GAR202" s="661"/>
      <c r="GAS202" s="661"/>
      <c r="GAT202" s="661"/>
      <c r="GAU202" s="661"/>
      <c r="GAV202" s="661"/>
      <c r="GAW202" s="661"/>
      <c r="GAX202" s="661"/>
      <c r="GAY202" s="661"/>
      <c r="GAZ202" s="661"/>
      <c r="GBA202" s="660" t="s">
        <v>634</v>
      </c>
      <c r="GBB202" s="661"/>
      <c r="GBC202" s="661"/>
      <c r="GBD202" s="661"/>
      <c r="GBE202" s="661"/>
      <c r="GBF202" s="661"/>
      <c r="GBG202" s="661"/>
      <c r="GBH202" s="661"/>
      <c r="GBI202" s="661"/>
      <c r="GBJ202" s="661"/>
      <c r="GBK202" s="661"/>
      <c r="GBL202" s="661"/>
      <c r="GBM202" s="661"/>
      <c r="GBN202" s="661"/>
      <c r="GBO202" s="661"/>
      <c r="GBP202" s="661"/>
      <c r="GBQ202" s="660" t="s">
        <v>634</v>
      </c>
      <c r="GBR202" s="661"/>
      <c r="GBS202" s="661"/>
      <c r="GBT202" s="661"/>
      <c r="GBU202" s="661"/>
      <c r="GBV202" s="661"/>
      <c r="GBW202" s="661"/>
      <c r="GBX202" s="661"/>
      <c r="GBY202" s="661"/>
      <c r="GBZ202" s="661"/>
      <c r="GCA202" s="661"/>
      <c r="GCB202" s="661"/>
      <c r="GCC202" s="661"/>
      <c r="GCD202" s="661"/>
      <c r="GCE202" s="661"/>
      <c r="GCF202" s="661"/>
      <c r="GCG202" s="660" t="s">
        <v>634</v>
      </c>
      <c r="GCH202" s="661"/>
      <c r="GCI202" s="661"/>
      <c r="GCJ202" s="661"/>
      <c r="GCK202" s="661"/>
      <c r="GCL202" s="661"/>
      <c r="GCM202" s="661"/>
      <c r="GCN202" s="661"/>
      <c r="GCO202" s="661"/>
      <c r="GCP202" s="661"/>
      <c r="GCQ202" s="661"/>
      <c r="GCR202" s="661"/>
      <c r="GCS202" s="661"/>
      <c r="GCT202" s="661"/>
      <c r="GCU202" s="661"/>
      <c r="GCV202" s="661"/>
      <c r="GCW202" s="660" t="s">
        <v>634</v>
      </c>
      <c r="GCX202" s="661"/>
      <c r="GCY202" s="661"/>
      <c r="GCZ202" s="661"/>
      <c r="GDA202" s="661"/>
      <c r="GDB202" s="661"/>
      <c r="GDC202" s="661"/>
      <c r="GDD202" s="661"/>
      <c r="GDE202" s="661"/>
      <c r="GDF202" s="661"/>
      <c r="GDG202" s="661"/>
      <c r="GDH202" s="661"/>
      <c r="GDI202" s="661"/>
      <c r="GDJ202" s="661"/>
      <c r="GDK202" s="661"/>
      <c r="GDL202" s="661"/>
      <c r="GDM202" s="660" t="s">
        <v>634</v>
      </c>
      <c r="GDN202" s="661"/>
      <c r="GDO202" s="661"/>
      <c r="GDP202" s="661"/>
      <c r="GDQ202" s="661"/>
      <c r="GDR202" s="661"/>
      <c r="GDS202" s="661"/>
      <c r="GDT202" s="661"/>
      <c r="GDU202" s="661"/>
      <c r="GDV202" s="661"/>
      <c r="GDW202" s="661"/>
      <c r="GDX202" s="661"/>
      <c r="GDY202" s="661"/>
      <c r="GDZ202" s="661"/>
      <c r="GEA202" s="661"/>
      <c r="GEB202" s="661"/>
      <c r="GEC202" s="660" t="s">
        <v>634</v>
      </c>
      <c r="GED202" s="661"/>
      <c r="GEE202" s="661"/>
      <c r="GEF202" s="661"/>
      <c r="GEG202" s="661"/>
      <c r="GEH202" s="661"/>
      <c r="GEI202" s="661"/>
      <c r="GEJ202" s="661"/>
      <c r="GEK202" s="661"/>
      <c r="GEL202" s="661"/>
      <c r="GEM202" s="661"/>
      <c r="GEN202" s="661"/>
      <c r="GEO202" s="661"/>
      <c r="GEP202" s="661"/>
      <c r="GEQ202" s="661"/>
      <c r="GER202" s="661"/>
      <c r="GES202" s="660" t="s">
        <v>634</v>
      </c>
      <c r="GET202" s="661"/>
      <c r="GEU202" s="661"/>
      <c r="GEV202" s="661"/>
      <c r="GEW202" s="661"/>
      <c r="GEX202" s="661"/>
      <c r="GEY202" s="661"/>
      <c r="GEZ202" s="661"/>
      <c r="GFA202" s="661"/>
      <c r="GFB202" s="661"/>
      <c r="GFC202" s="661"/>
      <c r="GFD202" s="661"/>
      <c r="GFE202" s="661"/>
      <c r="GFF202" s="661"/>
      <c r="GFG202" s="661"/>
      <c r="GFH202" s="661"/>
      <c r="GFI202" s="660" t="s">
        <v>634</v>
      </c>
      <c r="GFJ202" s="661"/>
      <c r="GFK202" s="661"/>
      <c r="GFL202" s="661"/>
      <c r="GFM202" s="661"/>
      <c r="GFN202" s="661"/>
      <c r="GFO202" s="661"/>
      <c r="GFP202" s="661"/>
      <c r="GFQ202" s="661"/>
      <c r="GFR202" s="661"/>
      <c r="GFS202" s="661"/>
      <c r="GFT202" s="661"/>
      <c r="GFU202" s="661"/>
      <c r="GFV202" s="661"/>
      <c r="GFW202" s="661"/>
      <c r="GFX202" s="661"/>
      <c r="GFY202" s="660" t="s">
        <v>634</v>
      </c>
      <c r="GFZ202" s="661"/>
      <c r="GGA202" s="661"/>
      <c r="GGB202" s="661"/>
      <c r="GGC202" s="661"/>
      <c r="GGD202" s="661"/>
      <c r="GGE202" s="661"/>
      <c r="GGF202" s="661"/>
      <c r="GGG202" s="661"/>
      <c r="GGH202" s="661"/>
      <c r="GGI202" s="661"/>
      <c r="GGJ202" s="661"/>
      <c r="GGK202" s="661"/>
      <c r="GGL202" s="661"/>
      <c r="GGM202" s="661"/>
      <c r="GGN202" s="661"/>
      <c r="GGO202" s="660" t="s">
        <v>634</v>
      </c>
      <c r="GGP202" s="661"/>
      <c r="GGQ202" s="661"/>
      <c r="GGR202" s="661"/>
      <c r="GGS202" s="661"/>
      <c r="GGT202" s="661"/>
      <c r="GGU202" s="661"/>
      <c r="GGV202" s="661"/>
      <c r="GGW202" s="661"/>
      <c r="GGX202" s="661"/>
      <c r="GGY202" s="661"/>
      <c r="GGZ202" s="661"/>
      <c r="GHA202" s="661"/>
      <c r="GHB202" s="661"/>
      <c r="GHC202" s="661"/>
      <c r="GHD202" s="661"/>
      <c r="GHE202" s="660" t="s">
        <v>634</v>
      </c>
      <c r="GHF202" s="661"/>
      <c r="GHG202" s="661"/>
      <c r="GHH202" s="661"/>
      <c r="GHI202" s="661"/>
      <c r="GHJ202" s="661"/>
      <c r="GHK202" s="661"/>
      <c r="GHL202" s="661"/>
      <c r="GHM202" s="661"/>
      <c r="GHN202" s="661"/>
      <c r="GHO202" s="661"/>
      <c r="GHP202" s="661"/>
      <c r="GHQ202" s="661"/>
      <c r="GHR202" s="661"/>
      <c r="GHS202" s="661"/>
      <c r="GHT202" s="661"/>
      <c r="GHU202" s="660" t="s">
        <v>634</v>
      </c>
      <c r="GHV202" s="661"/>
      <c r="GHW202" s="661"/>
      <c r="GHX202" s="661"/>
      <c r="GHY202" s="661"/>
      <c r="GHZ202" s="661"/>
      <c r="GIA202" s="661"/>
      <c r="GIB202" s="661"/>
      <c r="GIC202" s="661"/>
      <c r="GID202" s="661"/>
      <c r="GIE202" s="661"/>
      <c r="GIF202" s="661"/>
      <c r="GIG202" s="661"/>
      <c r="GIH202" s="661"/>
      <c r="GII202" s="661"/>
      <c r="GIJ202" s="661"/>
      <c r="GIK202" s="660" t="s">
        <v>634</v>
      </c>
      <c r="GIL202" s="661"/>
      <c r="GIM202" s="661"/>
      <c r="GIN202" s="661"/>
      <c r="GIO202" s="661"/>
      <c r="GIP202" s="661"/>
      <c r="GIQ202" s="661"/>
      <c r="GIR202" s="661"/>
      <c r="GIS202" s="661"/>
      <c r="GIT202" s="661"/>
      <c r="GIU202" s="661"/>
      <c r="GIV202" s="661"/>
      <c r="GIW202" s="661"/>
      <c r="GIX202" s="661"/>
      <c r="GIY202" s="661"/>
      <c r="GIZ202" s="661"/>
      <c r="GJA202" s="660" t="s">
        <v>634</v>
      </c>
      <c r="GJB202" s="661"/>
      <c r="GJC202" s="661"/>
      <c r="GJD202" s="661"/>
      <c r="GJE202" s="661"/>
      <c r="GJF202" s="661"/>
      <c r="GJG202" s="661"/>
      <c r="GJH202" s="661"/>
      <c r="GJI202" s="661"/>
      <c r="GJJ202" s="661"/>
      <c r="GJK202" s="661"/>
      <c r="GJL202" s="661"/>
      <c r="GJM202" s="661"/>
      <c r="GJN202" s="661"/>
      <c r="GJO202" s="661"/>
      <c r="GJP202" s="661"/>
      <c r="GJQ202" s="660" t="s">
        <v>634</v>
      </c>
      <c r="GJR202" s="661"/>
      <c r="GJS202" s="661"/>
      <c r="GJT202" s="661"/>
      <c r="GJU202" s="661"/>
      <c r="GJV202" s="661"/>
      <c r="GJW202" s="661"/>
      <c r="GJX202" s="661"/>
      <c r="GJY202" s="661"/>
      <c r="GJZ202" s="661"/>
      <c r="GKA202" s="661"/>
      <c r="GKB202" s="661"/>
      <c r="GKC202" s="661"/>
      <c r="GKD202" s="661"/>
      <c r="GKE202" s="661"/>
      <c r="GKF202" s="661"/>
      <c r="GKG202" s="660" t="s">
        <v>634</v>
      </c>
      <c r="GKH202" s="661"/>
      <c r="GKI202" s="661"/>
      <c r="GKJ202" s="661"/>
      <c r="GKK202" s="661"/>
      <c r="GKL202" s="661"/>
      <c r="GKM202" s="661"/>
      <c r="GKN202" s="661"/>
      <c r="GKO202" s="661"/>
      <c r="GKP202" s="661"/>
      <c r="GKQ202" s="661"/>
      <c r="GKR202" s="661"/>
      <c r="GKS202" s="661"/>
      <c r="GKT202" s="661"/>
      <c r="GKU202" s="661"/>
      <c r="GKV202" s="661"/>
      <c r="GKW202" s="660" t="s">
        <v>634</v>
      </c>
      <c r="GKX202" s="661"/>
      <c r="GKY202" s="661"/>
      <c r="GKZ202" s="661"/>
      <c r="GLA202" s="661"/>
      <c r="GLB202" s="661"/>
      <c r="GLC202" s="661"/>
      <c r="GLD202" s="661"/>
      <c r="GLE202" s="661"/>
      <c r="GLF202" s="661"/>
      <c r="GLG202" s="661"/>
      <c r="GLH202" s="661"/>
      <c r="GLI202" s="661"/>
      <c r="GLJ202" s="661"/>
      <c r="GLK202" s="661"/>
      <c r="GLL202" s="661"/>
      <c r="GLM202" s="660" t="s">
        <v>634</v>
      </c>
      <c r="GLN202" s="661"/>
      <c r="GLO202" s="661"/>
      <c r="GLP202" s="661"/>
      <c r="GLQ202" s="661"/>
      <c r="GLR202" s="661"/>
      <c r="GLS202" s="661"/>
      <c r="GLT202" s="661"/>
      <c r="GLU202" s="661"/>
      <c r="GLV202" s="661"/>
      <c r="GLW202" s="661"/>
      <c r="GLX202" s="661"/>
      <c r="GLY202" s="661"/>
      <c r="GLZ202" s="661"/>
      <c r="GMA202" s="661"/>
      <c r="GMB202" s="661"/>
      <c r="GMC202" s="660" t="s">
        <v>634</v>
      </c>
      <c r="GMD202" s="661"/>
      <c r="GME202" s="661"/>
      <c r="GMF202" s="661"/>
      <c r="GMG202" s="661"/>
      <c r="GMH202" s="661"/>
      <c r="GMI202" s="661"/>
      <c r="GMJ202" s="661"/>
      <c r="GMK202" s="661"/>
      <c r="GML202" s="661"/>
      <c r="GMM202" s="661"/>
      <c r="GMN202" s="661"/>
      <c r="GMO202" s="661"/>
      <c r="GMP202" s="661"/>
      <c r="GMQ202" s="661"/>
      <c r="GMR202" s="661"/>
      <c r="GMS202" s="660" t="s">
        <v>634</v>
      </c>
      <c r="GMT202" s="661"/>
      <c r="GMU202" s="661"/>
      <c r="GMV202" s="661"/>
      <c r="GMW202" s="661"/>
      <c r="GMX202" s="661"/>
      <c r="GMY202" s="661"/>
      <c r="GMZ202" s="661"/>
      <c r="GNA202" s="661"/>
      <c r="GNB202" s="661"/>
      <c r="GNC202" s="661"/>
      <c r="GND202" s="661"/>
      <c r="GNE202" s="661"/>
      <c r="GNF202" s="661"/>
      <c r="GNG202" s="661"/>
      <c r="GNH202" s="661"/>
      <c r="GNI202" s="660" t="s">
        <v>634</v>
      </c>
      <c r="GNJ202" s="661"/>
      <c r="GNK202" s="661"/>
      <c r="GNL202" s="661"/>
      <c r="GNM202" s="661"/>
      <c r="GNN202" s="661"/>
      <c r="GNO202" s="661"/>
      <c r="GNP202" s="661"/>
      <c r="GNQ202" s="661"/>
      <c r="GNR202" s="661"/>
      <c r="GNS202" s="661"/>
      <c r="GNT202" s="661"/>
      <c r="GNU202" s="661"/>
      <c r="GNV202" s="661"/>
      <c r="GNW202" s="661"/>
      <c r="GNX202" s="661"/>
      <c r="GNY202" s="660" t="s">
        <v>634</v>
      </c>
      <c r="GNZ202" s="661"/>
      <c r="GOA202" s="661"/>
      <c r="GOB202" s="661"/>
      <c r="GOC202" s="661"/>
      <c r="GOD202" s="661"/>
      <c r="GOE202" s="661"/>
      <c r="GOF202" s="661"/>
      <c r="GOG202" s="661"/>
      <c r="GOH202" s="661"/>
      <c r="GOI202" s="661"/>
      <c r="GOJ202" s="661"/>
      <c r="GOK202" s="661"/>
      <c r="GOL202" s="661"/>
      <c r="GOM202" s="661"/>
      <c r="GON202" s="661"/>
      <c r="GOO202" s="660" t="s">
        <v>634</v>
      </c>
      <c r="GOP202" s="661"/>
      <c r="GOQ202" s="661"/>
      <c r="GOR202" s="661"/>
      <c r="GOS202" s="661"/>
      <c r="GOT202" s="661"/>
      <c r="GOU202" s="661"/>
      <c r="GOV202" s="661"/>
      <c r="GOW202" s="661"/>
      <c r="GOX202" s="661"/>
      <c r="GOY202" s="661"/>
      <c r="GOZ202" s="661"/>
      <c r="GPA202" s="661"/>
      <c r="GPB202" s="661"/>
      <c r="GPC202" s="661"/>
      <c r="GPD202" s="661"/>
      <c r="GPE202" s="660" t="s">
        <v>634</v>
      </c>
      <c r="GPF202" s="661"/>
      <c r="GPG202" s="661"/>
      <c r="GPH202" s="661"/>
      <c r="GPI202" s="661"/>
      <c r="GPJ202" s="661"/>
      <c r="GPK202" s="661"/>
      <c r="GPL202" s="661"/>
      <c r="GPM202" s="661"/>
      <c r="GPN202" s="661"/>
      <c r="GPO202" s="661"/>
      <c r="GPP202" s="661"/>
      <c r="GPQ202" s="661"/>
      <c r="GPR202" s="661"/>
      <c r="GPS202" s="661"/>
      <c r="GPT202" s="661"/>
      <c r="GPU202" s="660" t="s">
        <v>634</v>
      </c>
      <c r="GPV202" s="661"/>
      <c r="GPW202" s="661"/>
      <c r="GPX202" s="661"/>
      <c r="GPY202" s="661"/>
      <c r="GPZ202" s="661"/>
      <c r="GQA202" s="661"/>
      <c r="GQB202" s="661"/>
      <c r="GQC202" s="661"/>
      <c r="GQD202" s="661"/>
      <c r="GQE202" s="661"/>
      <c r="GQF202" s="661"/>
      <c r="GQG202" s="661"/>
      <c r="GQH202" s="661"/>
      <c r="GQI202" s="661"/>
      <c r="GQJ202" s="661"/>
      <c r="GQK202" s="660" t="s">
        <v>634</v>
      </c>
      <c r="GQL202" s="661"/>
      <c r="GQM202" s="661"/>
      <c r="GQN202" s="661"/>
      <c r="GQO202" s="661"/>
      <c r="GQP202" s="661"/>
      <c r="GQQ202" s="661"/>
      <c r="GQR202" s="661"/>
      <c r="GQS202" s="661"/>
      <c r="GQT202" s="661"/>
      <c r="GQU202" s="661"/>
      <c r="GQV202" s="661"/>
      <c r="GQW202" s="661"/>
      <c r="GQX202" s="661"/>
      <c r="GQY202" s="661"/>
      <c r="GQZ202" s="661"/>
      <c r="GRA202" s="660" t="s">
        <v>634</v>
      </c>
      <c r="GRB202" s="661"/>
      <c r="GRC202" s="661"/>
      <c r="GRD202" s="661"/>
      <c r="GRE202" s="661"/>
      <c r="GRF202" s="661"/>
      <c r="GRG202" s="661"/>
      <c r="GRH202" s="661"/>
      <c r="GRI202" s="661"/>
      <c r="GRJ202" s="661"/>
      <c r="GRK202" s="661"/>
      <c r="GRL202" s="661"/>
      <c r="GRM202" s="661"/>
      <c r="GRN202" s="661"/>
      <c r="GRO202" s="661"/>
      <c r="GRP202" s="661"/>
      <c r="GRQ202" s="660" t="s">
        <v>634</v>
      </c>
      <c r="GRR202" s="661"/>
      <c r="GRS202" s="661"/>
      <c r="GRT202" s="661"/>
      <c r="GRU202" s="661"/>
      <c r="GRV202" s="661"/>
      <c r="GRW202" s="661"/>
      <c r="GRX202" s="661"/>
      <c r="GRY202" s="661"/>
      <c r="GRZ202" s="661"/>
      <c r="GSA202" s="661"/>
      <c r="GSB202" s="661"/>
      <c r="GSC202" s="661"/>
      <c r="GSD202" s="661"/>
      <c r="GSE202" s="661"/>
      <c r="GSF202" s="661"/>
      <c r="GSG202" s="660" t="s">
        <v>634</v>
      </c>
      <c r="GSH202" s="661"/>
      <c r="GSI202" s="661"/>
      <c r="GSJ202" s="661"/>
      <c r="GSK202" s="661"/>
      <c r="GSL202" s="661"/>
      <c r="GSM202" s="661"/>
      <c r="GSN202" s="661"/>
      <c r="GSO202" s="661"/>
      <c r="GSP202" s="661"/>
      <c r="GSQ202" s="661"/>
      <c r="GSR202" s="661"/>
      <c r="GSS202" s="661"/>
      <c r="GST202" s="661"/>
      <c r="GSU202" s="661"/>
      <c r="GSV202" s="661"/>
      <c r="GSW202" s="660" t="s">
        <v>634</v>
      </c>
      <c r="GSX202" s="661"/>
      <c r="GSY202" s="661"/>
      <c r="GSZ202" s="661"/>
      <c r="GTA202" s="661"/>
      <c r="GTB202" s="661"/>
      <c r="GTC202" s="661"/>
      <c r="GTD202" s="661"/>
      <c r="GTE202" s="661"/>
      <c r="GTF202" s="661"/>
      <c r="GTG202" s="661"/>
      <c r="GTH202" s="661"/>
      <c r="GTI202" s="661"/>
      <c r="GTJ202" s="661"/>
      <c r="GTK202" s="661"/>
      <c r="GTL202" s="661"/>
      <c r="GTM202" s="660" t="s">
        <v>634</v>
      </c>
      <c r="GTN202" s="661"/>
      <c r="GTO202" s="661"/>
      <c r="GTP202" s="661"/>
      <c r="GTQ202" s="661"/>
      <c r="GTR202" s="661"/>
      <c r="GTS202" s="661"/>
      <c r="GTT202" s="661"/>
      <c r="GTU202" s="661"/>
      <c r="GTV202" s="661"/>
      <c r="GTW202" s="661"/>
      <c r="GTX202" s="661"/>
      <c r="GTY202" s="661"/>
      <c r="GTZ202" s="661"/>
      <c r="GUA202" s="661"/>
      <c r="GUB202" s="661"/>
      <c r="GUC202" s="660" t="s">
        <v>634</v>
      </c>
      <c r="GUD202" s="661"/>
      <c r="GUE202" s="661"/>
      <c r="GUF202" s="661"/>
      <c r="GUG202" s="661"/>
      <c r="GUH202" s="661"/>
      <c r="GUI202" s="661"/>
      <c r="GUJ202" s="661"/>
      <c r="GUK202" s="661"/>
      <c r="GUL202" s="661"/>
      <c r="GUM202" s="661"/>
      <c r="GUN202" s="661"/>
      <c r="GUO202" s="661"/>
      <c r="GUP202" s="661"/>
      <c r="GUQ202" s="661"/>
      <c r="GUR202" s="661"/>
      <c r="GUS202" s="660" t="s">
        <v>634</v>
      </c>
      <c r="GUT202" s="661"/>
      <c r="GUU202" s="661"/>
      <c r="GUV202" s="661"/>
      <c r="GUW202" s="661"/>
      <c r="GUX202" s="661"/>
      <c r="GUY202" s="661"/>
      <c r="GUZ202" s="661"/>
      <c r="GVA202" s="661"/>
      <c r="GVB202" s="661"/>
      <c r="GVC202" s="661"/>
      <c r="GVD202" s="661"/>
      <c r="GVE202" s="661"/>
      <c r="GVF202" s="661"/>
      <c r="GVG202" s="661"/>
      <c r="GVH202" s="661"/>
      <c r="GVI202" s="660" t="s">
        <v>634</v>
      </c>
      <c r="GVJ202" s="661"/>
      <c r="GVK202" s="661"/>
      <c r="GVL202" s="661"/>
      <c r="GVM202" s="661"/>
      <c r="GVN202" s="661"/>
      <c r="GVO202" s="661"/>
      <c r="GVP202" s="661"/>
      <c r="GVQ202" s="661"/>
      <c r="GVR202" s="661"/>
      <c r="GVS202" s="661"/>
      <c r="GVT202" s="661"/>
      <c r="GVU202" s="661"/>
      <c r="GVV202" s="661"/>
      <c r="GVW202" s="661"/>
      <c r="GVX202" s="661"/>
      <c r="GVY202" s="660" t="s">
        <v>634</v>
      </c>
      <c r="GVZ202" s="661"/>
      <c r="GWA202" s="661"/>
      <c r="GWB202" s="661"/>
      <c r="GWC202" s="661"/>
      <c r="GWD202" s="661"/>
      <c r="GWE202" s="661"/>
      <c r="GWF202" s="661"/>
      <c r="GWG202" s="661"/>
      <c r="GWH202" s="661"/>
      <c r="GWI202" s="661"/>
      <c r="GWJ202" s="661"/>
      <c r="GWK202" s="661"/>
      <c r="GWL202" s="661"/>
      <c r="GWM202" s="661"/>
      <c r="GWN202" s="661"/>
      <c r="GWO202" s="660" t="s">
        <v>634</v>
      </c>
      <c r="GWP202" s="661"/>
      <c r="GWQ202" s="661"/>
      <c r="GWR202" s="661"/>
      <c r="GWS202" s="661"/>
      <c r="GWT202" s="661"/>
      <c r="GWU202" s="661"/>
      <c r="GWV202" s="661"/>
      <c r="GWW202" s="661"/>
      <c r="GWX202" s="661"/>
      <c r="GWY202" s="661"/>
      <c r="GWZ202" s="661"/>
      <c r="GXA202" s="661"/>
      <c r="GXB202" s="661"/>
      <c r="GXC202" s="661"/>
      <c r="GXD202" s="661"/>
      <c r="GXE202" s="660" t="s">
        <v>634</v>
      </c>
      <c r="GXF202" s="661"/>
      <c r="GXG202" s="661"/>
      <c r="GXH202" s="661"/>
      <c r="GXI202" s="661"/>
      <c r="GXJ202" s="661"/>
      <c r="GXK202" s="661"/>
      <c r="GXL202" s="661"/>
      <c r="GXM202" s="661"/>
      <c r="GXN202" s="661"/>
      <c r="GXO202" s="661"/>
      <c r="GXP202" s="661"/>
      <c r="GXQ202" s="661"/>
      <c r="GXR202" s="661"/>
      <c r="GXS202" s="661"/>
      <c r="GXT202" s="661"/>
      <c r="GXU202" s="660" t="s">
        <v>634</v>
      </c>
      <c r="GXV202" s="661"/>
      <c r="GXW202" s="661"/>
      <c r="GXX202" s="661"/>
      <c r="GXY202" s="661"/>
      <c r="GXZ202" s="661"/>
      <c r="GYA202" s="661"/>
      <c r="GYB202" s="661"/>
      <c r="GYC202" s="661"/>
      <c r="GYD202" s="661"/>
      <c r="GYE202" s="661"/>
      <c r="GYF202" s="661"/>
      <c r="GYG202" s="661"/>
      <c r="GYH202" s="661"/>
      <c r="GYI202" s="661"/>
      <c r="GYJ202" s="661"/>
      <c r="GYK202" s="660" t="s">
        <v>634</v>
      </c>
      <c r="GYL202" s="661"/>
      <c r="GYM202" s="661"/>
      <c r="GYN202" s="661"/>
      <c r="GYO202" s="661"/>
      <c r="GYP202" s="661"/>
      <c r="GYQ202" s="661"/>
      <c r="GYR202" s="661"/>
      <c r="GYS202" s="661"/>
      <c r="GYT202" s="661"/>
      <c r="GYU202" s="661"/>
      <c r="GYV202" s="661"/>
      <c r="GYW202" s="661"/>
      <c r="GYX202" s="661"/>
      <c r="GYY202" s="661"/>
      <c r="GYZ202" s="661"/>
      <c r="GZA202" s="660" t="s">
        <v>634</v>
      </c>
      <c r="GZB202" s="661"/>
      <c r="GZC202" s="661"/>
      <c r="GZD202" s="661"/>
      <c r="GZE202" s="661"/>
      <c r="GZF202" s="661"/>
      <c r="GZG202" s="661"/>
      <c r="GZH202" s="661"/>
      <c r="GZI202" s="661"/>
      <c r="GZJ202" s="661"/>
      <c r="GZK202" s="661"/>
      <c r="GZL202" s="661"/>
      <c r="GZM202" s="661"/>
      <c r="GZN202" s="661"/>
      <c r="GZO202" s="661"/>
      <c r="GZP202" s="661"/>
      <c r="GZQ202" s="660" t="s">
        <v>634</v>
      </c>
      <c r="GZR202" s="661"/>
      <c r="GZS202" s="661"/>
      <c r="GZT202" s="661"/>
      <c r="GZU202" s="661"/>
      <c r="GZV202" s="661"/>
      <c r="GZW202" s="661"/>
      <c r="GZX202" s="661"/>
      <c r="GZY202" s="661"/>
      <c r="GZZ202" s="661"/>
      <c r="HAA202" s="661"/>
      <c r="HAB202" s="661"/>
      <c r="HAC202" s="661"/>
      <c r="HAD202" s="661"/>
      <c r="HAE202" s="661"/>
      <c r="HAF202" s="661"/>
      <c r="HAG202" s="660" t="s">
        <v>634</v>
      </c>
      <c r="HAH202" s="661"/>
      <c r="HAI202" s="661"/>
      <c r="HAJ202" s="661"/>
      <c r="HAK202" s="661"/>
      <c r="HAL202" s="661"/>
      <c r="HAM202" s="661"/>
      <c r="HAN202" s="661"/>
      <c r="HAO202" s="661"/>
      <c r="HAP202" s="661"/>
      <c r="HAQ202" s="661"/>
      <c r="HAR202" s="661"/>
      <c r="HAS202" s="661"/>
      <c r="HAT202" s="661"/>
      <c r="HAU202" s="661"/>
      <c r="HAV202" s="661"/>
      <c r="HAW202" s="660" t="s">
        <v>634</v>
      </c>
      <c r="HAX202" s="661"/>
      <c r="HAY202" s="661"/>
      <c r="HAZ202" s="661"/>
      <c r="HBA202" s="661"/>
      <c r="HBB202" s="661"/>
      <c r="HBC202" s="661"/>
      <c r="HBD202" s="661"/>
      <c r="HBE202" s="661"/>
      <c r="HBF202" s="661"/>
      <c r="HBG202" s="661"/>
      <c r="HBH202" s="661"/>
      <c r="HBI202" s="661"/>
      <c r="HBJ202" s="661"/>
      <c r="HBK202" s="661"/>
      <c r="HBL202" s="661"/>
      <c r="HBM202" s="660" t="s">
        <v>634</v>
      </c>
      <c r="HBN202" s="661"/>
      <c r="HBO202" s="661"/>
      <c r="HBP202" s="661"/>
      <c r="HBQ202" s="661"/>
      <c r="HBR202" s="661"/>
      <c r="HBS202" s="661"/>
      <c r="HBT202" s="661"/>
      <c r="HBU202" s="661"/>
      <c r="HBV202" s="661"/>
      <c r="HBW202" s="661"/>
      <c r="HBX202" s="661"/>
      <c r="HBY202" s="661"/>
      <c r="HBZ202" s="661"/>
      <c r="HCA202" s="661"/>
      <c r="HCB202" s="661"/>
      <c r="HCC202" s="660" t="s">
        <v>634</v>
      </c>
      <c r="HCD202" s="661"/>
      <c r="HCE202" s="661"/>
      <c r="HCF202" s="661"/>
      <c r="HCG202" s="661"/>
      <c r="HCH202" s="661"/>
      <c r="HCI202" s="661"/>
      <c r="HCJ202" s="661"/>
      <c r="HCK202" s="661"/>
      <c r="HCL202" s="661"/>
      <c r="HCM202" s="661"/>
      <c r="HCN202" s="661"/>
      <c r="HCO202" s="661"/>
      <c r="HCP202" s="661"/>
      <c r="HCQ202" s="661"/>
      <c r="HCR202" s="661"/>
      <c r="HCS202" s="660" t="s">
        <v>634</v>
      </c>
      <c r="HCT202" s="661"/>
      <c r="HCU202" s="661"/>
      <c r="HCV202" s="661"/>
      <c r="HCW202" s="661"/>
      <c r="HCX202" s="661"/>
      <c r="HCY202" s="661"/>
      <c r="HCZ202" s="661"/>
      <c r="HDA202" s="661"/>
      <c r="HDB202" s="661"/>
      <c r="HDC202" s="661"/>
      <c r="HDD202" s="661"/>
      <c r="HDE202" s="661"/>
      <c r="HDF202" s="661"/>
      <c r="HDG202" s="661"/>
      <c r="HDH202" s="661"/>
      <c r="HDI202" s="660" t="s">
        <v>634</v>
      </c>
      <c r="HDJ202" s="661"/>
      <c r="HDK202" s="661"/>
      <c r="HDL202" s="661"/>
      <c r="HDM202" s="661"/>
      <c r="HDN202" s="661"/>
      <c r="HDO202" s="661"/>
      <c r="HDP202" s="661"/>
      <c r="HDQ202" s="661"/>
      <c r="HDR202" s="661"/>
      <c r="HDS202" s="661"/>
      <c r="HDT202" s="661"/>
      <c r="HDU202" s="661"/>
      <c r="HDV202" s="661"/>
      <c r="HDW202" s="661"/>
      <c r="HDX202" s="661"/>
      <c r="HDY202" s="660" t="s">
        <v>634</v>
      </c>
      <c r="HDZ202" s="661"/>
      <c r="HEA202" s="661"/>
      <c r="HEB202" s="661"/>
      <c r="HEC202" s="661"/>
      <c r="HED202" s="661"/>
      <c r="HEE202" s="661"/>
      <c r="HEF202" s="661"/>
      <c r="HEG202" s="661"/>
      <c r="HEH202" s="661"/>
      <c r="HEI202" s="661"/>
      <c r="HEJ202" s="661"/>
      <c r="HEK202" s="661"/>
      <c r="HEL202" s="661"/>
      <c r="HEM202" s="661"/>
      <c r="HEN202" s="661"/>
      <c r="HEO202" s="660" t="s">
        <v>634</v>
      </c>
      <c r="HEP202" s="661"/>
      <c r="HEQ202" s="661"/>
      <c r="HER202" s="661"/>
      <c r="HES202" s="661"/>
      <c r="HET202" s="661"/>
      <c r="HEU202" s="661"/>
      <c r="HEV202" s="661"/>
      <c r="HEW202" s="661"/>
      <c r="HEX202" s="661"/>
      <c r="HEY202" s="661"/>
      <c r="HEZ202" s="661"/>
      <c r="HFA202" s="661"/>
      <c r="HFB202" s="661"/>
      <c r="HFC202" s="661"/>
      <c r="HFD202" s="661"/>
      <c r="HFE202" s="660" t="s">
        <v>634</v>
      </c>
      <c r="HFF202" s="661"/>
      <c r="HFG202" s="661"/>
      <c r="HFH202" s="661"/>
      <c r="HFI202" s="661"/>
      <c r="HFJ202" s="661"/>
      <c r="HFK202" s="661"/>
      <c r="HFL202" s="661"/>
      <c r="HFM202" s="661"/>
      <c r="HFN202" s="661"/>
      <c r="HFO202" s="661"/>
      <c r="HFP202" s="661"/>
      <c r="HFQ202" s="661"/>
      <c r="HFR202" s="661"/>
      <c r="HFS202" s="661"/>
      <c r="HFT202" s="661"/>
      <c r="HFU202" s="660" t="s">
        <v>634</v>
      </c>
      <c r="HFV202" s="661"/>
      <c r="HFW202" s="661"/>
      <c r="HFX202" s="661"/>
      <c r="HFY202" s="661"/>
      <c r="HFZ202" s="661"/>
      <c r="HGA202" s="661"/>
      <c r="HGB202" s="661"/>
      <c r="HGC202" s="661"/>
      <c r="HGD202" s="661"/>
      <c r="HGE202" s="661"/>
      <c r="HGF202" s="661"/>
      <c r="HGG202" s="661"/>
      <c r="HGH202" s="661"/>
      <c r="HGI202" s="661"/>
      <c r="HGJ202" s="661"/>
      <c r="HGK202" s="660" t="s">
        <v>634</v>
      </c>
      <c r="HGL202" s="661"/>
      <c r="HGM202" s="661"/>
      <c r="HGN202" s="661"/>
      <c r="HGO202" s="661"/>
      <c r="HGP202" s="661"/>
      <c r="HGQ202" s="661"/>
      <c r="HGR202" s="661"/>
      <c r="HGS202" s="661"/>
      <c r="HGT202" s="661"/>
      <c r="HGU202" s="661"/>
      <c r="HGV202" s="661"/>
      <c r="HGW202" s="661"/>
      <c r="HGX202" s="661"/>
      <c r="HGY202" s="661"/>
      <c r="HGZ202" s="661"/>
      <c r="HHA202" s="660" t="s">
        <v>634</v>
      </c>
      <c r="HHB202" s="661"/>
      <c r="HHC202" s="661"/>
      <c r="HHD202" s="661"/>
      <c r="HHE202" s="661"/>
      <c r="HHF202" s="661"/>
      <c r="HHG202" s="661"/>
      <c r="HHH202" s="661"/>
      <c r="HHI202" s="661"/>
      <c r="HHJ202" s="661"/>
      <c r="HHK202" s="661"/>
      <c r="HHL202" s="661"/>
      <c r="HHM202" s="661"/>
      <c r="HHN202" s="661"/>
      <c r="HHO202" s="661"/>
      <c r="HHP202" s="661"/>
      <c r="HHQ202" s="660" t="s">
        <v>634</v>
      </c>
      <c r="HHR202" s="661"/>
      <c r="HHS202" s="661"/>
      <c r="HHT202" s="661"/>
      <c r="HHU202" s="661"/>
      <c r="HHV202" s="661"/>
      <c r="HHW202" s="661"/>
      <c r="HHX202" s="661"/>
      <c r="HHY202" s="661"/>
      <c r="HHZ202" s="661"/>
      <c r="HIA202" s="661"/>
      <c r="HIB202" s="661"/>
      <c r="HIC202" s="661"/>
      <c r="HID202" s="661"/>
      <c r="HIE202" s="661"/>
      <c r="HIF202" s="661"/>
      <c r="HIG202" s="660" t="s">
        <v>634</v>
      </c>
      <c r="HIH202" s="661"/>
      <c r="HII202" s="661"/>
      <c r="HIJ202" s="661"/>
      <c r="HIK202" s="661"/>
      <c r="HIL202" s="661"/>
      <c r="HIM202" s="661"/>
      <c r="HIN202" s="661"/>
      <c r="HIO202" s="661"/>
      <c r="HIP202" s="661"/>
      <c r="HIQ202" s="661"/>
      <c r="HIR202" s="661"/>
      <c r="HIS202" s="661"/>
      <c r="HIT202" s="661"/>
      <c r="HIU202" s="661"/>
      <c r="HIV202" s="661"/>
      <c r="HIW202" s="660" t="s">
        <v>634</v>
      </c>
      <c r="HIX202" s="661"/>
      <c r="HIY202" s="661"/>
      <c r="HIZ202" s="661"/>
      <c r="HJA202" s="661"/>
      <c r="HJB202" s="661"/>
      <c r="HJC202" s="661"/>
      <c r="HJD202" s="661"/>
      <c r="HJE202" s="661"/>
      <c r="HJF202" s="661"/>
      <c r="HJG202" s="661"/>
      <c r="HJH202" s="661"/>
      <c r="HJI202" s="661"/>
      <c r="HJJ202" s="661"/>
      <c r="HJK202" s="661"/>
      <c r="HJL202" s="661"/>
      <c r="HJM202" s="660" t="s">
        <v>634</v>
      </c>
      <c r="HJN202" s="661"/>
      <c r="HJO202" s="661"/>
      <c r="HJP202" s="661"/>
      <c r="HJQ202" s="661"/>
      <c r="HJR202" s="661"/>
      <c r="HJS202" s="661"/>
      <c r="HJT202" s="661"/>
      <c r="HJU202" s="661"/>
      <c r="HJV202" s="661"/>
      <c r="HJW202" s="661"/>
      <c r="HJX202" s="661"/>
      <c r="HJY202" s="661"/>
      <c r="HJZ202" s="661"/>
      <c r="HKA202" s="661"/>
      <c r="HKB202" s="661"/>
      <c r="HKC202" s="660" t="s">
        <v>634</v>
      </c>
      <c r="HKD202" s="661"/>
      <c r="HKE202" s="661"/>
      <c r="HKF202" s="661"/>
      <c r="HKG202" s="661"/>
      <c r="HKH202" s="661"/>
      <c r="HKI202" s="661"/>
      <c r="HKJ202" s="661"/>
      <c r="HKK202" s="661"/>
      <c r="HKL202" s="661"/>
      <c r="HKM202" s="661"/>
      <c r="HKN202" s="661"/>
      <c r="HKO202" s="661"/>
      <c r="HKP202" s="661"/>
      <c r="HKQ202" s="661"/>
      <c r="HKR202" s="661"/>
      <c r="HKS202" s="660" t="s">
        <v>634</v>
      </c>
      <c r="HKT202" s="661"/>
      <c r="HKU202" s="661"/>
      <c r="HKV202" s="661"/>
      <c r="HKW202" s="661"/>
      <c r="HKX202" s="661"/>
      <c r="HKY202" s="661"/>
      <c r="HKZ202" s="661"/>
      <c r="HLA202" s="661"/>
      <c r="HLB202" s="661"/>
      <c r="HLC202" s="661"/>
      <c r="HLD202" s="661"/>
      <c r="HLE202" s="661"/>
      <c r="HLF202" s="661"/>
      <c r="HLG202" s="661"/>
      <c r="HLH202" s="661"/>
      <c r="HLI202" s="660" t="s">
        <v>634</v>
      </c>
      <c r="HLJ202" s="661"/>
      <c r="HLK202" s="661"/>
      <c r="HLL202" s="661"/>
      <c r="HLM202" s="661"/>
      <c r="HLN202" s="661"/>
      <c r="HLO202" s="661"/>
      <c r="HLP202" s="661"/>
      <c r="HLQ202" s="661"/>
      <c r="HLR202" s="661"/>
      <c r="HLS202" s="661"/>
      <c r="HLT202" s="661"/>
      <c r="HLU202" s="661"/>
      <c r="HLV202" s="661"/>
      <c r="HLW202" s="661"/>
      <c r="HLX202" s="661"/>
      <c r="HLY202" s="660" t="s">
        <v>634</v>
      </c>
      <c r="HLZ202" s="661"/>
      <c r="HMA202" s="661"/>
      <c r="HMB202" s="661"/>
      <c r="HMC202" s="661"/>
      <c r="HMD202" s="661"/>
      <c r="HME202" s="661"/>
      <c r="HMF202" s="661"/>
      <c r="HMG202" s="661"/>
      <c r="HMH202" s="661"/>
      <c r="HMI202" s="661"/>
      <c r="HMJ202" s="661"/>
      <c r="HMK202" s="661"/>
      <c r="HML202" s="661"/>
      <c r="HMM202" s="661"/>
      <c r="HMN202" s="661"/>
      <c r="HMO202" s="660" t="s">
        <v>634</v>
      </c>
      <c r="HMP202" s="661"/>
      <c r="HMQ202" s="661"/>
      <c r="HMR202" s="661"/>
      <c r="HMS202" s="661"/>
      <c r="HMT202" s="661"/>
      <c r="HMU202" s="661"/>
      <c r="HMV202" s="661"/>
      <c r="HMW202" s="661"/>
      <c r="HMX202" s="661"/>
      <c r="HMY202" s="661"/>
      <c r="HMZ202" s="661"/>
      <c r="HNA202" s="661"/>
      <c r="HNB202" s="661"/>
      <c r="HNC202" s="661"/>
      <c r="HND202" s="661"/>
      <c r="HNE202" s="660" t="s">
        <v>634</v>
      </c>
      <c r="HNF202" s="661"/>
      <c r="HNG202" s="661"/>
      <c r="HNH202" s="661"/>
      <c r="HNI202" s="661"/>
      <c r="HNJ202" s="661"/>
      <c r="HNK202" s="661"/>
      <c r="HNL202" s="661"/>
      <c r="HNM202" s="661"/>
      <c r="HNN202" s="661"/>
      <c r="HNO202" s="661"/>
      <c r="HNP202" s="661"/>
      <c r="HNQ202" s="661"/>
      <c r="HNR202" s="661"/>
      <c r="HNS202" s="661"/>
      <c r="HNT202" s="661"/>
      <c r="HNU202" s="660" t="s">
        <v>634</v>
      </c>
      <c r="HNV202" s="661"/>
      <c r="HNW202" s="661"/>
      <c r="HNX202" s="661"/>
      <c r="HNY202" s="661"/>
      <c r="HNZ202" s="661"/>
      <c r="HOA202" s="661"/>
      <c r="HOB202" s="661"/>
      <c r="HOC202" s="661"/>
      <c r="HOD202" s="661"/>
      <c r="HOE202" s="661"/>
      <c r="HOF202" s="661"/>
      <c r="HOG202" s="661"/>
      <c r="HOH202" s="661"/>
      <c r="HOI202" s="661"/>
      <c r="HOJ202" s="661"/>
      <c r="HOK202" s="660" t="s">
        <v>634</v>
      </c>
      <c r="HOL202" s="661"/>
      <c r="HOM202" s="661"/>
      <c r="HON202" s="661"/>
      <c r="HOO202" s="661"/>
      <c r="HOP202" s="661"/>
      <c r="HOQ202" s="661"/>
      <c r="HOR202" s="661"/>
      <c r="HOS202" s="661"/>
      <c r="HOT202" s="661"/>
      <c r="HOU202" s="661"/>
      <c r="HOV202" s="661"/>
      <c r="HOW202" s="661"/>
      <c r="HOX202" s="661"/>
      <c r="HOY202" s="661"/>
      <c r="HOZ202" s="661"/>
      <c r="HPA202" s="660" t="s">
        <v>634</v>
      </c>
      <c r="HPB202" s="661"/>
      <c r="HPC202" s="661"/>
      <c r="HPD202" s="661"/>
      <c r="HPE202" s="661"/>
      <c r="HPF202" s="661"/>
      <c r="HPG202" s="661"/>
      <c r="HPH202" s="661"/>
      <c r="HPI202" s="661"/>
      <c r="HPJ202" s="661"/>
      <c r="HPK202" s="661"/>
      <c r="HPL202" s="661"/>
      <c r="HPM202" s="661"/>
      <c r="HPN202" s="661"/>
      <c r="HPO202" s="661"/>
      <c r="HPP202" s="661"/>
      <c r="HPQ202" s="660" t="s">
        <v>634</v>
      </c>
      <c r="HPR202" s="661"/>
      <c r="HPS202" s="661"/>
      <c r="HPT202" s="661"/>
      <c r="HPU202" s="661"/>
      <c r="HPV202" s="661"/>
      <c r="HPW202" s="661"/>
      <c r="HPX202" s="661"/>
      <c r="HPY202" s="661"/>
      <c r="HPZ202" s="661"/>
      <c r="HQA202" s="661"/>
      <c r="HQB202" s="661"/>
      <c r="HQC202" s="661"/>
      <c r="HQD202" s="661"/>
      <c r="HQE202" s="661"/>
      <c r="HQF202" s="661"/>
      <c r="HQG202" s="660" t="s">
        <v>634</v>
      </c>
      <c r="HQH202" s="661"/>
      <c r="HQI202" s="661"/>
      <c r="HQJ202" s="661"/>
      <c r="HQK202" s="661"/>
      <c r="HQL202" s="661"/>
      <c r="HQM202" s="661"/>
      <c r="HQN202" s="661"/>
      <c r="HQO202" s="661"/>
      <c r="HQP202" s="661"/>
      <c r="HQQ202" s="661"/>
      <c r="HQR202" s="661"/>
      <c r="HQS202" s="661"/>
      <c r="HQT202" s="661"/>
      <c r="HQU202" s="661"/>
      <c r="HQV202" s="661"/>
      <c r="HQW202" s="660" t="s">
        <v>634</v>
      </c>
      <c r="HQX202" s="661"/>
      <c r="HQY202" s="661"/>
      <c r="HQZ202" s="661"/>
      <c r="HRA202" s="661"/>
      <c r="HRB202" s="661"/>
      <c r="HRC202" s="661"/>
      <c r="HRD202" s="661"/>
      <c r="HRE202" s="661"/>
      <c r="HRF202" s="661"/>
      <c r="HRG202" s="661"/>
      <c r="HRH202" s="661"/>
      <c r="HRI202" s="661"/>
      <c r="HRJ202" s="661"/>
      <c r="HRK202" s="661"/>
      <c r="HRL202" s="661"/>
      <c r="HRM202" s="660" t="s">
        <v>634</v>
      </c>
      <c r="HRN202" s="661"/>
      <c r="HRO202" s="661"/>
      <c r="HRP202" s="661"/>
      <c r="HRQ202" s="661"/>
      <c r="HRR202" s="661"/>
      <c r="HRS202" s="661"/>
      <c r="HRT202" s="661"/>
      <c r="HRU202" s="661"/>
      <c r="HRV202" s="661"/>
      <c r="HRW202" s="661"/>
      <c r="HRX202" s="661"/>
      <c r="HRY202" s="661"/>
      <c r="HRZ202" s="661"/>
      <c r="HSA202" s="661"/>
      <c r="HSB202" s="661"/>
      <c r="HSC202" s="660" t="s">
        <v>634</v>
      </c>
      <c r="HSD202" s="661"/>
      <c r="HSE202" s="661"/>
      <c r="HSF202" s="661"/>
      <c r="HSG202" s="661"/>
      <c r="HSH202" s="661"/>
      <c r="HSI202" s="661"/>
      <c r="HSJ202" s="661"/>
      <c r="HSK202" s="661"/>
      <c r="HSL202" s="661"/>
      <c r="HSM202" s="661"/>
      <c r="HSN202" s="661"/>
      <c r="HSO202" s="661"/>
      <c r="HSP202" s="661"/>
      <c r="HSQ202" s="661"/>
      <c r="HSR202" s="661"/>
      <c r="HSS202" s="660" t="s">
        <v>634</v>
      </c>
      <c r="HST202" s="661"/>
      <c r="HSU202" s="661"/>
      <c r="HSV202" s="661"/>
      <c r="HSW202" s="661"/>
      <c r="HSX202" s="661"/>
      <c r="HSY202" s="661"/>
      <c r="HSZ202" s="661"/>
      <c r="HTA202" s="661"/>
      <c r="HTB202" s="661"/>
      <c r="HTC202" s="661"/>
      <c r="HTD202" s="661"/>
      <c r="HTE202" s="661"/>
      <c r="HTF202" s="661"/>
      <c r="HTG202" s="661"/>
      <c r="HTH202" s="661"/>
      <c r="HTI202" s="660" t="s">
        <v>634</v>
      </c>
      <c r="HTJ202" s="661"/>
      <c r="HTK202" s="661"/>
      <c r="HTL202" s="661"/>
      <c r="HTM202" s="661"/>
      <c r="HTN202" s="661"/>
      <c r="HTO202" s="661"/>
      <c r="HTP202" s="661"/>
      <c r="HTQ202" s="661"/>
      <c r="HTR202" s="661"/>
      <c r="HTS202" s="661"/>
      <c r="HTT202" s="661"/>
      <c r="HTU202" s="661"/>
      <c r="HTV202" s="661"/>
      <c r="HTW202" s="661"/>
      <c r="HTX202" s="661"/>
      <c r="HTY202" s="660" t="s">
        <v>634</v>
      </c>
      <c r="HTZ202" s="661"/>
      <c r="HUA202" s="661"/>
      <c r="HUB202" s="661"/>
      <c r="HUC202" s="661"/>
      <c r="HUD202" s="661"/>
      <c r="HUE202" s="661"/>
      <c r="HUF202" s="661"/>
      <c r="HUG202" s="661"/>
      <c r="HUH202" s="661"/>
      <c r="HUI202" s="661"/>
      <c r="HUJ202" s="661"/>
      <c r="HUK202" s="661"/>
      <c r="HUL202" s="661"/>
      <c r="HUM202" s="661"/>
      <c r="HUN202" s="661"/>
      <c r="HUO202" s="660" t="s">
        <v>634</v>
      </c>
      <c r="HUP202" s="661"/>
      <c r="HUQ202" s="661"/>
      <c r="HUR202" s="661"/>
      <c r="HUS202" s="661"/>
      <c r="HUT202" s="661"/>
      <c r="HUU202" s="661"/>
      <c r="HUV202" s="661"/>
      <c r="HUW202" s="661"/>
      <c r="HUX202" s="661"/>
      <c r="HUY202" s="661"/>
      <c r="HUZ202" s="661"/>
      <c r="HVA202" s="661"/>
      <c r="HVB202" s="661"/>
      <c r="HVC202" s="661"/>
      <c r="HVD202" s="661"/>
      <c r="HVE202" s="660" t="s">
        <v>634</v>
      </c>
      <c r="HVF202" s="661"/>
      <c r="HVG202" s="661"/>
      <c r="HVH202" s="661"/>
      <c r="HVI202" s="661"/>
      <c r="HVJ202" s="661"/>
      <c r="HVK202" s="661"/>
      <c r="HVL202" s="661"/>
      <c r="HVM202" s="661"/>
      <c r="HVN202" s="661"/>
      <c r="HVO202" s="661"/>
      <c r="HVP202" s="661"/>
      <c r="HVQ202" s="661"/>
      <c r="HVR202" s="661"/>
      <c r="HVS202" s="661"/>
      <c r="HVT202" s="661"/>
      <c r="HVU202" s="660" t="s">
        <v>634</v>
      </c>
      <c r="HVV202" s="661"/>
      <c r="HVW202" s="661"/>
      <c r="HVX202" s="661"/>
      <c r="HVY202" s="661"/>
      <c r="HVZ202" s="661"/>
      <c r="HWA202" s="661"/>
      <c r="HWB202" s="661"/>
      <c r="HWC202" s="661"/>
      <c r="HWD202" s="661"/>
      <c r="HWE202" s="661"/>
      <c r="HWF202" s="661"/>
      <c r="HWG202" s="661"/>
      <c r="HWH202" s="661"/>
      <c r="HWI202" s="661"/>
      <c r="HWJ202" s="661"/>
      <c r="HWK202" s="660" t="s">
        <v>634</v>
      </c>
      <c r="HWL202" s="661"/>
      <c r="HWM202" s="661"/>
      <c r="HWN202" s="661"/>
      <c r="HWO202" s="661"/>
      <c r="HWP202" s="661"/>
      <c r="HWQ202" s="661"/>
      <c r="HWR202" s="661"/>
      <c r="HWS202" s="661"/>
      <c r="HWT202" s="661"/>
      <c r="HWU202" s="661"/>
      <c r="HWV202" s="661"/>
      <c r="HWW202" s="661"/>
      <c r="HWX202" s="661"/>
      <c r="HWY202" s="661"/>
      <c r="HWZ202" s="661"/>
      <c r="HXA202" s="660" t="s">
        <v>634</v>
      </c>
      <c r="HXB202" s="661"/>
      <c r="HXC202" s="661"/>
      <c r="HXD202" s="661"/>
      <c r="HXE202" s="661"/>
      <c r="HXF202" s="661"/>
      <c r="HXG202" s="661"/>
      <c r="HXH202" s="661"/>
      <c r="HXI202" s="661"/>
      <c r="HXJ202" s="661"/>
      <c r="HXK202" s="661"/>
      <c r="HXL202" s="661"/>
      <c r="HXM202" s="661"/>
      <c r="HXN202" s="661"/>
      <c r="HXO202" s="661"/>
      <c r="HXP202" s="661"/>
      <c r="HXQ202" s="660" t="s">
        <v>634</v>
      </c>
      <c r="HXR202" s="661"/>
      <c r="HXS202" s="661"/>
      <c r="HXT202" s="661"/>
      <c r="HXU202" s="661"/>
      <c r="HXV202" s="661"/>
      <c r="HXW202" s="661"/>
      <c r="HXX202" s="661"/>
      <c r="HXY202" s="661"/>
      <c r="HXZ202" s="661"/>
      <c r="HYA202" s="661"/>
      <c r="HYB202" s="661"/>
      <c r="HYC202" s="661"/>
      <c r="HYD202" s="661"/>
      <c r="HYE202" s="661"/>
      <c r="HYF202" s="661"/>
      <c r="HYG202" s="660" t="s">
        <v>634</v>
      </c>
      <c r="HYH202" s="661"/>
      <c r="HYI202" s="661"/>
      <c r="HYJ202" s="661"/>
      <c r="HYK202" s="661"/>
      <c r="HYL202" s="661"/>
      <c r="HYM202" s="661"/>
      <c r="HYN202" s="661"/>
      <c r="HYO202" s="661"/>
      <c r="HYP202" s="661"/>
      <c r="HYQ202" s="661"/>
      <c r="HYR202" s="661"/>
      <c r="HYS202" s="661"/>
      <c r="HYT202" s="661"/>
      <c r="HYU202" s="661"/>
      <c r="HYV202" s="661"/>
      <c r="HYW202" s="660" t="s">
        <v>634</v>
      </c>
      <c r="HYX202" s="661"/>
      <c r="HYY202" s="661"/>
      <c r="HYZ202" s="661"/>
      <c r="HZA202" s="661"/>
      <c r="HZB202" s="661"/>
      <c r="HZC202" s="661"/>
      <c r="HZD202" s="661"/>
      <c r="HZE202" s="661"/>
      <c r="HZF202" s="661"/>
      <c r="HZG202" s="661"/>
      <c r="HZH202" s="661"/>
      <c r="HZI202" s="661"/>
      <c r="HZJ202" s="661"/>
      <c r="HZK202" s="661"/>
      <c r="HZL202" s="661"/>
      <c r="HZM202" s="660" t="s">
        <v>634</v>
      </c>
      <c r="HZN202" s="661"/>
      <c r="HZO202" s="661"/>
      <c r="HZP202" s="661"/>
      <c r="HZQ202" s="661"/>
      <c r="HZR202" s="661"/>
      <c r="HZS202" s="661"/>
      <c r="HZT202" s="661"/>
      <c r="HZU202" s="661"/>
      <c r="HZV202" s="661"/>
      <c r="HZW202" s="661"/>
      <c r="HZX202" s="661"/>
      <c r="HZY202" s="661"/>
      <c r="HZZ202" s="661"/>
      <c r="IAA202" s="661"/>
      <c r="IAB202" s="661"/>
      <c r="IAC202" s="660" t="s">
        <v>634</v>
      </c>
      <c r="IAD202" s="661"/>
      <c r="IAE202" s="661"/>
      <c r="IAF202" s="661"/>
      <c r="IAG202" s="661"/>
      <c r="IAH202" s="661"/>
      <c r="IAI202" s="661"/>
      <c r="IAJ202" s="661"/>
      <c r="IAK202" s="661"/>
      <c r="IAL202" s="661"/>
      <c r="IAM202" s="661"/>
      <c r="IAN202" s="661"/>
      <c r="IAO202" s="661"/>
      <c r="IAP202" s="661"/>
      <c r="IAQ202" s="661"/>
      <c r="IAR202" s="661"/>
      <c r="IAS202" s="660" t="s">
        <v>634</v>
      </c>
      <c r="IAT202" s="661"/>
      <c r="IAU202" s="661"/>
      <c r="IAV202" s="661"/>
      <c r="IAW202" s="661"/>
      <c r="IAX202" s="661"/>
      <c r="IAY202" s="661"/>
      <c r="IAZ202" s="661"/>
      <c r="IBA202" s="661"/>
      <c r="IBB202" s="661"/>
      <c r="IBC202" s="661"/>
      <c r="IBD202" s="661"/>
      <c r="IBE202" s="661"/>
      <c r="IBF202" s="661"/>
      <c r="IBG202" s="661"/>
      <c r="IBH202" s="661"/>
      <c r="IBI202" s="660" t="s">
        <v>634</v>
      </c>
      <c r="IBJ202" s="661"/>
      <c r="IBK202" s="661"/>
      <c r="IBL202" s="661"/>
      <c r="IBM202" s="661"/>
      <c r="IBN202" s="661"/>
      <c r="IBO202" s="661"/>
      <c r="IBP202" s="661"/>
      <c r="IBQ202" s="661"/>
      <c r="IBR202" s="661"/>
      <c r="IBS202" s="661"/>
      <c r="IBT202" s="661"/>
      <c r="IBU202" s="661"/>
      <c r="IBV202" s="661"/>
      <c r="IBW202" s="661"/>
      <c r="IBX202" s="661"/>
      <c r="IBY202" s="660" t="s">
        <v>634</v>
      </c>
      <c r="IBZ202" s="661"/>
      <c r="ICA202" s="661"/>
      <c r="ICB202" s="661"/>
      <c r="ICC202" s="661"/>
      <c r="ICD202" s="661"/>
      <c r="ICE202" s="661"/>
      <c r="ICF202" s="661"/>
      <c r="ICG202" s="661"/>
      <c r="ICH202" s="661"/>
      <c r="ICI202" s="661"/>
      <c r="ICJ202" s="661"/>
      <c r="ICK202" s="661"/>
      <c r="ICL202" s="661"/>
      <c r="ICM202" s="661"/>
      <c r="ICN202" s="661"/>
      <c r="ICO202" s="660" t="s">
        <v>634</v>
      </c>
      <c r="ICP202" s="661"/>
      <c r="ICQ202" s="661"/>
      <c r="ICR202" s="661"/>
      <c r="ICS202" s="661"/>
      <c r="ICT202" s="661"/>
      <c r="ICU202" s="661"/>
      <c r="ICV202" s="661"/>
      <c r="ICW202" s="661"/>
      <c r="ICX202" s="661"/>
      <c r="ICY202" s="661"/>
      <c r="ICZ202" s="661"/>
      <c r="IDA202" s="661"/>
      <c r="IDB202" s="661"/>
      <c r="IDC202" s="661"/>
      <c r="IDD202" s="661"/>
      <c r="IDE202" s="660" t="s">
        <v>634</v>
      </c>
      <c r="IDF202" s="661"/>
      <c r="IDG202" s="661"/>
      <c r="IDH202" s="661"/>
      <c r="IDI202" s="661"/>
      <c r="IDJ202" s="661"/>
      <c r="IDK202" s="661"/>
      <c r="IDL202" s="661"/>
      <c r="IDM202" s="661"/>
      <c r="IDN202" s="661"/>
      <c r="IDO202" s="661"/>
      <c r="IDP202" s="661"/>
      <c r="IDQ202" s="661"/>
      <c r="IDR202" s="661"/>
      <c r="IDS202" s="661"/>
      <c r="IDT202" s="661"/>
      <c r="IDU202" s="660" t="s">
        <v>634</v>
      </c>
      <c r="IDV202" s="661"/>
      <c r="IDW202" s="661"/>
      <c r="IDX202" s="661"/>
      <c r="IDY202" s="661"/>
      <c r="IDZ202" s="661"/>
      <c r="IEA202" s="661"/>
      <c r="IEB202" s="661"/>
      <c r="IEC202" s="661"/>
      <c r="IED202" s="661"/>
      <c r="IEE202" s="661"/>
      <c r="IEF202" s="661"/>
      <c r="IEG202" s="661"/>
      <c r="IEH202" s="661"/>
      <c r="IEI202" s="661"/>
      <c r="IEJ202" s="661"/>
      <c r="IEK202" s="660" t="s">
        <v>634</v>
      </c>
      <c r="IEL202" s="661"/>
      <c r="IEM202" s="661"/>
      <c r="IEN202" s="661"/>
      <c r="IEO202" s="661"/>
      <c r="IEP202" s="661"/>
      <c r="IEQ202" s="661"/>
      <c r="IER202" s="661"/>
      <c r="IES202" s="661"/>
      <c r="IET202" s="661"/>
      <c r="IEU202" s="661"/>
      <c r="IEV202" s="661"/>
      <c r="IEW202" s="661"/>
      <c r="IEX202" s="661"/>
      <c r="IEY202" s="661"/>
      <c r="IEZ202" s="661"/>
      <c r="IFA202" s="660" t="s">
        <v>634</v>
      </c>
      <c r="IFB202" s="661"/>
      <c r="IFC202" s="661"/>
      <c r="IFD202" s="661"/>
      <c r="IFE202" s="661"/>
      <c r="IFF202" s="661"/>
      <c r="IFG202" s="661"/>
      <c r="IFH202" s="661"/>
      <c r="IFI202" s="661"/>
      <c r="IFJ202" s="661"/>
      <c r="IFK202" s="661"/>
      <c r="IFL202" s="661"/>
      <c r="IFM202" s="661"/>
      <c r="IFN202" s="661"/>
      <c r="IFO202" s="661"/>
      <c r="IFP202" s="661"/>
      <c r="IFQ202" s="660" t="s">
        <v>634</v>
      </c>
      <c r="IFR202" s="661"/>
      <c r="IFS202" s="661"/>
      <c r="IFT202" s="661"/>
      <c r="IFU202" s="661"/>
      <c r="IFV202" s="661"/>
      <c r="IFW202" s="661"/>
      <c r="IFX202" s="661"/>
      <c r="IFY202" s="661"/>
      <c r="IFZ202" s="661"/>
      <c r="IGA202" s="661"/>
      <c r="IGB202" s="661"/>
      <c r="IGC202" s="661"/>
      <c r="IGD202" s="661"/>
      <c r="IGE202" s="661"/>
      <c r="IGF202" s="661"/>
      <c r="IGG202" s="660" t="s">
        <v>634</v>
      </c>
      <c r="IGH202" s="661"/>
      <c r="IGI202" s="661"/>
      <c r="IGJ202" s="661"/>
      <c r="IGK202" s="661"/>
      <c r="IGL202" s="661"/>
      <c r="IGM202" s="661"/>
      <c r="IGN202" s="661"/>
      <c r="IGO202" s="661"/>
      <c r="IGP202" s="661"/>
      <c r="IGQ202" s="661"/>
      <c r="IGR202" s="661"/>
      <c r="IGS202" s="661"/>
      <c r="IGT202" s="661"/>
      <c r="IGU202" s="661"/>
      <c r="IGV202" s="661"/>
      <c r="IGW202" s="660" t="s">
        <v>634</v>
      </c>
      <c r="IGX202" s="661"/>
      <c r="IGY202" s="661"/>
      <c r="IGZ202" s="661"/>
      <c r="IHA202" s="661"/>
      <c r="IHB202" s="661"/>
      <c r="IHC202" s="661"/>
      <c r="IHD202" s="661"/>
      <c r="IHE202" s="661"/>
      <c r="IHF202" s="661"/>
      <c r="IHG202" s="661"/>
      <c r="IHH202" s="661"/>
      <c r="IHI202" s="661"/>
      <c r="IHJ202" s="661"/>
      <c r="IHK202" s="661"/>
      <c r="IHL202" s="661"/>
      <c r="IHM202" s="660" t="s">
        <v>634</v>
      </c>
      <c r="IHN202" s="661"/>
      <c r="IHO202" s="661"/>
      <c r="IHP202" s="661"/>
      <c r="IHQ202" s="661"/>
      <c r="IHR202" s="661"/>
      <c r="IHS202" s="661"/>
      <c r="IHT202" s="661"/>
      <c r="IHU202" s="661"/>
      <c r="IHV202" s="661"/>
      <c r="IHW202" s="661"/>
      <c r="IHX202" s="661"/>
      <c r="IHY202" s="661"/>
      <c r="IHZ202" s="661"/>
      <c r="IIA202" s="661"/>
      <c r="IIB202" s="661"/>
      <c r="IIC202" s="660" t="s">
        <v>634</v>
      </c>
      <c r="IID202" s="661"/>
      <c r="IIE202" s="661"/>
      <c r="IIF202" s="661"/>
      <c r="IIG202" s="661"/>
      <c r="IIH202" s="661"/>
      <c r="III202" s="661"/>
      <c r="IIJ202" s="661"/>
      <c r="IIK202" s="661"/>
      <c r="IIL202" s="661"/>
      <c r="IIM202" s="661"/>
      <c r="IIN202" s="661"/>
      <c r="IIO202" s="661"/>
      <c r="IIP202" s="661"/>
      <c r="IIQ202" s="661"/>
      <c r="IIR202" s="661"/>
      <c r="IIS202" s="660" t="s">
        <v>634</v>
      </c>
      <c r="IIT202" s="661"/>
      <c r="IIU202" s="661"/>
      <c r="IIV202" s="661"/>
      <c r="IIW202" s="661"/>
      <c r="IIX202" s="661"/>
      <c r="IIY202" s="661"/>
      <c r="IIZ202" s="661"/>
      <c r="IJA202" s="661"/>
      <c r="IJB202" s="661"/>
      <c r="IJC202" s="661"/>
      <c r="IJD202" s="661"/>
      <c r="IJE202" s="661"/>
      <c r="IJF202" s="661"/>
      <c r="IJG202" s="661"/>
      <c r="IJH202" s="661"/>
      <c r="IJI202" s="660" t="s">
        <v>634</v>
      </c>
      <c r="IJJ202" s="661"/>
      <c r="IJK202" s="661"/>
      <c r="IJL202" s="661"/>
      <c r="IJM202" s="661"/>
      <c r="IJN202" s="661"/>
      <c r="IJO202" s="661"/>
      <c r="IJP202" s="661"/>
      <c r="IJQ202" s="661"/>
      <c r="IJR202" s="661"/>
      <c r="IJS202" s="661"/>
      <c r="IJT202" s="661"/>
      <c r="IJU202" s="661"/>
      <c r="IJV202" s="661"/>
      <c r="IJW202" s="661"/>
      <c r="IJX202" s="661"/>
      <c r="IJY202" s="660" t="s">
        <v>634</v>
      </c>
      <c r="IJZ202" s="661"/>
      <c r="IKA202" s="661"/>
      <c r="IKB202" s="661"/>
      <c r="IKC202" s="661"/>
      <c r="IKD202" s="661"/>
      <c r="IKE202" s="661"/>
      <c r="IKF202" s="661"/>
      <c r="IKG202" s="661"/>
      <c r="IKH202" s="661"/>
      <c r="IKI202" s="661"/>
      <c r="IKJ202" s="661"/>
      <c r="IKK202" s="661"/>
      <c r="IKL202" s="661"/>
      <c r="IKM202" s="661"/>
      <c r="IKN202" s="661"/>
      <c r="IKO202" s="660" t="s">
        <v>634</v>
      </c>
      <c r="IKP202" s="661"/>
      <c r="IKQ202" s="661"/>
      <c r="IKR202" s="661"/>
      <c r="IKS202" s="661"/>
      <c r="IKT202" s="661"/>
      <c r="IKU202" s="661"/>
      <c r="IKV202" s="661"/>
      <c r="IKW202" s="661"/>
      <c r="IKX202" s="661"/>
      <c r="IKY202" s="661"/>
      <c r="IKZ202" s="661"/>
      <c r="ILA202" s="661"/>
      <c r="ILB202" s="661"/>
      <c r="ILC202" s="661"/>
      <c r="ILD202" s="661"/>
      <c r="ILE202" s="660" t="s">
        <v>634</v>
      </c>
      <c r="ILF202" s="661"/>
      <c r="ILG202" s="661"/>
      <c r="ILH202" s="661"/>
      <c r="ILI202" s="661"/>
      <c r="ILJ202" s="661"/>
      <c r="ILK202" s="661"/>
      <c r="ILL202" s="661"/>
      <c r="ILM202" s="661"/>
      <c r="ILN202" s="661"/>
      <c r="ILO202" s="661"/>
      <c r="ILP202" s="661"/>
      <c r="ILQ202" s="661"/>
      <c r="ILR202" s="661"/>
      <c r="ILS202" s="661"/>
      <c r="ILT202" s="661"/>
      <c r="ILU202" s="660" t="s">
        <v>634</v>
      </c>
      <c r="ILV202" s="661"/>
      <c r="ILW202" s="661"/>
      <c r="ILX202" s="661"/>
      <c r="ILY202" s="661"/>
      <c r="ILZ202" s="661"/>
      <c r="IMA202" s="661"/>
      <c r="IMB202" s="661"/>
      <c r="IMC202" s="661"/>
      <c r="IMD202" s="661"/>
      <c r="IME202" s="661"/>
      <c r="IMF202" s="661"/>
      <c r="IMG202" s="661"/>
      <c r="IMH202" s="661"/>
      <c r="IMI202" s="661"/>
      <c r="IMJ202" s="661"/>
      <c r="IMK202" s="660" t="s">
        <v>634</v>
      </c>
      <c r="IML202" s="661"/>
      <c r="IMM202" s="661"/>
      <c r="IMN202" s="661"/>
      <c r="IMO202" s="661"/>
      <c r="IMP202" s="661"/>
      <c r="IMQ202" s="661"/>
      <c r="IMR202" s="661"/>
      <c r="IMS202" s="661"/>
      <c r="IMT202" s="661"/>
      <c r="IMU202" s="661"/>
      <c r="IMV202" s="661"/>
      <c r="IMW202" s="661"/>
      <c r="IMX202" s="661"/>
      <c r="IMY202" s="661"/>
      <c r="IMZ202" s="661"/>
      <c r="INA202" s="660" t="s">
        <v>634</v>
      </c>
      <c r="INB202" s="661"/>
      <c r="INC202" s="661"/>
      <c r="IND202" s="661"/>
      <c r="INE202" s="661"/>
      <c r="INF202" s="661"/>
      <c r="ING202" s="661"/>
      <c r="INH202" s="661"/>
      <c r="INI202" s="661"/>
      <c r="INJ202" s="661"/>
      <c r="INK202" s="661"/>
      <c r="INL202" s="661"/>
      <c r="INM202" s="661"/>
      <c r="INN202" s="661"/>
      <c r="INO202" s="661"/>
      <c r="INP202" s="661"/>
      <c r="INQ202" s="660" t="s">
        <v>634</v>
      </c>
      <c r="INR202" s="661"/>
      <c r="INS202" s="661"/>
      <c r="INT202" s="661"/>
      <c r="INU202" s="661"/>
      <c r="INV202" s="661"/>
      <c r="INW202" s="661"/>
      <c r="INX202" s="661"/>
      <c r="INY202" s="661"/>
      <c r="INZ202" s="661"/>
      <c r="IOA202" s="661"/>
      <c r="IOB202" s="661"/>
      <c r="IOC202" s="661"/>
      <c r="IOD202" s="661"/>
      <c r="IOE202" s="661"/>
      <c r="IOF202" s="661"/>
      <c r="IOG202" s="660" t="s">
        <v>634</v>
      </c>
      <c r="IOH202" s="661"/>
      <c r="IOI202" s="661"/>
      <c r="IOJ202" s="661"/>
      <c r="IOK202" s="661"/>
      <c r="IOL202" s="661"/>
      <c r="IOM202" s="661"/>
      <c r="ION202" s="661"/>
      <c r="IOO202" s="661"/>
      <c r="IOP202" s="661"/>
      <c r="IOQ202" s="661"/>
      <c r="IOR202" s="661"/>
      <c r="IOS202" s="661"/>
      <c r="IOT202" s="661"/>
      <c r="IOU202" s="661"/>
      <c r="IOV202" s="661"/>
      <c r="IOW202" s="660" t="s">
        <v>634</v>
      </c>
      <c r="IOX202" s="661"/>
      <c r="IOY202" s="661"/>
      <c r="IOZ202" s="661"/>
      <c r="IPA202" s="661"/>
      <c r="IPB202" s="661"/>
      <c r="IPC202" s="661"/>
      <c r="IPD202" s="661"/>
      <c r="IPE202" s="661"/>
      <c r="IPF202" s="661"/>
      <c r="IPG202" s="661"/>
      <c r="IPH202" s="661"/>
      <c r="IPI202" s="661"/>
      <c r="IPJ202" s="661"/>
      <c r="IPK202" s="661"/>
      <c r="IPL202" s="661"/>
      <c r="IPM202" s="660" t="s">
        <v>634</v>
      </c>
      <c r="IPN202" s="661"/>
      <c r="IPO202" s="661"/>
      <c r="IPP202" s="661"/>
      <c r="IPQ202" s="661"/>
      <c r="IPR202" s="661"/>
      <c r="IPS202" s="661"/>
      <c r="IPT202" s="661"/>
      <c r="IPU202" s="661"/>
      <c r="IPV202" s="661"/>
      <c r="IPW202" s="661"/>
      <c r="IPX202" s="661"/>
      <c r="IPY202" s="661"/>
      <c r="IPZ202" s="661"/>
      <c r="IQA202" s="661"/>
      <c r="IQB202" s="661"/>
      <c r="IQC202" s="660" t="s">
        <v>634</v>
      </c>
      <c r="IQD202" s="661"/>
      <c r="IQE202" s="661"/>
      <c r="IQF202" s="661"/>
      <c r="IQG202" s="661"/>
      <c r="IQH202" s="661"/>
      <c r="IQI202" s="661"/>
      <c r="IQJ202" s="661"/>
      <c r="IQK202" s="661"/>
      <c r="IQL202" s="661"/>
      <c r="IQM202" s="661"/>
      <c r="IQN202" s="661"/>
      <c r="IQO202" s="661"/>
      <c r="IQP202" s="661"/>
      <c r="IQQ202" s="661"/>
      <c r="IQR202" s="661"/>
      <c r="IQS202" s="660" t="s">
        <v>634</v>
      </c>
      <c r="IQT202" s="661"/>
      <c r="IQU202" s="661"/>
      <c r="IQV202" s="661"/>
      <c r="IQW202" s="661"/>
      <c r="IQX202" s="661"/>
      <c r="IQY202" s="661"/>
      <c r="IQZ202" s="661"/>
      <c r="IRA202" s="661"/>
      <c r="IRB202" s="661"/>
      <c r="IRC202" s="661"/>
      <c r="IRD202" s="661"/>
      <c r="IRE202" s="661"/>
      <c r="IRF202" s="661"/>
      <c r="IRG202" s="661"/>
      <c r="IRH202" s="661"/>
      <c r="IRI202" s="660" t="s">
        <v>634</v>
      </c>
      <c r="IRJ202" s="661"/>
      <c r="IRK202" s="661"/>
      <c r="IRL202" s="661"/>
      <c r="IRM202" s="661"/>
      <c r="IRN202" s="661"/>
      <c r="IRO202" s="661"/>
      <c r="IRP202" s="661"/>
      <c r="IRQ202" s="661"/>
      <c r="IRR202" s="661"/>
      <c r="IRS202" s="661"/>
      <c r="IRT202" s="661"/>
      <c r="IRU202" s="661"/>
      <c r="IRV202" s="661"/>
      <c r="IRW202" s="661"/>
      <c r="IRX202" s="661"/>
      <c r="IRY202" s="660" t="s">
        <v>634</v>
      </c>
      <c r="IRZ202" s="661"/>
      <c r="ISA202" s="661"/>
      <c r="ISB202" s="661"/>
      <c r="ISC202" s="661"/>
      <c r="ISD202" s="661"/>
      <c r="ISE202" s="661"/>
      <c r="ISF202" s="661"/>
      <c r="ISG202" s="661"/>
      <c r="ISH202" s="661"/>
      <c r="ISI202" s="661"/>
      <c r="ISJ202" s="661"/>
      <c r="ISK202" s="661"/>
      <c r="ISL202" s="661"/>
      <c r="ISM202" s="661"/>
      <c r="ISN202" s="661"/>
      <c r="ISO202" s="660" t="s">
        <v>634</v>
      </c>
      <c r="ISP202" s="661"/>
      <c r="ISQ202" s="661"/>
      <c r="ISR202" s="661"/>
      <c r="ISS202" s="661"/>
      <c r="IST202" s="661"/>
      <c r="ISU202" s="661"/>
      <c r="ISV202" s="661"/>
      <c r="ISW202" s="661"/>
      <c r="ISX202" s="661"/>
      <c r="ISY202" s="661"/>
      <c r="ISZ202" s="661"/>
      <c r="ITA202" s="661"/>
      <c r="ITB202" s="661"/>
      <c r="ITC202" s="661"/>
      <c r="ITD202" s="661"/>
      <c r="ITE202" s="660" t="s">
        <v>634</v>
      </c>
      <c r="ITF202" s="661"/>
      <c r="ITG202" s="661"/>
      <c r="ITH202" s="661"/>
      <c r="ITI202" s="661"/>
      <c r="ITJ202" s="661"/>
      <c r="ITK202" s="661"/>
      <c r="ITL202" s="661"/>
      <c r="ITM202" s="661"/>
      <c r="ITN202" s="661"/>
      <c r="ITO202" s="661"/>
      <c r="ITP202" s="661"/>
      <c r="ITQ202" s="661"/>
      <c r="ITR202" s="661"/>
      <c r="ITS202" s="661"/>
      <c r="ITT202" s="661"/>
      <c r="ITU202" s="660" t="s">
        <v>634</v>
      </c>
      <c r="ITV202" s="661"/>
      <c r="ITW202" s="661"/>
      <c r="ITX202" s="661"/>
      <c r="ITY202" s="661"/>
      <c r="ITZ202" s="661"/>
      <c r="IUA202" s="661"/>
      <c r="IUB202" s="661"/>
      <c r="IUC202" s="661"/>
      <c r="IUD202" s="661"/>
      <c r="IUE202" s="661"/>
      <c r="IUF202" s="661"/>
      <c r="IUG202" s="661"/>
      <c r="IUH202" s="661"/>
      <c r="IUI202" s="661"/>
      <c r="IUJ202" s="661"/>
      <c r="IUK202" s="660" t="s">
        <v>634</v>
      </c>
      <c r="IUL202" s="661"/>
      <c r="IUM202" s="661"/>
      <c r="IUN202" s="661"/>
      <c r="IUO202" s="661"/>
      <c r="IUP202" s="661"/>
      <c r="IUQ202" s="661"/>
      <c r="IUR202" s="661"/>
      <c r="IUS202" s="661"/>
      <c r="IUT202" s="661"/>
      <c r="IUU202" s="661"/>
      <c r="IUV202" s="661"/>
      <c r="IUW202" s="661"/>
      <c r="IUX202" s="661"/>
      <c r="IUY202" s="661"/>
      <c r="IUZ202" s="661"/>
      <c r="IVA202" s="660" t="s">
        <v>634</v>
      </c>
      <c r="IVB202" s="661"/>
      <c r="IVC202" s="661"/>
      <c r="IVD202" s="661"/>
      <c r="IVE202" s="661"/>
      <c r="IVF202" s="661"/>
      <c r="IVG202" s="661"/>
      <c r="IVH202" s="661"/>
      <c r="IVI202" s="661"/>
      <c r="IVJ202" s="661"/>
      <c r="IVK202" s="661"/>
      <c r="IVL202" s="661"/>
      <c r="IVM202" s="661"/>
      <c r="IVN202" s="661"/>
      <c r="IVO202" s="661"/>
      <c r="IVP202" s="661"/>
      <c r="IVQ202" s="660" t="s">
        <v>634</v>
      </c>
      <c r="IVR202" s="661"/>
      <c r="IVS202" s="661"/>
      <c r="IVT202" s="661"/>
      <c r="IVU202" s="661"/>
      <c r="IVV202" s="661"/>
      <c r="IVW202" s="661"/>
      <c r="IVX202" s="661"/>
      <c r="IVY202" s="661"/>
      <c r="IVZ202" s="661"/>
      <c r="IWA202" s="661"/>
      <c r="IWB202" s="661"/>
      <c r="IWC202" s="661"/>
      <c r="IWD202" s="661"/>
      <c r="IWE202" s="661"/>
      <c r="IWF202" s="661"/>
      <c r="IWG202" s="660" t="s">
        <v>634</v>
      </c>
      <c r="IWH202" s="661"/>
      <c r="IWI202" s="661"/>
      <c r="IWJ202" s="661"/>
      <c r="IWK202" s="661"/>
      <c r="IWL202" s="661"/>
      <c r="IWM202" s="661"/>
      <c r="IWN202" s="661"/>
      <c r="IWO202" s="661"/>
      <c r="IWP202" s="661"/>
      <c r="IWQ202" s="661"/>
      <c r="IWR202" s="661"/>
      <c r="IWS202" s="661"/>
      <c r="IWT202" s="661"/>
      <c r="IWU202" s="661"/>
      <c r="IWV202" s="661"/>
      <c r="IWW202" s="660" t="s">
        <v>634</v>
      </c>
      <c r="IWX202" s="661"/>
      <c r="IWY202" s="661"/>
      <c r="IWZ202" s="661"/>
      <c r="IXA202" s="661"/>
      <c r="IXB202" s="661"/>
      <c r="IXC202" s="661"/>
      <c r="IXD202" s="661"/>
      <c r="IXE202" s="661"/>
      <c r="IXF202" s="661"/>
      <c r="IXG202" s="661"/>
      <c r="IXH202" s="661"/>
      <c r="IXI202" s="661"/>
      <c r="IXJ202" s="661"/>
      <c r="IXK202" s="661"/>
      <c r="IXL202" s="661"/>
      <c r="IXM202" s="660" t="s">
        <v>634</v>
      </c>
      <c r="IXN202" s="661"/>
      <c r="IXO202" s="661"/>
      <c r="IXP202" s="661"/>
      <c r="IXQ202" s="661"/>
      <c r="IXR202" s="661"/>
      <c r="IXS202" s="661"/>
      <c r="IXT202" s="661"/>
      <c r="IXU202" s="661"/>
      <c r="IXV202" s="661"/>
      <c r="IXW202" s="661"/>
      <c r="IXX202" s="661"/>
      <c r="IXY202" s="661"/>
      <c r="IXZ202" s="661"/>
      <c r="IYA202" s="661"/>
      <c r="IYB202" s="661"/>
      <c r="IYC202" s="660" t="s">
        <v>634</v>
      </c>
      <c r="IYD202" s="661"/>
      <c r="IYE202" s="661"/>
      <c r="IYF202" s="661"/>
      <c r="IYG202" s="661"/>
      <c r="IYH202" s="661"/>
      <c r="IYI202" s="661"/>
      <c r="IYJ202" s="661"/>
      <c r="IYK202" s="661"/>
      <c r="IYL202" s="661"/>
      <c r="IYM202" s="661"/>
      <c r="IYN202" s="661"/>
      <c r="IYO202" s="661"/>
      <c r="IYP202" s="661"/>
      <c r="IYQ202" s="661"/>
      <c r="IYR202" s="661"/>
      <c r="IYS202" s="660" t="s">
        <v>634</v>
      </c>
      <c r="IYT202" s="661"/>
      <c r="IYU202" s="661"/>
      <c r="IYV202" s="661"/>
      <c r="IYW202" s="661"/>
      <c r="IYX202" s="661"/>
      <c r="IYY202" s="661"/>
      <c r="IYZ202" s="661"/>
      <c r="IZA202" s="661"/>
      <c r="IZB202" s="661"/>
      <c r="IZC202" s="661"/>
      <c r="IZD202" s="661"/>
      <c r="IZE202" s="661"/>
      <c r="IZF202" s="661"/>
      <c r="IZG202" s="661"/>
      <c r="IZH202" s="661"/>
      <c r="IZI202" s="660" t="s">
        <v>634</v>
      </c>
      <c r="IZJ202" s="661"/>
      <c r="IZK202" s="661"/>
      <c r="IZL202" s="661"/>
      <c r="IZM202" s="661"/>
      <c r="IZN202" s="661"/>
      <c r="IZO202" s="661"/>
      <c r="IZP202" s="661"/>
      <c r="IZQ202" s="661"/>
      <c r="IZR202" s="661"/>
      <c r="IZS202" s="661"/>
      <c r="IZT202" s="661"/>
      <c r="IZU202" s="661"/>
      <c r="IZV202" s="661"/>
      <c r="IZW202" s="661"/>
      <c r="IZX202" s="661"/>
      <c r="IZY202" s="660" t="s">
        <v>634</v>
      </c>
      <c r="IZZ202" s="661"/>
      <c r="JAA202" s="661"/>
      <c r="JAB202" s="661"/>
      <c r="JAC202" s="661"/>
      <c r="JAD202" s="661"/>
      <c r="JAE202" s="661"/>
      <c r="JAF202" s="661"/>
      <c r="JAG202" s="661"/>
      <c r="JAH202" s="661"/>
      <c r="JAI202" s="661"/>
      <c r="JAJ202" s="661"/>
      <c r="JAK202" s="661"/>
      <c r="JAL202" s="661"/>
      <c r="JAM202" s="661"/>
      <c r="JAN202" s="661"/>
      <c r="JAO202" s="660" t="s">
        <v>634</v>
      </c>
      <c r="JAP202" s="661"/>
      <c r="JAQ202" s="661"/>
      <c r="JAR202" s="661"/>
      <c r="JAS202" s="661"/>
      <c r="JAT202" s="661"/>
      <c r="JAU202" s="661"/>
      <c r="JAV202" s="661"/>
      <c r="JAW202" s="661"/>
      <c r="JAX202" s="661"/>
      <c r="JAY202" s="661"/>
      <c r="JAZ202" s="661"/>
      <c r="JBA202" s="661"/>
      <c r="JBB202" s="661"/>
      <c r="JBC202" s="661"/>
      <c r="JBD202" s="661"/>
      <c r="JBE202" s="660" t="s">
        <v>634</v>
      </c>
      <c r="JBF202" s="661"/>
      <c r="JBG202" s="661"/>
      <c r="JBH202" s="661"/>
      <c r="JBI202" s="661"/>
      <c r="JBJ202" s="661"/>
      <c r="JBK202" s="661"/>
      <c r="JBL202" s="661"/>
      <c r="JBM202" s="661"/>
      <c r="JBN202" s="661"/>
      <c r="JBO202" s="661"/>
      <c r="JBP202" s="661"/>
      <c r="JBQ202" s="661"/>
      <c r="JBR202" s="661"/>
      <c r="JBS202" s="661"/>
      <c r="JBT202" s="661"/>
      <c r="JBU202" s="660" t="s">
        <v>634</v>
      </c>
      <c r="JBV202" s="661"/>
      <c r="JBW202" s="661"/>
      <c r="JBX202" s="661"/>
      <c r="JBY202" s="661"/>
      <c r="JBZ202" s="661"/>
      <c r="JCA202" s="661"/>
      <c r="JCB202" s="661"/>
      <c r="JCC202" s="661"/>
      <c r="JCD202" s="661"/>
      <c r="JCE202" s="661"/>
      <c r="JCF202" s="661"/>
      <c r="JCG202" s="661"/>
      <c r="JCH202" s="661"/>
      <c r="JCI202" s="661"/>
      <c r="JCJ202" s="661"/>
      <c r="JCK202" s="660" t="s">
        <v>634</v>
      </c>
      <c r="JCL202" s="661"/>
      <c r="JCM202" s="661"/>
      <c r="JCN202" s="661"/>
      <c r="JCO202" s="661"/>
      <c r="JCP202" s="661"/>
      <c r="JCQ202" s="661"/>
      <c r="JCR202" s="661"/>
      <c r="JCS202" s="661"/>
      <c r="JCT202" s="661"/>
      <c r="JCU202" s="661"/>
      <c r="JCV202" s="661"/>
      <c r="JCW202" s="661"/>
      <c r="JCX202" s="661"/>
      <c r="JCY202" s="661"/>
      <c r="JCZ202" s="661"/>
      <c r="JDA202" s="660" t="s">
        <v>634</v>
      </c>
      <c r="JDB202" s="661"/>
      <c r="JDC202" s="661"/>
      <c r="JDD202" s="661"/>
      <c r="JDE202" s="661"/>
      <c r="JDF202" s="661"/>
      <c r="JDG202" s="661"/>
      <c r="JDH202" s="661"/>
      <c r="JDI202" s="661"/>
      <c r="JDJ202" s="661"/>
      <c r="JDK202" s="661"/>
      <c r="JDL202" s="661"/>
      <c r="JDM202" s="661"/>
      <c r="JDN202" s="661"/>
      <c r="JDO202" s="661"/>
      <c r="JDP202" s="661"/>
      <c r="JDQ202" s="660" t="s">
        <v>634</v>
      </c>
      <c r="JDR202" s="661"/>
      <c r="JDS202" s="661"/>
      <c r="JDT202" s="661"/>
      <c r="JDU202" s="661"/>
      <c r="JDV202" s="661"/>
      <c r="JDW202" s="661"/>
      <c r="JDX202" s="661"/>
      <c r="JDY202" s="661"/>
      <c r="JDZ202" s="661"/>
      <c r="JEA202" s="661"/>
      <c r="JEB202" s="661"/>
      <c r="JEC202" s="661"/>
      <c r="JED202" s="661"/>
      <c r="JEE202" s="661"/>
      <c r="JEF202" s="661"/>
      <c r="JEG202" s="660" t="s">
        <v>634</v>
      </c>
      <c r="JEH202" s="661"/>
      <c r="JEI202" s="661"/>
      <c r="JEJ202" s="661"/>
      <c r="JEK202" s="661"/>
      <c r="JEL202" s="661"/>
      <c r="JEM202" s="661"/>
      <c r="JEN202" s="661"/>
      <c r="JEO202" s="661"/>
      <c r="JEP202" s="661"/>
      <c r="JEQ202" s="661"/>
      <c r="JER202" s="661"/>
      <c r="JES202" s="661"/>
      <c r="JET202" s="661"/>
      <c r="JEU202" s="661"/>
      <c r="JEV202" s="661"/>
      <c r="JEW202" s="660" t="s">
        <v>634</v>
      </c>
      <c r="JEX202" s="661"/>
      <c r="JEY202" s="661"/>
      <c r="JEZ202" s="661"/>
      <c r="JFA202" s="661"/>
      <c r="JFB202" s="661"/>
      <c r="JFC202" s="661"/>
      <c r="JFD202" s="661"/>
      <c r="JFE202" s="661"/>
      <c r="JFF202" s="661"/>
      <c r="JFG202" s="661"/>
      <c r="JFH202" s="661"/>
      <c r="JFI202" s="661"/>
      <c r="JFJ202" s="661"/>
      <c r="JFK202" s="661"/>
      <c r="JFL202" s="661"/>
      <c r="JFM202" s="660" t="s">
        <v>634</v>
      </c>
      <c r="JFN202" s="661"/>
      <c r="JFO202" s="661"/>
      <c r="JFP202" s="661"/>
      <c r="JFQ202" s="661"/>
      <c r="JFR202" s="661"/>
      <c r="JFS202" s="661"/>
      <c r="JFT202" s="661"/>
      <c r="JFU202" s="661"/>
      <c r="JFV202" s="661"/>
      <c r="JFW202" s="661"/>
      <c r="JFX202" s="661"/>
      <c r="JFY202" s="661"/>
      <c r="JFZ202" s="661"/>
      <c r="JGA202" s="661"/>
      <c r="JGB202" s="661"/>
      <c r="JGC202" s="660" t="s">
        <v>634</v>
      </c>
      <c r="JGD202" s="661"/>
      <c r="JGE202" s="661"/>
      <c r="JGF202" s="661"/>
      <c r="JGG202" s="661"/>
      <c r="JGH202" s="661"/>
      <c r="JGI202" s="661"/>
      <c r="JGJ202" s="661"/>
      <c r="JGK202" s="661"/>
      <c r="JGL202" s="661"/>
      <c r="JGM202" s="661"/>
      <c r="JGN202" s="661"/>
      <c r="JGO202" s="661"/>
      <c r="JGP202" s="661"/>
      <c r="JGQ202" s="661"/>
      <c r="JGR202" s="661"/>
      <c r="JGS202" s="660" t="s">
        <v>634</v>
      </c>
      <c r="JGT202" s="661"/>
      <c r="JGU202" s="661"/>
      <c r="JGV202" s="661"/>
      <c r="JGW202" s="661"/>
      <c r="JGX202" s="661"/>
      <c r="JGY202" s="661"/>
      <c r="JGZ202" s="661"/>
      <c r="JHA202" s="661"/>
      <c r="JHB202" s="661"/>
      <c r="JHC202" s="661"/>
      <c r="JHD202" s="661"/>
      <c r="JHE202" s="661"/>
      <c r="JHF202" s="661"/>
      <c r="JHG202" s="661"/>
      <c r="JHH202" s="661"/>
      <c r="JHI202" s="660" t="s">
        <v>634</v>
      </c>
      <c r="JHJ202" s="661"/>
      <c r="JHK202" s="661"/>
      <c r="JHL202" s="661"/>
      <c r="JHM202" s="661"/>
      <c r="JHN202" s="661"/>
      <c r="JHO202" s="661"/>
      <c r="JHP202" s="661"/>
      <c r="JHQ202" s="661"/>
      <c r="JHR202" s="661"/>
      <c r="JHS202" s="661"/>
      <c r="JHT202" s="661"/>
      <c r="JHU202" s="661"/>
      <c r="JHV202" s="661"/>
      <c r="JHW202" s="661"/>
      <c r="JHX202" s="661"/>
      <c r="JHY202" s="660" t="s">
        <v>634</v>
      </c>
      <c r="JHZ202" s="661"/>
      <c r="JIA202" s="661"/>
      <c r="JIB202" s="661"/>
      <c r="JIC202" s="661"/>
      <c r="JID202" s="661"/>
      <c r="JIE202" s="661"/>
      <c r="JIF202" s="661"/>
      <c r="JIG202" s="661"/>
      <c r="JIH202" s="661"/>
      <c r="JII202" s="661"/>
      <c r="JIJ202" s="661"/>
      <c r="JIK202" s="661"/>
      <c r="JIL202" s="661"/>
      <c r="JIM202" s="661"/>
      <c r="JIN202" s="661"/>
      <c r="JIO202" s="660" t="s">
        <v>634</v>
      </c>
      <c r="JIP202" s="661"/>
      <c r="JIQ202" s="661"/>
      <c r="JIR202" s="661"/>
      <c r="JIS202" s="661"/>
      <c r="JIT202" s="661"/>
      <c r="JIU202" s="661"/>
      <c r="JIV202" s="661"/>
      <c r="JIW202" s="661"/>
      <c r="JIX202" s="661"/>
      <c r="JIY202" s="661"/>
      <c r="JIZ202" s="661"/>
      <c r="JJA202" s="661"/>
      <c r="JJB202" s="661"/>
      <c r="JJC202" s="661"/>
      <c r="JJD202" s="661"/>
      <c r="JJE202" s="660" t="s">
        <v>634</v>
      </c>
      <c r="JJF202" s="661"/>
      <c r="JJG202" s="661"/>
      <c r="JJH202" s="661"/>
      <c r="JJI202" s="661"/>
      <c r="JJJ202" s="661"/>
      <c r="JJK202" s="661"/>
      <c r="JJL202" s="661"/>
      <c r="JJM202" s="661"/>
      <c r="JJN202" s="661"/>
      <c r="JJO202" s="661"/>
      <c r="JJP202" s="661"/>
      <c r="JJQ202" s="661"/>
      <c r="JJR202" s="661"/>
      <c r="JJS202" s="661"/>
      <c r="JJT202" s="661"/>
      <c r="JJU202" s="660" t="s">
        <v>634</v>
      </c>
      <c r="JJV202" s="661"/>
      <c r="JJW202" s="661"/>
      <c r="JJX202" s="661"/>
      <c r="JJY202" s="661"/>
      <c r="JJZ202" s="661"/>
      <c r="JKA202" s="661"/>
      <c r="JKB202" s="661"/>
      <c r="JKC202" s="661"/>
      <c r="JKD202" s="661"/>
      <c r="JKE202" s="661"/>
      <c r="JKF202" s="661"/>
      <c r="JKG202" s="661"/>
      <c r="JKH202" s="661"/>
      <c r="JKI202" s="661"/>
      <c r="JKJ202" s="661"/>
      <c r="JKK202" s="660" t="s">
        <v>634</v>
      </c>
      <c r="JKL202" s="661"/>
      <c r="JKM202" s="661"/>
      <c r="JKN202" s="661"/>
      <c r="JKO202" s="661"/>
      <c r="JKP202" s="661"/>
      <c r="JKQ202" s="661"/>
      <c r="JKR202" s="661"/>
      <c r="JKS202" s="661"/>
      <c r="JKT202" s="661"/>
      <c r="JKU202" s="661"/>
      <c r="JKV202" s="661"/>
      <c r="JKW202" s="661"/>
      <c r="JKX202" s="661"/>
      <c r="JKY202" s="661"/>
      <c r="JKZ202" s="661"/>
      <c r="JLA202" s="660" t="s">
        <v>634</v>
      </c>
      <c r="JLB202" s="661"/>
      <c r="JLC202" s="661"/>
      <c r="JLD202" s="661"/>
      <c r="JLE202" s="661"/>
      <c r="JLF202" s="661"/>
      <c r="JLG202" s="661"/>
      <c r="JLH202" s="661"/>
      <c r="JLI202" s="661"/>
      <c r="JLJ202" s="661"/>
      <c r="JLK202" s="661"/>
      <c r="JLL202" s="661"/>
      <c r="JLM202" s="661"/>
      <c r="JLN202" s="661"/>
      <c r="JLO202" s="661"/>
      <c r="JLP202" s="661"/>
      <c r="JLQ202" s="660" t="s">
        <v>634</v>
      </c>
      <c r="JLR202" s="661"/>
      <c r="JLS202" s="661"/>
      <c r="JLT202" s="661"/>
      <c r="JLU202" s="661"/>
      <c r="JLV202" s="661"/>
      <c r="JLW202" s="661"/>
      <c r="JLX202" s="661"/>
      <c r="JLY202" s="661"/>
      <c r="JLZ202" s="661"/>
      <c r="JMA202" s="661"/>
      <c r="JMB202" s="661"/>
      <c r="JMC202" s="661"/>
      <c r="JMD202" s="661"/>
      <c r="JME202" s="661"/>
      <c r="JMF202" s="661"/>
      <c r="JMG202" s="660" t="s">
        <v>634</v>
      </c>
      <c r="JMH202" s="661"/>
      <c r="JMI202" s="661"/>
      <c r="JMJ202" s="661"/>
      <c r="JMK202" s="661"/>
      <c r="JML202" s="661"/>
      <c r="JMM202" s="661"/>
      <c r="JMN202" s="661"/>
      <c r="JMO202" s="661"/>
      <c r="JMP202" s="661"/>
      <c r="JMQ202" s="661"/>
      <c r="JMR202" s="661"/>
      <c r="JMS202" s="661"/>
      <c r="JMT202" s="661"/>
      <c r="JMU202" s="661"/>
      <c r="JMV202" s="661"/>
      <c r="JMW202" s="660" t="s">
        <v>634</v>
      </c>
      <c r="JMX202" s="661"/>
      <c r="JMY202" s="661"/>
      <c r="JMZ202" s="661"/>
      <c r="JNA202" s="661"/>
      <c r="JNB202" s="661"/>
      <c r="JNC202" s="661"/>
      <c r="JND202" s="661"/>
      <c r="JNE202" s="661"/>
      <c r="JNF202" s="661"/>
      <c r="JNG202" s="661"/>
      <c r="JNH202" s="661"/>
      <c r="JNI202" s="661"/>
      <c r="JNJ202" s="661"/>
      <c r="JNK202" s="661"/>
      <c r="JNL202" s="661"/>
      <c r="JNM202" s="660" t="s">
        <v>634</v>
      </c>
      <c r="JNN202" s="661"/>
      <c r="JNO202" s="661"/>
      <c r="JNP202" s="661"/>
      <c r="JNQ202" s="661"/>
      <c r="JNR202" s="661"/>
      <c r="JNS202" s="661"/>
      <c r="JNT202" s="661"/>
      <c r="JNU202" s="661"/>
      <c r="JNV202" s="661"/>
      <c r="JNW202" s="661"/>
      <c r="JNX202" s="661"/>
      <c r="JNY202" s="661"/>
      <c r="JNZ202" s="661"/>
      <c r="JOA202" s="661"/>
      <c r="JOB202" s="661"/>
      <c r="JOC202" s="660" t="s">
        <v>634</v>
      </c>
      <c r="JOD202" s="661"/>
      <c r="JOE202" s="661"/>
      <c r="JOF202" s="661"/>
      <c r="JOG202" s="661"/>
      <c r="JOH202" s="661"/>
      <c r="JOI202" s="661"/>
      <c r="JOJ202" s="661"/>
      <c r="JOK202" s="661"/>
      <c r="JOL202" s="661"/>
      <c r="JOM202" s="661"/>
      <c r="JON202" s="661"/>
      <c r="JOO202" s="661"/>
      <c r="JOP202" s="661"/>
      <c r="JOQ202" s="661"/>
      <c r="JOR202" s="661"/>
      <c r="JOS202" s="660" t="s">
        <v>634</v>
      </c>
      <c r="JOT202" s="661"/>
      <c r="JOU202" s="661"/>
      <c r="JOV202" s="661"/>
      <c r="JOW202" s="661"/>
      <c r="JOX202" s="661"/>
      <c r="JOY202" s="661"/>
      <c r="JOZ202" s="661"/>
      <c r="JPA202" s="661"/>
      <c r="JPB202" s="661"/>
      <c r="JPC202" s="661"/>
      <c r="JPD202" s="661"/>
      <c r="JPE202" s="661"/>
      <c r="JPF202" s="661"/>
      <c r="JPG202" s="661"/>
      <c r="JPH202" s="661"/>
      <c r="JPI202" s="660" t="s">
        <v>634</v>
      </c>
      <c r="JPJ202" s="661"/>
      <c r="JPK202" s="661"/>
      <c r="JPL202" s="661"/>
      <c r="JPM202" s="661"/>
      <c r="JPN202" s="661"/>
      <c r="JPO202" s="661"/>
      <c r="JPP202" s="661"/>
      <c r="JPQ202" s="661"/>
      <c r="JPR202" s="661"/>
      <c r="JPS202" s="661"/>
      <c r="JPT202" s="661"/>
      <c r="JPU202" s="661"/>
      <c r="JPV202" s="661"/>
      <c r="JPW202" s="661"/>
      <c r="JPX202" s="661"/>
      <c r="JPY202" s="660" t="s">
        <v>634</v>
      </c>
      <c r="JPZ202" s="661"/>
      <c r="JQA202" s="661"/>
      <c r="JQB202" s="661"/>
      <c r="JQC202" s="661"/>
      <c r="JQD202" s="661"/>
      <c r="JQE202" s="661"/>
      <c r="JQF202" s="661"/>
      <c r="JQG202" s="661"/>
      <c r="JQH202" s="661"/>
      <c r="JQI202" s="661"/>
      <c r="JQJ202" s="661"/>
      <c r="JQK202" s="661"/>
      <c r="JQL202" s="661"/>
      <c r="JQM202" s="661"/>
      <c r="JQN202" s="661"/>
      <c r="JQO202" s="660" t="s">
        <v>634</v>
      </c>
      <c r="JQP202" s="661"/>
      <c r="JQQ202" s="661"/>
      <c r="JQR202" s="661"/>
      <c r="JQS202" s="661"/>
      <c r="JQT202" s="661"/>
      <c r="JQU202" s="661"/>
      <c r="JQV202" s="661"/>
      <c r="JQW202" s="661"/>
      <c r="JQX202" s="661"/>
      <c r="JQY202" s="661"/>
      <c r="JQZ202" s="661"/>
      <c r="JRA202" s="661"/>
      <c r="JRB202" s="661"/>
      <c r="JRC202" s="661"/>
      <c r="JRD202" s="661"/>
      <c r="JRE202" s="660" t="s">
        <v>634</v>
      </c>
      <c r="JRF202" s="661"/>
      <c r="JRG202" s="661"/>
      <c r="JRH202" s="661"/>
      <c r="JRI202" s="661"/>
      <c r="JRJ202" s="661"/>
      <c r="JRK202" s="661"/>
      <c r="JRL202" s="661"/>
      <c r="JRM202" s="661"/>
      <c r="JRN202" s="661"/>
      <c r="JRO202" s="661"/>
      <c r="JRP202" s="661"/>
      <c r="JRQ202" s="661"/>
      <c r="JRR202" s="661"/>
      <c r="JRS202" s="661"/>
      <c r="JRT202" s="661"/>
      <c r="JRU202" s="660" t="s">
        <v>634</v>
      </c>
      <c r="JRV202" s="661"/>
      <c r="JRW202" s="661"/>
      <c r="JRX202" s="661"/>
      <c r="JRY202" s="661"/>
      <c r="JRZ202" s="661"/>
      <c r="JSA202" s="661"/>
      <c r="JSB202" s="661"/>
      <c r="JSC202" s="661"/>
      <c r="JSD202" s="661"/>
      <c r="JSE202" s="661"/>
      <c r="JSF202" s="661"/>
      <c r="JSG202" s="661"/>
      <c r="JSH202" s="661"/>
      <c r="JSI202" s="661"/>
      <c r="JSJ202" s="661"/>
      <c r="JSK202" s="660" t="s">
        <v>634</v>
      </c>
      <c r="JSL202" s="661"/>
      <c r="JSM202" s="661"/>
      <c r="JSN202" s="661"/>
      <c r="JSO202" s="661"/>
      <c r="JSP202" s="661"/>
      <c r="JSQ202" s="661"/>
      <c r="JSR202" s="661"/>
      <c r="JSS202" s="661"/>
      <c r="JST202" s="661"/>
      <c r="JSU202" s="661"/>
      <c r="JSV202" s="661"/>
      <c r="JSW202" s="661"/>
      <c r="JSX202" s="661"/>
      <c r="JSY202" s="661"/>
      <c r="JSZ202" s="661"/>
      <c r="JTA202" s="660" t="s">
        <v>634</v>
      </c>
      <c r="JTB202" s="661"/>
      <c r="JTC202" s="661"/>
      <c r="JTD202" s="661"/>
      <c r="JTE202" s="661"/>
      <c r="JTF202" s="661"/>
      <c r="JTG202" s="661"/>
      <c r="JTH202" s="661"/>
      <c r="JTI202" s="661"/>
      <c r="JTJ202" s="661"/>
      <c r="JTK202" s="661"/>
      <c r="JTL202" s="661"/>
      <c r="JTM202" s="661"/>
      <c r="JTN202" s="661"/>
      <c r="JTO202" s="661"/>
      <c r="JTP202" s="661"/>
      <c r="JTQ202" s="660" t="s">
        <v>634</v>
      </c>
      <c r="JTR202" s="661"/>
      <c r="JTS202" s="661"/>
      <c r="JTT202" s="661"/>
      <c r="JTU202" s="661"/>
      <c r="JTV202" s="661"/>
      <c r="JTW202" s="661"/>
      <c r="JTX202" s="661"/>
      <c r="JTY202" s="661"/>
      <c r="JTZ202" s="661"/>
      <c r="JUA202" s="661"/>
      <c r="JUB202" s="661"/>
      <c r="JUC202" s="661"/>
      <c r="JUD202" s="661"/>
      <c r="JUE202" s="661"/>
      <c r="JUF202" s="661"/>
      <c r="JUG202" s="660" t="s">
        <v>634</v>
      </c>
      <c r="JUH202" s="661"/>
      <c r="JUI202" s="661"/>
      <c r="JUJ202" s="661"/>
      <c r="JUK202" s="661"/>
      <c r="JUL202" s="661"/>
      <c r="JUM202" s="661"/>
      <c r="JUN202" s="661"/>
      <c r="JUO202" s="661"/>
      <c r="JUP202" s="661"/>
      <c r="JUQ202" s="661"/>
      <c r="JUR202" s="661"/>
      <c r="JUS202" s="661"/>
      <c r="JUT202" s="661"/>
      <c r="JUU202" s="661"/>
      <c r="JUV202" s="661"/>
      <c r="JUW202" s="660" t="s">
        <v>634</v>
      </c>
      <c r="JUX202" s="661"/>
      <c r="JUY202" s="661"/>
      <c r="JUZ202" s="661"/>
      <c r="JVA202" s="661"/>
      <c r="JVB202" s="661"/>
      <c r="JVC202" s="661"/>
      <c r="JVD202" s="661"/>
      <c r="JVE202" s="661"/>
      <c r="JVF202" s="661"/>
      <c r="JVG202" s="661"/>
      <c r="JVH202" s="661"/>
      <c r="JVI202" s="661"/>
      <c r="JVJ202" s="661"/>
      <c r="JVK202" s="661"/>
      <c r="JVL202" s="661"/>
      <c r="JVM202" s="660" t="s">
        <v>634</v>
      </c>
      <c r="JVN202" s="661"/>
      <c r="JVO202" s="661"/>
      <c r="JVP202" s="661"/>
      <c r="JVQ202" s="661"/>
      <c r="JVR202" s="661"/>
      <c r="JVS202" s="661"/>
      <c r="JVT202" s="661"/>
      <c r="JVU202" s="661"/>
      <c r="JVV202" s="661"/>
      <c r="JVW202" s="661"/>
      <c r="JVX202" s="661"/>
      <c r="JVY202" s="661"/>
      <c r="JVZ202" s="661"/>
      <c r="JWA202" s="661"/>
      <c r="JWB202" s="661"/>
      <c r="JWC202" s="660" t="s">
        <v>634</v>
      </c>
      <c r="JWD202" s="661"/>
      <c r="JWE202" s="661"/>
      <c r="JWF202" s="661"/>
      <c r="JWG202" s="661"/>
      <c r="JWH202" s="661"/>
      <c r="JWI202" s="661"/>
      <c r="JWJ202" s="661"/>
      <c r="JWK202" s="661"/>
      <c r="JWL202" s="661"/>
      <c r="JWM202" s="661"/>
      <c r="JWN202" s="661"/>
      <c r="JWO202" s="661"/>
      <c r="JWP202" s="661"/>
      <c r="JWQ202" s="661"/>
      <c r="JWR202" s="661"/>
      <c r="JWS202" s="660" t="s">
        <v>634</v>
      </c>
      <c r="JWT202" s="661"/>
      <c r="JWU202" s="661"/>
      <c r="JWV202" s="661"/>
      <c r="JWW202" s="661"/>
      <c r="JWX202" s="661"/>
      <c r="JWY202" s="661"/>
      <c r="JWZ202" s="661"/>
      <c r="JXA202" s="661"/>
      <c r="JXB202" s="661"/>
      <c r="JXC202" s="661"/>
      <c r="JXD202" s="661"/>
      <c r="JXE202" s="661"/>
      <c r="JXF202" s="661"/>
      <c r="JXG202" s="661"/>
      <c r="JXH202" s="661"/>
      <c r="JXI202" s="660" t="s">
        <v>634</v>
      </c>
      <c r="JXJ202" s="661"/>
      <c r="JXK202" s="661"/>
      <c r="JXL202" s="661"/>
      <c r="JXM202" s="661"/>
      <c r="JXN202" s="661"/>
      <c r="JXO202" s="661"/>
      <c r="JXP202" s="661"/>
      <c r="JXQ202" s="661"/>
      <c r="JXR202" s="661"/>
      <c r="JXS202" s="661"/>
      <c r="JXT202" s="661"/>
      <c r="JXU202" s="661"/>
      <c r="JXV202" s="661"/>
      <c r="JXW202" s="661"/>
      <c r="JXX202" s="661"/>
      <c r="JXY202" s="660" t="s">
        <v>634</v>
      </c>
      <c r="JXZ202" s="661"/>
      <c r="JYA202" s="661"/>
      <c r="JYB202" s="661"/>
      <c r="JYC202" s="661"/>
      <c r="JYD202" s="661"/>
      <c r="JYE202" s="661"/>
      <c r="JYF202" s="661"/>
      <c r="JYG202" s="661"/>
      <c r="JYH202" s="661"/>
      <c r="JYI202" s="661"/>
      <c r="JYJ202" s="661"/>
      <c r="JYK202" s="661"/>
      <c r="JYL202" s="661"/>
      <c r="JYM202" s="661"/>
      <c r="JYN202" s="661"/>
      <c r="JYO202" s="660" t="s">
        <v>634</v>
      </c>
      <c r="JYP202" s="661"/>
      <c r="JYQ202" s="661"/>
      <c r="JYR202" s="661"/>
      <c r="JYS202" s="661"/>
      <c r="JYT202" s="661"/>
      <c r="JYU202" s="661"/>
      <c r="JYV202" s="661"/>
      <c r="JYW202" s="661"/>
      <c r="JYX202" s="661"/>
      <c r="JYY202" s="661"/>
      <c r="JYZ202" s="661"/>
      <c r="JZA202" s="661"/>
      <c r="JZB202" s="661"/>
      <c r="JZC202" s="661"/>
      <c r="JZD202" s="661"/>
      <c r="JZE202" s="660" t="s">
        <v>634</v>
      </c>
      <c r="JZF202" s="661"/>
      <c r="JZG202" s="661"/>
      <c r="JZH202" s="661"/>
      <c r="JZI202" s="661"/>
      <c r="JZJ202" s="661"/>
      <c r="JZK202" s="661"/>
      <c r="JZL202" s="661"/>
      <c r="JZM202" s="661"/>
      <c r="JZN202" s="661"/>
      <c r="JZO202" s="661"/>
      <c r="JZP202" s="661"/>
      <c r="JZQ202" s="661"/>
      <c r="JZR202" s="661"/>
      <c r="JZS202" s="661"/>
      <c r="JZT202" s="661"/>
      <c r="JZU202" s="660" t="s">
        <v>634</v>
      </c>
      <c r="JZV202" s="661"/>
      <c r="JZW202" s="661"/>
      <c r="JZX202" s="661"/>
      <c r="JZY202" s="661"/>
      <c r="JZZ202" s="661"/>
      <c r="KAA202" s="661"/>
      <c r="KAB202" s="661"/>
      <c r="KAC202" s="661"/>
      <c r="KAD202" s="661"/>
      <c r="KAE202" s="661"/>
      <c r="KAF202" s="661"/>
      <c r="KAG202" s="661"/>
      <c r="KAH202" s="661"/>
      <c r="KAI202" s="661"/>
      <c r="KAJ202" s="661"/>
      <c r="KAK202" s="660" t="s">
        <v>634</v>
      </c>
      <c r="KAL202" s="661"/>
      <c r="KAM202" s="661"/>
      <c r="KAN202" s="661"/>
      <c r="KAO202" s="661"/>
      <c r="KAP202" s="661"/>
      <c r="KAQ202" s="661"/>
      <c r="KAR202" s="661"/>
      <c r="KAS202" s="661"/>
      <c r="KAT202" s="661"/>
      <c r="KAU202" s="661"/>
      <c r="KAV202" s="661"/>
      <c r="KAW202" s="661"/>
      <c r="KAX202" s="661"/>
      <c r="KAY202" s="661"/>
      <c r="KAZ202" s="661"/>
      <c r="KBA202" s="660" t="s">
        <v>634</v>
      </c>
      <c r="KBB202" s="661"/>
      <c r="KBC202" s="661"/>
      <c r="KBD202" s="661"/>
      <c r="KBE202" s="661"/>
      <c r="KBF202" s="661"/>
      <c r="KBG202" s="661"/>
      <c r="KBH202" s="661"/>
      <c r="KBI202" s="661"/>
      <c r="KBJ202" s="661"/>
      <c r="KBK202" s="661"/>
      <c r="KBL202" s="661"/>
      <c r="KBM202" s="661"/>
      <c r="KBN202" s="661"/>
      <c r="KBO202" s="661"/>
      <c r="KBP202" s="661"/>
      <c r="KBQ202" s="660" t="s">
        <v>634</v>
      </c>
      <c r="KBR202" s="661"/>
      <c r="KBS202" s="661"/>
      <c r="KBT202" s="661"/>
      <c r="KBU202" s="661"/>
      <c r="KBV202" s="661"/>
      <c r="KBW202" s="661"/>
      <c r="KBX202" s="661"/>
      <c r="KBY202" s="661"/>
      <c r="KBZ202" s="661"/>
      <c r="KCA202" s="661"/>
      <c r="KCB202" s="661"/>
      <c r="KCC202" s="661"/>
      <c r="KCD202" s="661"/>
      <c r="KCE202" s="661"/>
      <c r="KCF202" s="661"/>
      <c r="KCG202" s="660" t="s">
        <v>634</v>
      </c>
      <c r="KCH202" s="661"/>
      <c r="KCI202" s="661"/>
      <c r="KCJ202" s="661"/>
      <c r="KCK202" s="661"/>
      <c r="KCL202" s="661"/>
      <c r="KCM202" s="661"/>
      <c r="KCN202" s="661"/>
      <c r="KCO202" s="661"/>
      <c r="KCP202" s="661"/>
      <c r="KCQ202" s="661"/>
      <c r="KCR202" s="661"/>
      <c r="KCS202" s="661"/>
      <c r="KCT202" s="661"/>
      <c r="KCU202" s="661"/>
      <c r="KCV202" s="661"/>
      <c r="KCW202" s="660" t="s">
        <v>634</v>
      </c>
      <c r="KCX202" s="661"/>
      <c r="KCY202" s="661"/>
      <c r="KCZ202" s="661"/>
      <c r="KDA202" s="661"/>
      <c r="KDB202" s="661"/>
      <c r="KDC202" s="661"/>
      <c r="KDD202" s="661"/>
      <c r="KDE202" s="661"/>
      <c r="KDF202" s="661"/>
      <c r="KDG202" s="661"/>
      <c r="KDH202" s="661"/>
      <c r="KDI202" s="661"/>
      <c r="KDJ202" s="661"/>
      <c r="KDK202" s="661"/>
      <c r="KDL202" s="661"/>
      <c r="KDM202" s="660" t="s">
        <v>634</v>
      </c>
      <c r="KDN202" s="661"/>
      <c r="KDO202" s="661"/>
      <c r="KDP202" s="661"/>
      <c r="KDQ202" s="661"/>
      <c r="KDR202" s="661"/>
      <c r="KDS202" s="661"/>
      <c r="KDT202" s="661"/>
      <c r="KDU202" s="661"/>
      <c r="KDV202" s="661"/>
      <c r="KDW202" s="661"/>
      <c r="KDX202" s="661"/>
      <c r="KDY202" s="661"/>
      <c r="KDZ202" s="661"/>
      <c r="KEA202" s="661"/>
      <c r="KEB202" s="661"/>
      <c r="KEC202" s="660" t="s">
        <v>634</v>
      </c>
      <c r="KED202" s="661"/>
      <c r="KEE202" s="661"/>
      <c r="KEF202" s="661"/>
      <c r="KEG202" s="661"/>
      <c r="KEH202" s="661"/>
      <c r="KEI202" s="661"/>
      <c r="KEJ202" s="661"/>
      <c r="KEK202" s="661"/>
      <c r="KEL202" s="661"/>
      <c r="KEM202" s="661"/>
      <c r="KEN202" s="661"/>
      <c r="KEO202" s="661"/>
      <c r="KEP202" s="661"/>
      <c r="KEQ202" s="661"/>
      <c r="KER202" s="661"/>
      <c r="KES202" s="660" t="s">
        <v>634</v>
      </c>
      <c r="KET202" s="661"/>
      <c r="KEU202" s="661"/>
      <c r="KEV202" s="661"/>
      <c r="KEW202" s="661"/>
      <c r="KEX202" s="661"/>
      <c r="KEY202" s="661"/>
      <c r="KEZ202" s="661"/>
      <c r="KFA202" s="661"/>
      <c r="KFB202" s="661"/>
      <c r="KFC202" s="661"/>
      <c r="KFD202" s="661"/>
      <c r="KFE202" s="661"/>
      <c r="KFF202" s="661"/>
      <c r="KFG202" s="661"/>
      <c r="KFH202" s="661"/>
      <c r="KFI202" s="660" t="s">
        <v>634</v>
      </c>
      <c r="KFJ202" s="661"/>
      <c r="KFK202" s="661"/>
      <c r="KFL202" s="661"/>
      <c r="KFM202" s="661"/>
      <c r="KFN202" s="661"/>
      <c r="KFO202" s="661"/>
      <c r="KFP202" s="661"/>
      <c r="KFQ202" s="661"/>
      <c r="KFR202" s="661"/>
      <c r="KFS202" s="661"/>
      <c r="KFT202" s="661"/>
      <c r="KFU202" s="661"/>
      <c r="KFV202" s="661"/>
      <c r="KFW202" s="661"/>
      <c r="KFX202" s="661"/>
      <c r="KFY202" s="660" t="s">
        <v>634</v>
      </c>
      <c r="KFZ202" s="661"/>
      <c r="KGA202" s="661"/>
      <c r="KGB202" s="661"/>
      <c r="KGC202" s="661"/>
      <c r="KGD202" s="661"/>
      <c r="KGE202" s="661"/>
      <c r="KGF202" s="661"/>
      <c r="KGG202" s="661"/>
      <c r="KGH202" s="661"/>
      <c r="KGI202" s="661"/>
      <c r="KGJ202" s="661"/>
      <c r="KGK202" s="661"/>
      <c r="KGL202" s="661"/>
      <c r="KGM202" s="661"/>
      <c r="KGN202" s="661"/>
      <c r="KGO202" s="660" t="s">
        <v>634</v>
      </c>
      <c r="KGP202" s="661"/>
      <c r="KGQ202" s="661"/>
      <c r="KGR202" s="661"/>
      <c r="KGS202" s="661"/>
      <c r="KGT202" s="661"/>
      <c r="KGU202" s="661"/>
      <c r="KGV202" s="661"/>
      <c r="KGW202" s="661"/>
      <c r="KGX202" s="661"/>
      <c r="KGY202" s="661"/>
      <c r="KGZ202" s="661"/>
      <c r="KHA202" s="661"/>
      <c r="KHB202" s="661"/>
      <c r="KHC202" s="661"/>
      <c r="KHD202" s="661"/>
      <c r="KHE202" s="660" t="s">
        <v>634</v>
      </c>
      <c r="KHF202" s="661"/>
      <c r="KHG202" s="661"/>
      <c r="KHH202" s="661"/>
      <c r="KHI202" s="661"/>
      <c r="KHJ202" s="661"/>
      <c r="KHK202" s="661"/>
      <c r="KHL202" s="661"/>
      <c r="KHM202" s="661"/>
      <c r="KHN202" s="661"/>
      <c r="KHO202" s="661"/>
      <c r="KHP202" s="661"/>
      <c r="KHQ202" s="661"/>
      <c r="KHR202" s="661"/>
      <c r="KHS202" s="661"/>
      <c r="KHT202" s="661"/>
      <c r="KHU202" s="660" t="s">
        <v>634</v>
      </c>
      <c r="KHV202" s="661"/>
      <c r="KHW202" s="661"/>
      <c r="KHX202" s="661"/>
      <c r="KHY202" s="661"/>
      <c r="KHZ202" s="661"/>
      <c r="KIA202" s="661"/>
      <c r="KIB202" s="661"/>
      <c r="KIC202" s="661"/>
      <c r="KID202" s="661"/>
      <c r="KIE202" s="661"/>
      <c r="KIF202" s="661"/>
      <c r="KIG202" s="661"/>
      <c r="KIH202" s="661"/>
      <c r="KII202" s="661"/>
      <c r="KIJ202" s="661"/>
      <c r="KIK202" s="660" t="s">
        <v>634</v>
      </c>
      <c r="KIL202" s="661"/>
      <c r="KIM202" s="661"/>
      <c r="KIN202" s="661"/>
      <c r="KIO202" s="661"/>
      <c r="KIP202" s="661"/>
      <c r="KIQ202" s="661"/>
      <c r="KIR202" s="661"/>
      <c r="KIS202" s="661"/>
      <c r="KIT202" s="661"/>
      <c r="KIU202" s="661"/>
      <c r="KIV202" s="661"/>
      <c r="KIW202" s="661"/>
      <c r="KIX202" s="661"/>
      <c r="KIY202" s="661"/>
      <c r="KIZ202" s="661"/>
      <c r="KJA202" s="660" t="s">
        <v>634</v>
      </c>
      <c r="KJB202" s="661"/>
      <c r="KJC202" s="661"/>
      <c r="KJD202" s="661"/>
      <c r="KJE202" s="661"/>
      <c r="KJF202" s="661"/>
      <c r="KJG202" s="661"/>
      <c r="KJH202" s="661"/>
      <c r="KJI202" s="661"/>
      <c r="KJJ202" s="661"/>
      <c r="KJK202" s="661"/>
      <c r="KJL202" s="661"/>
      <c r="KJM202" s="661"/>
      <c r="KJN202" s="661"/>
      <c r="KJO202" s="661"/>
      <c r="KJP202" s="661"/>
      <c r="KJQ202" s="660" t="s">
        <v>634</v>
      </c>
      <c r="KJR202" s="661"/>
      <c r="KJS202" s="661"/>
      <c r="KJT202" s="661"/>
      <c r="KJU202" s="661"/>
      <c r="KJV202" s="661"/>
      <c r="KJW202" s="661"/>
      <c r="KJX202" s="661"/>
      <c r="KJY202" s="661"/>
      <c r="KJZ202" s="661"/>
      <c r="KKA202" s="661"/>
      <c r="KKB202" s="661"/>
      <c r="KKC202" s="661"/>
      <c r="KKD202" s="661"/>
      <c r="KKE202" s="661"/>
      <c r="KKF202" s="661"/>
      <c r="KKG202" s="660" t="s">
        <v>634</v>
      </c>
      <c r="KKH202" s="661"/>
      <c r="KKI202" s="661"/>
      <c r="KKJ202" s="661"/>
      <c r="KKK202" s="661"/>
      <c r="KKL202" s="661"/>
      <c r="KKM202" s="661"/>
      <c r="KKN202" s="661"/>
      <c r="KKO202" s="661"/>
      <c r="KKP202" s="661"/>
      <c r="KKQ202" s="661"/>
      <c r="KKR202" s="661"/>
      <c r="KKS202" s="661"/>
      <c r="KKT202" s="661"/>
      <c r="KKU202" s="661"/>
      <c r="KKV202" s="661"/>
      <c r="KKW202" s="660" t="s">
        <v>634</v>
      </c>
      <c r="KKX202" s="661"/>
      <c r="KKY202" s="661"/>
      <c r="KKZ202" s="661"/>
      <c r="KLA202" s="661"/>
      <c r="KLB202" s="661"/>
      <c r="KLC202" s="661"/>
      <c r="KLD202" s="661"/>
      <c r="KLE202" s="661"/>
      <c r="KLF202" s="661"/>
      <c r="KLG202" s="661"/>
      <c r="KLH202" s="661"/>
      <c r="KLI202" s="661"/>
      <c r="KLJ202" s="661"/>
      <c r="KLK202" s="661"/>
      <c r="KLL202" s="661"/>
      <c r="KLM202" s="660" t="s">
        <v>634</v>
      </c>
      <c r="KLN202" s="661"/>
      <c r="KLO202" s="661"/>
      <c r="KLP202" s="661"/>
      <c r="KLQ202" s="661"/>
      <c r="KLR202" s="661"/>
      <c r="KLS202" s="661"/>
      <c r="KLT202" s="661"/>
      <c r="KLU202" s="661"/>
      <c r="KLV202" s="661"/>
      <c r="KLW202" s="661"/>
      <c r="KLX202" s="661"/>
      <c r="KLY202" s="661"/>
      <c r="KLZ202" s="661"/>
      <c r="KMA202" s="661"/>
      <c r="KMB202" s="661"/>
      <c r="KMC202" s="660" t="s">
        <v>634</v>
      </c>
      <c r="KMD202" s="661"/>
      <c r="KME202" s="661"/>
      <c r="KMF202" s="661"/>
      <c r="KMG202" s="661"/>
      <c r="KMH202" s="661"/>
      <c r="KMI202" s="661"/>
      <c r="KMJ202" s="661"/>
      <c r="KMK202" s="661"/>
      <c r="KML202" s="661"/>
      <c r="KMM202" s="661"/>
      <c r="KMN202" s="661"/>
      <c r="KMO202" s="661"/>
      <c r="KMP202" s="661"/>
      <c r="KMQ202" s="661"/>
      <c r="KMR202" s="661"/>
      <c r="KMS202" s="660" t="s">
        <v>634</v>
      </c>
      <c r="KMT202" s="661"/>
      <c r="KMU202" s="661"/>
      <c r="KMV202" s="661"/>
      <c r="KMW202" s="661"/>
      <c r="KMX202" s="661"/>
      <c r="KMY202" s="661"/>
      <c r="KMZ202" s="661"/>
      <c r="KNA202" s="661"/>
      <c r="KNB202" s="661"/>
      <c r="KNC202" s="661"/>
      <c r="KND202" s="661"/>
      <c r="KNE202" s="661"/>
      <c r="KNF202" s="661"/>
      <c r="KNG202" s="661"/>
      <c r="KNH202" s="661"/>
      <c r="KNI202" s="660" t="s">
        <v>634</v>
      </c>
      <c r="KNJ202" s="661"/>
      <c r="KNK202" s="661"/>
      <c r="KNL202" s="661"/>
      <c r="KNM202" s="661"/>
      <c r="KNN202" s="661"/>
      <c r="KNO202" s="661"/>
      <c r="KNP202" s="661"/>
      <c r="KNQ202" s="661"/>
      <c r="KNR202" s="661"/>
      <c r="KNS202" s="661"/>
      <c r="KNT202" s="661"/>
      <c r="KNU202" s="661"/>
      <c r="KNV202" s="661"/>
      <c r="KNW202" s="661"/>
      <c r="KNX202" s="661"/>
      <c r="KNY202" s="660" t="s">
        <v>634</v>
      </c>
      <c r="KNZ202" s="661"/>
      <c r="KOA202" s="661"/>
      <c r="KOB202" s="661"/>
      <c r="KOC202" s="661"/>
      <c r="KOD202" s="661"/>
      <c r="KOE202" s="661"/>
      <c r="KOF202" s="661"/>
      <c r="KOG202" s="661"/>
      <c r="KOH202" s="661"/>
      <c r="KOI202" s="661"/>
      <c r="KOJ202" s="661"/>
      <c r="KOK202" s="661"/>
      <c r="KOL202" s="661"/>
      <c r="KOM202" s="661"/>
      <c r="KON202" s="661"/>
      <c r="KOO202" s="660" t="s">
        <v>634</v>
      </c>
      <c r="KOP202" s="661"/>
      <c r="KOQ202" s="661"/>
      <c r="KOR202" s="661"/>
      <c r="KOS202" s="661"/>
      <c r="KOT202" s="661"/>
      <c r="KOU202" s="661"/>
      <c r="KOV202" s="661"/>
      <c r="KOW202" s="661"/>
      <c r="KOX202" s="661"/>
      <c r="KOY202" s="661"/>
      <c r="KOZ202" s="661"/>
      <c r="KPA202" s="661"/>
      <c r="KPB202" s="661"/>
      <c r="KPC202" s="661"/>
      <c r="KPD202" s="661"/>
      <c r="KPE202" s="660" t="s">
        <v>634</v>
      </c>
      <c r="KPF202" s="661"/>
      <c r="KPG202" s="661"/>
      <c r="KPH202" s="661"/>
      <c r="KPI202" s="661"/>
      <c r="KPJ202" s="661"/>
      <c r="KPK202" s="661"/>
      <c r="KPL202" s="661"/>
      <c r="KPM202" s="661"/>
      <c r="KPN202" s="661"/>
      <c r="KPO202" s="661"/>
      <c r="KPP202" s="661"/>
      <c r="KPQ202" s="661"/>
      <c r="KPR202" s="661"/>
      <c r="KPS202" s="661"/>
      <c r="KPT202" s="661"/>
      <c r="KPU202" s="660" t="s">
        <v>634</v>
      </c>
      <c r="KPV202" s="661"/>
      <c r="KPW202" s="661"/>
      <c r="KPX202" s="661"/>
      <c r="KPY202" s="661"/>
      <c r="KPZ202" s="661"/>
      <c r="KQA202" s="661"/>
      <c r="KQB202" s="661"/>
      <c r="KQC202" s="661"/>
      <c r="KQD202" s="661"/>
      <c r="KQE202" s="661"/>
      <c r="KQF202" s="661"/>
      <c r="KQG202" s="661"/>
      <c r="KQH202" s="661"/>
      <c r="KQI202" s="661"/>
      <c r="KQJ202" s="661"/>
      <c r="KQK202" s="660" t="s">
        <v>634</v>
      </c>
      <c r="KQL202" s="661"/>
      <c r="KQM202" s="661"/>
      <c r="KQN202" s="661"/>
      <c r="KQO202" s="661"/>
      <c r="KQP202" s="661"/>
      <c r="KQQ202" s="661"/>
      <c r="KQR202" s="661"/>
      <c r="KQS202" s="661"/>
      <c r="KQT202" s="661"/>
      <c r="KQU202" s="661"/>
      <c r="KQV202" s="661"/>
      <c r="KQW202" s="661"/>
      <c r="KQX202" s="661"/>
      <c r="KQY202" s="661"/>
      <c r="KQZ202" s="661"/>
      <c r="KRA202" s="660" t="s">
        <v>634</v>
      </c>
      <c r="KRB202" s="661"/>
      <c r="KRC202" s="661"/>
      <c r="KRD202" s="661"/>
      <c r="KRE202" s="661"/>
      <c r="KRF202" s="661"/>
      <c r="KRG202" s="661"/>
      <c r="KRH202" s="661"/>
      <c r="KRI202" s="661"/>
      <c r="KRJ202" s="661"/>
      <c r="KRK202" s="661"/>
      <c r="KRL202" s="661"/>
      <c r="KRM202" s="661"/>
      <c r="KRN202" s="661"/>
      <c r="KRO202" s="661"/>
      <c r="KRP202" s="661"/>
      <c r="KRQ202" s="660" t="s">
        <v>634</v>
      </c>
      <c r="KRR202" s="661"/>
      <c r="KRS202" s="661"/>
      <c r="KRT202" s="661"/>
      <c r="KRU202" s="661"/>
      <c r="KRV202" s="661"/>
      <c r="KRW202" s="661"/>
      <c r="KRX202" s="661"/>
      <c r="KRY202" s="661"/>
      <c r="KRZ202" s="661"/>
      <c r="KSA202" s="661"/>
      <c r="KSB202" s="661"/>
      <c r="KSC202" s="661"/>
      <c r="KSD202" s="661"/>
      <c r="KSE202" s="661"/>
      <c r="KSF202" s="661"/>
      <c r="KSG202" s="660" t="s">
        <v>634</v>
      </c>
      <c r="KSH202" s="661"/>
      <c r="KSI202" s="661"/>
      <c r="KSJ202" s="661"/>
      <c r="KSK202" s="661"/>
      <c r="KSL202" s="661"/>
      <c r="KSM202" s="661"/>
      <c r="KSN202" s="661"/>
      <c r="KSO202" s="661"/>
      <c r="KSP202" s="661"/>
      <c r="KSQ202" s="661"/>
      <c r="KSR202" s="661"/>
      <c r="KSS202" s="661"/>
      <c r="KST202" s="661"/>
      <c r="KSU202" s="661"/>
      <c r="KSV202" s="661"/>
      <c r="KSW202" s="660" t="s">
        <v>634</v>
      </c>
      <c r="KSX202" s="661"/>
      <c r="KSY202" s="661"/>
      <c r="KSZ202" s="661"/>
      <c r="KTA202" s="661"/>
      <c r="KTB202" s="661"/>
      <c r="KTC202" s="661"/>
      <c r="KTD202" s="661"/>
      <c r="KTE202" s="661"/>
      <c r="KTF202" s="661"/>
      <c r="KTG202" s="661"/>
      <c r="KTH202" s="661"/>
      <c r="KTI202" s="661"/>
      <c r="KTJ202" s="661"/>
      <c r="KTK202" s="661"/>
      <c r="KTL202" s="661"/>
      <c r="KTM202" s="660" t="s">
        <v>634</v>
      </c>
      <c r="KTN202" s="661"/>
      <c r="KTO202" s="661"/>
      <c r="KTP202" s="661"/>
      <c r="KTQ202" s="661"/>
      <c r="KTR202" s="661"/>
      <c r="KTS202" s="661"/>
      <c r="KTT202" s="661"/>
      <c r="KTU202" s="661"/>
      <c r="KTV202" s="661"/>
      <c r="KTW202" s="661"/>
      <c r="KTX202" s="661"/>
      <c r="KTY202" s="661"/>
      <c r="KTZ202" s="661"/>
      <c r="KUA202" s="661"/>
      <c r="KUB202" s="661"/>
      <c r="KUC202" s="660" t="s">
        <v>634</v>
      </c>
      <c r="KUD202" s="661"/>
      <c r="KUE202" s="661"/>
      <c r="KUF202" s="661"/>
      <c r="KUG202" s="661"/>
      <c r="KUH202" s="661"/>
      <c r="KUI202" s="661"/>
      <c r="KUJ202" s="661"/>
      <c r="KUK202" s="661"/>
      <c r="KUL202" s="661"/>
      <c r="KUM202" s="661"/>
      <c r="KUN202" s="661"/>
      <c r="KUO202" s="661"/>
      <c r="KUP202" s="661"/>
      <c r="KUQ202" s="661"/>
      <c r="KUR202" s="661"/>
      <c r="KUS202" s="660" t="s">
        <v>634</v>
      </c>
      <c r="KUT202" s="661"/>
      <c r="KUU202" s="661"/>
      <c r="KUV202" s="661"/>
      <c r="KUW202" s="661"/>
      <c r="KUX202" s="661"/>
      <c r="KUY202" s="661"/>
      <c r="KUZ202" s="661"/>
      <c r="KVA202" s="661"/>
      <c r="KVB202" s="661"/>
      <c r="KVC202" s="661"/>
      <c r="KVD202" s="661"/>
      <c r="KVE202" s="661"/>
      <c r="KVF202" s="661"/>
      <c r="KVG202" s="661"/>
      <c r="KVH202" s="661"/>
      <c r="KVI202" s="660" t="s">
        <v>634</v>
      </c>
      <c r="KVJ202" s="661"/>
      <c r="KVK202" s="661"/>
      <c r="KVL202" s="661"/>
      <c r="KVM202" s="661"/>
      <c r="KVN202" s="661"/>
      <c r="KVO202" s="661"/>
      <c r="KVP202" s="661"/>
      <c r="KVQ202" s="661"/>
      <c r="KVR202" s="661"/>
      <c r="KVS202" s="661"/>
      <c r="KVT202" s="661"/>
      <c r="KVU202" s="661"/>
      <c r="KVV202" s="661"/>
      <c r="KVW202" s="661"/>
      <c r="KVX202" s="661"/>
      <c r="KVY202" s="660" t="s">
        <v>634</v>
      </c>
      <c r="KVZ202" s="661"/>
      <c r="KWA202" s="661"/>
      <c r="KWB202" s="661"/>
      <c r="KWC202" s="661"/>
      <c r="KWD202" s="661"/>
      <c r="KWE202" s="661"/>
      <c r="KWF202" s="661"/>
      <c r="KWG202" s="661"/>
      <c r="KWH202" s="661"/>
      <c r="KWI202" s="661"/>
      <c r="KWJ202" s="661"/>
      <c r="KWK202" s="661"/>
      <c r="KWL202" s="661"/>
      <c r="KWM202" s="661"/>
      <c r="KWN202" s="661"/>
      <c r="KWO202" s="660" t="s">
        <v>634</v>
      </c>
      <c r="KWP202" s="661"/>
      <c r="KWQ202" s="661"/>
      <c r="KWR202" s="661"/>
      <c r="KWS202" s="661"/>
      <c r="KWT202" s="661"/>
      <c r="KWU202" s="661"/>
      <c r="KWV202" s="661"/>
      <c r="KWW202" s="661"/>
      <c r="KWX202" s="661"/>
      <c r="KWY202" s="661"/>
      <c r="KWZ202" s="661"/>
      <c r="KXA202" s="661"/>
      <c r="KXB202" s="661"/>
      <c r="KXC202" s="661"/>
      <c r="KXD202" s="661"/>
      <c r="KXE202" s="660" t="s">
        <v>634</v>
      </c>
      <c r="KXF202" s="661"/>
      <c r="KXG202" s="661"/>
      <c r="KXH202" s="661"/>
      <c r="KXI202" s="661"/>
      <c r="KXJ202" s="661"/>
      <c r="KXK202" s="661"/>
      <c r="KXL202" s="661"/>
      <c r="KXM202" s="661"/>
      <c r="KXN202" s="661"/>
      <c r="KXO202" s="661"/>
      <c r="KXP202" s="661"/>
      <c r="KXQ202" s="661"/>
      <c r="KXR202" s="661"/>
      <c r="KXS202" s="661"/>
      <c r="KXT202" s="661"/>
      <c r="KXU202" s="660" t="s">
        <v>634</v>
      </c>
      <c r="KXV202" s="661"/>
      <c r="KXW202" s="661"/>
      <c r="KXX202" s="661"/>
      <c r="KXY202" s="661"/>
      <c r="KXZ202" s="661"/>
      <c r="KYA202" s="661"/>
      <c r="KYB202" s="661"/>
      <c r="KYC202" s="661"/>
      <c r="KYD202" s="661"/>
      <c r="KYE202" s="661"/>
      <c r="KYF202" s="661"/>
      <c r="KYG202" s="661"/>
      <c r="KYH202" s="661"/>
      <c r="KYI202" s="661"/>
      <c r="KYJ202" s="661"/>
      <c r="KYK202" s="660" t="s">
        <v>634</v>
      </c>
      <c r="KYL202" s="661"/>
      <c r="KYM202" s="661"/>
      <c r="KYN202" s="661"/>
      <c r="KYO202" s="661"/>
      <c r="KYP202" s="661"/>
      <c r="KYQ202" s="661"/>
      <c r="KYR202" s="661"/>
      <c r="KYS202" s="661"/>
      <c r="KYT202" s="661"/>
      <c r="KYU202" s="661"/>
      <c r="KYV202" s="661"/>
      <c r="KYW202" s="661"/>
      <c r="KYX202" s="661"/>
      <c r="KYY202" s="661"/>
      <c r="KYZ202" s="661"/>
      <c r="KZA202" s="660" t="s">
        <v>634</v>
      </c>
      <c r="KZB202" s="661"/>
      <c r="KZC202" s="661"/>
      <c r="KZD202" s="661"/>
      <c r="KZE202" s="661"/>
      <c r="KZF202" s="661"/>
      <c r="KZG202" s="661"/>
      <c r="KZH202" s="661"/>
      <c r="KZI202" s="661"/>
      <c r="KZJ202" s="661"/>
      <c r="KZK202" s="661"/>
      <c r="KZL202" s="661"/>
      <c r="KZM202" s="661"/>
      <c r="KZN202" s="661"/>
      <c r="KZO202" s="661"/>
      <c r="KZP202" s="661"/>
      <c r="KZQ202" s="660" t="s">
        <v>634</v>
      </c>
      <c r="KZR202" s="661"/>
      <c r="KZS202" s="661"/>
      <c r="KZT202" s="661"/>
      <c r="KZU202" s="661"/>
      <c r="KZV202" s="661"/>
      <c r="KZW202" s="661"/>
      <c r="KZX202" s="661"/>
      <c r="KZY202" s="661"/>
      <c r="KZZ202" s="661"/>
      <c r="LAA202" s="661"/>
      <c r="LAB202" s="661"/>
      <c r="LAC202" s="661"/>
      <c r="LAD202" s="661"/>
      <c r="LAE202" s="661"/>
      <c r="LAF202" s="661"/>
      <c r="LAG202" s="660" t="s">
        <v>634</v>
      </c>
      <c r="LAH202" s="661"/>
      <c r="LAI202" s="661"/>
      <c r="LAJ202" s="661"/>
      <c r="LAK202" s="661"/>
      <c r="LAL202" s="661"/>
      <c r="LAM202" s="661"/>
      <c r="LAN202" s="661"/>
      <c r="LAO202" s="661"/>
      <c r="LAP202" s="661"/>
      <c r="LAQ202" s="661"/>
      <c r="LAR202" s="661"/>
      <c r="LAS202" s="661"/>
      <c r="LAT202" s="661"/>
      <c r="LAU202" s="661"/>
      <c r="LAV202" s="661"/>
      <c r="LAW202" s="660" t="s">
        <v>634</v>
      </c>
      <c r="LAX202" s="661"/>
      <c r="LAY202" s="661"/>
      <c r="LAZ202" s="661"/>
      <c r="LBA202" s="661"/>
      <c r="LBB202" s="661"/>
      <c r="LBC202" s="661"/>
      <c r="LBD202" s="661"/>
      <c r="LBE202" s="661"/>
      <c r="LBF202" s="661"/>
      <c r="LBG202" s="661"/>
      <c r="LBH202" s="661"/>
      <c r="LBI202" s="661"/>
      <c r="LBJ202" s="661"/>
      <c r="LBK202" s="661"/>
      <c r="LBL202" s="661"/>
      <c r="LBM202" s="660" t="s">
        <v>634</v>
      </c>
      <c r="LBN202" s="661"/>
      <c r="LBO202" s="661"/>
      <c r="LBP202" s="661"/>
      <c r="LBQ202" s="661"/>
      <c r="LBR202" s="661"/>
      <c r="LBS202" s="661"/>
      <c r="LBT202" s="661"/>
      <c r="LBU202" s="661"/>
      <c r="LBV202" s="661"/>
      <c r="LBW202" s="661"/>
      <c r="LBX202" s="661"/>
      <c r="LBY202" s="661"/>
      <c r="LBZ202" s="661"/>
      <c r="LCA202" s="661"/>
      <c r="LCB202" s="661"/>
      <c r="LCC202" s="660" t="s">
        <v>634</v>
      </c>
      <c r="LCD202" s="661"/>
      <c r="LCE202" s="661"/>
      <c r="LCF202" s="661"/>
      <c r="LCG202" s="661"/>
      <c r="LCH202" s="661"/>
      <c r="LCI202" s="661"/>
      <c r="LCJ202" s="661"/>
      <c r="LCK202" s="661"/>
      <c r="LCL202" s="661"/>
      <c r="LCM202" s="661"/>
      <c r="LCN202" s="661"/>
      <c r="LCO202" s="661"/>
      <c r="LCP202" s="661"/>
      <c r="LCQ202" s="661"/>
      <c r="LCR202" s="661"/>
      <c r="LCS202" s="660" t="s">
        <v>634</v>
      </c>
      <c r="LCT202" s="661"/>
      <c r="LCU202" s="661"/>
      <c r="LCV202" s="661"/>
      <c r="LCW202" s="661"/>
      <c r="LCX202" s="661"/>
      <c r="LCY202" s="661"/>
      <c r="LCZ202" s="661"/>
      <c r="LDA202" s="661"/>
      <c r="LDB202" s="661"/>
      <c r="LDC202" s="661"/>
      <c r="LDD202" s="661"/>
      <c r="LDE202" s="661"/>
      <c r="LDF202" s="661"/>
      <c r="LDG202" s="661"/>
      <c r="LDH202" s="661"/>
      <c r="LDI202" s="660" t="s">
        <v>634</v>
      </c>
      <c r="LDJ202" s="661"/>
      <c r="LDK202" s="661"/>
      <c r="LDL202" s="661"/>
      <c r="LDM202" s="661"/>
      <c r="LDN202" s="661"/>
      <c r="LDO202" s="661"/>
      <c r="LDP202" s="661"/>
      <c r="LDQ202" s="661"/>
      <c r="LDR202" s="661"/>
      <c r="LDS202" s="661"/>
      <c r="LDT202" s="661"/>
      <c r="LDU202" s="661"/>
      <c r="LDV202" s="661"/>
      <c r="LDW202" s="661"/>
      <c r="LDX202" s="661"/>
      <c r="LDY202" s="660" t="s">
        <v>634</v>
      </c>
      <c r="LDZ202" s="661"/>
      <c r="LEA202" s="661"/>
      <c r="LEB202" s="661"/>
      <c r="LEC202" s="661"/>
      <c r="LED202" s="661"/>
      <c r="LEE202" s="661"/>
      <c r="LEF202" s="661"/>
      <c r="LEG202" s="661"/>
      <c r="LEH202" s="661"/>
      <c r="LEI202" s="661"/>
      <c r="LEJ202" s="661"/>
      <c r="LEK202" s="661"/>
      <c r="LEL202" s="661"/>
      <c r="LEM202" s="661"/>
      <c r="LEN202" s="661"/>
      <c r="LEO202" s="660" t="s">
        <v>634</v>
      </c>
      <c r="LEP202" s="661"/>
      <c r="LEQ202" s="661"/>
      <c r="LER202" s="661"/>
      <c r="LES202" s="661"/>
      <c r="LET202" s="661"/>
      <c r="LEU202" s="661"/>
      <c r="LEV202" s="661"/>
      <c r="LEW202" s="661"/>
      <c r="LEX202" s="661"/>
      <c r="LEY202" s="661"/>
      <c r="LEZ202" s="661"/>
      <c r="LFA202" s="661"/>
      <c r="LFB202" s="661"/>
      <c r="LFC202" s="661"/>
      <c r="LFD202" s="661"/>
      <c r="LFE202" s="660" t="s">
        <v>634</v>
      </c>
      <c r="LFF202" s="661"/>
      <c r="LFG202" s="661"/>
      <c r="LFH202" s="661"/>
      <c r="LFI202" s="661"/>
      <c r="LFJ202" s="661"/>
      <c r="LFK202" s="661"/>
      <c r="LFL202" s="661"/>
      <c r="LFM202" s="661"/>
      <c r="LFN202" s="661"/>
      <c r="LFO202" s="661"/>
      <c r="LFP202" s="661"/>
      <c r="LFQ202" s="661"/>
      <c r="LFR202" s="661"/>
      <c r="LFS202" s="661"/>
      <c r="LFT202" s="661"/>
      <c r="LFU202" s="660" t="s">
        <v>634</v>
      </c>
      <c r="LFV202" s="661"/>
      <c r="LFW202" s="661"/>
      <c r="LFX202" s="661"/>
      <c r="LFY202" s="661"/>
      <c r="LFZ202" s="661"/>
      <c r="LGA202" s="661"/>
      <c r="LGB202" s="661"/>
      <c r="LGC202" s="661"/>
      <c r="LGD202" s="661"/>
      <c r="LGE202" s="661"/>
      <c r="LGF202" s="661"/>
      <c r="LGG202" s="661"/>
      <c r="LGH202" s="661"/>
      <c r="LGI202" s="661"/>
      <c r="LGJ202" s="661"/>
      <c r="LGK202" s="660" t="s">
        <v>634</v>
      </c>
      <c r="LGL202" s="661"/>
      <c r="LGM202" s="661"/>
      <c r="LGN202" s="661"/>
      <c r="LGO202" s="661"/>
      <c r="LGP202" s="661"/>
      <c r="LGQ202" s="661"/>
      <c r="LGR202" s="661"/>
      <c r="LGS202" s="661"/>
      <c r="LGT202" s="661"/>
      <c r="LGU202" s="661"/>
      <c r="LGV202" s="661"/>
      <c r="LGW202" s="661"/>
      <c r="LGX202" s="661"/>
      <c r="LGY202" s="661"/>
      <c r="LGZ202" s="661"/>
      <c r="LHA202" s="660" t="s">
        <v>634</v>
      </c>
      <c r="LHB202" s="661"/>
      <c r="LHC202" s="661"/>
      <c r="LHD202" s="661"/>
      <c r="LHE202" s="661"/>
      <c r="LHF202" s="661"/>
      <c r="LHG202" s="661"/>
      <c r="LHH202" s="661"/>
      <c r="LHI202" s="661"/>
      <c r="LHJ202" s="661"/>
      <c r="LHK202" s="661"/>
      <c r="LHL202" s="661"/>
      <c r="LHM202" s="661"/>
      <c r="LHN202" s="661"/>
      <c r="LHO202" s="661"/>
      <c r="LHP202" s="661"/>
      <c r="LHQ202" s="660" t="s">
        <v>634</v>
      </c>
      <c r="LHR202" s="661"/>
      <c r="LHS202" s="661"/>
      <c r="LHT202" s="661"/>
      <c r="LHU202" s="661"/>
      <c r="LHV202" s="661"/>
      <c r="LHW202" s="661"/>
      <c r="LHX202" s="661"/>
      <c r="LHY202" s="661"/>
      <c r="LHZ202" s="661"/>
      <c r="LIA202" s="661"/>
      <c r="LIB202" s="661"/>
      <c r="LIC202" s="661"/>
      <c r="LID202" s="661"/>
      <c r="LIE202" s="661"/>
      <c r="LIF202" s="661"/>
      <c r="LIG202" s="660" t="s">
        <v>634</v>
      </c>
      <c r="LIH202" s="661"/>
      <c r="LII202" s="661"/>
      <c r="LIJ202" s="661"/>
      <c r="LIK202" s="661"/>
      <c r="LIL202" s="661"/>
      <c r="LIM202" s="661"/>
      <c r="LIN202" s="661"/>
      <c r="LIO202" s="661"/>
      <c r="LIP202" s="661"/>
      <c r="LIQ202" s="661"/>
      <c r="LIR202" s="661"/>
      <c r="LIS202" s="661"/>
      <c r="LIT202" s="661"/>
      <c r="LIU202" s="661"/>
      <c r="LIV202" s="661"/>
      <c r="LIW202" s="660" t="s">
        <v>634</v>
      </c>
      <c r="LIX202" s="661"/>
      <c r="LIY202" s="661"/>
      <c r="LIZ202" s="661"/>
      <c r="LJA202" s="661"/>
      <c r="LJB202" s="661"/>
      <c r="LJC202" s="661"/>
      <c r="LJD202" s="661"/>
      <c r="LJE202" s="661"/>
      <c r="LJF202" s="661"/>
      <c r="LJG202" s="661"/>
      <c r="LJH202" s="661"/>
      <c r="LJI202" s="661"/>
      <c r="LJJ202" s="661"/>
      <c r="LJK202" s="661"/>
      <c r="LJL202" s="661"/>
      <c r="LJM202" s="660" t="s">
        <v>634</v>
      </c>
      <c r="LJN202" s="661"/>
      <c r="LJO202" s="661"/>
      <c r="LJP202" s="661"/>
      <c r="LJQ202" s="661"/>
      <c r="LJR202" s="661"/>
      <c r="LJS202" s="661"/>
      <c r="LJT202" s="661"/>
      <c r="LJU202" s="661"/>
      <c r="LJV202" s="661"/>
      <c r="LJW202" s="661"/>
      <c r="LJX202" s="661"/>
      <c r="LJY202" s="661"/>
      <c r="LJZ202" s="661"/>
      <c r="LKA202" s="661"/>
      <c r="LKB202" s="661"/>
      <c r="LKC202" s="660" t="s">
        <v>634</v>
      </c>
      <c r="LKD202" s="661"/>
      <c r="LKE202" s="661"/>
      <c r="LKF202" s="661"/>
      <c r="LKG202" s="661"/>
      <c r="LKH202" s="661"/>
      <c r="LKI202" s="661"/>
      <c r="LKJ202" s="661"/>
      <c r="LKK202" s="661"/>
      <c r="LKL202" s="661"/>
      <c r="LKM202" s="661"/>
      <c r="LKN202" s="661"/>
      <c r="LKO202" s="661"/>
      <c r="LKP202" s="661"/>
      <c r="LKQ202" s="661"/>
      <c r="LKR202" s="661"/>
      <c r="LKS202" s="660" t="s">
        <v>634</v>
      </c>
      <c r="LKT202" s="661"/>
      <c r="LKU202" s="661"/>
      <c r="LKV202" s="661"/>
      <c r="LKW202" s="661"/>
      <c r="LKX202" s="661"/>
      <c r="LKY202" s="661"/>
      <c r="LKZ202" s="661"/>
      <c r="LLA202" s="661"/>
      <c r="LLB202" s="661"/>
      <c r="LLC202" s="661"/>
      <c r="LLD202" s="661"/>
      <c r="LLE202" s="661"/>
      <c r="LLF202" s="661"/>
      <c r="LLG202" s="661"/>
      <c r="LLH202" s="661"/>
      <c r="LLI202" s="660" t="s">
        <v>634</v>
      </c>
      <c r="LLJ202" s="661"/>
      <c r="LLK202" s="661"/>
      <c r="LLL202" s="661"/>
      <c r="LLM202" s="661"/>
      <c r="LLN202" s="661"/>
      <c r="LLO202" s="661"/>
      <c r="LLP202" s="661"/>
      <c r="LLQ202" s="661"/>
      <c r="LLR202" s="661"/>
      <c r="LLS202" s="661"/>
      <c r="LLT202" s="661"/>
      <c r="LLU202" s="661"/>
      <c r="LLV202" s="661"/>
      <c r="LLW202" s="661"/>
      <c r="LLX202" s="661"/>
      <c r="LLY202" s="660" t="s">
        <v>634</v>
      </c>
      <c r="LLZ202" s="661"/>
      <c r="LMA202" s="661"/>
      <c r="LMB202" s="661"/>
      <c r="LMC202" s="661"/>
      <c r="LMD202" s="661"/>
      <c r="LME202" s="661"/>
      <c r="LMF202" s="661"/>
      <c r="LMG202" s="661"/>
      <c r="LMH202" s="661"/>
      <c r="LMI202" s="661"/>
      <c r="LMJ202" s="661"/>
      <c r="LMK202" s="661"/>
      <c r="LML202" s="661"/>
      <c r="LMM202" s="661"/>
      <c r="LMN202" s="661"/>
      <c r="LMO202" s="660" t="s">
        <v>634</v>
      </c>
      <c r="LMP202" s="661"/>
      <c r="LMQ202" s="661"/>
      <c r="LMR202" s="661"/>
      <c r="LMS202" s="661"/>
      <c r="LMT202" s="661"/>
      <c r="LMU202" s="661"/>
      <c r="LMV202" s="661"/>
      <c r="LMW202" s="661"/>
      <c r="LMX202" s="661"/>
      <c r="LMY202" s="661"/>
      <c r="LMZ202" s="661"/>
      <c r="LNA202" s="661"/>
      <c r="LNB202" s="661"/>
      <c r="LNC202" s="661"/>
      <c r="LND202" s="661"/>
      <c r="LNE202" s="660" t="s">
        <v>634</v>
      </c>
      <c r="LNF202" s="661"/>
      <c r="LNG202" s="661"/>
      <c r="LNH202" s="661"/>
      <c r="LNI202" s="661"/>
      <c r="LNJ202" s="661"/>
      <c r="LNK202" s="661"/>
      <c r="LNL202" s="661"/>
      <c r="LNM202" s="661"/>
      <c r="LNN202" s="661"/>
      <c r="LNO202" s="661"/>
      <c r="LNP202" s="661"/>
      <c r="LNQ202" s="661"/>
      <c r="LNR202" s="661"/>
      <c r="LNS202" s="661"/>
      <c r="LNT202" s="661"/>
      <c r="LNU202" s="660" t="s">
        <v>634</v>
      </c>
      <c r="LNV202" s="661"/>
      <c r="LNW202" s="661"/>
      <c r="LNX202" s="661"/>
      <c r="LNY202" s="661"/>
      <c r="LNZ202" s="661"/>
      <c r="LOA202" s="661"/>
      <c r="LOB202" s="661"/>
      <c r="LOC202" s="661"/>
      <c r="LOD202" s="661"/>
      <c r="LOE202" s="661"/>
      <c r="LOF202" s="661"/>
      <c r="LOG202" s="661"/>
      <c r="LOH202" s="661"/>
      <c r="LOI202" s="661"/>
      <c r="LOJ202" s="661"/>
      <c r="LOK202" s="660" t="s">
        <v>634</v>
      </c>
      <c r="LOL202" s="661"/>
      <c r="LOM202" s="661"/>
      <c r="LON202" s="661"/>
      <c r="LOO202" s="661"/>
      <c r="LOP202" s="661"/>
      <c r="LOQ202" s="661"/>
      <c r="LOR202" s="661"/>
      <c r="LOS202" s="661"/>
      <c r="LOT202" s="661"/>
      <c r="LOU202" s="661"/>
      <c r="LOV202" s="661"/>
      <c r="LOW202" s="661"/>
      <c r="LOX202" s="661"/>
      <c r="LOY202" s="661"/>
      <c r="LOZ202" s="661"/>
      <c r="LPA202" s="660" t="s">
        <v>634</v>
      </c>
      <c r="LPB202" s="661"/>
      <c r="LPC202" s="661"/>
      <c r="LPD202" s="661"/>
      <c r="LPE202" s="661"/>
      <c r="LPF202" s="661"/>
      <c r="LPG202" s="661"/>
      <c r="LPH202" s="661"/>
      <c r="LPI202" s="661"/>
      <c r="LPJ202" s="661"/>
      <c r="LPK202" s="661"/>
      <c r="LPL202" s="661"/>
      <c r="LPM202" s="661"/>
      <c r="LPN202" s="661"/>
      <c r="LPO202" s="661"/>
      <c r="LPP202" s="661"/>
      <c r="LPQ202" s="660" t="s">
        <v>634</v>
      </c>
      <c r="LPR202" s="661"/>
      <c r="LPS202" s="661"/>
      <c r="LPT202" s="661"/>
      <c r="LPU202" s="661"/>
      <c r="LPV202" s="661"/>
      <c r="LPW202" s="661"/>
      <c r="LPX202" s="661"/>
      <c r="LPY202" s="661"/>
      <c r="LPZ202" s="661"/>
      <c r="LQA202" s="661"/>
      <c r="LQB202" s="661"/>
      <c r="LQC202" s="661"/>
      <c r="LQD202" s="661"/>
      <c r="LQE202" s="661"/>
      <c r="LQF202" s="661"/>
      <c r="LQG202" s="660" t="s">
        <v>634</v>
      </c>
      <c r="LQH202" s="661"/>
      <c r="LQI202" s="661"/>
      <c r="LQJ202" s="661"/>
      <c r="LQK202" s="661"/>
      <c r="LQL202" s="661"/>
      <c r="LQM202" s="661"/>
      <c r="LQN202" s="661"/>
      <c r="LQO202" s="661"/>
      <c r="LQP202" s="661"/>
      <c r="LQQ202" s="661"/>
      <c r="LQR202" s="661"/>
      <c r="LQS202" s="661"/>
      <c r="LQT202" s="661"/>
      <c r="LQU202" s="661"/>
      <c r="LQV202" s="661"/>
      <c r="LQW202" s="660" t="s">
        <v>634</v>
      </c>
      <c r="LQX202" s="661"/>
      <c r="LQY202" s="661"/>
      <c r="LQZ202" s="661"/>
      <c r="LRA202" s="661"/>
      <c r="LRB202" s="661"/>
      <c r="LRC202" s="661"/>
      <c r="LRD202" s="661"/>
      <c r="LRE202" s="661"/>
      <c r="LRF202" s="661"/>
      <c r="LRG202" s="661"/>
      <c r="LRH202" s="661"/>
      <c r="LRI202" s="661"/>
      <c r="LRJ202" s="661"/>
      <c r="LRK202" s="661"/>
      <c r="LRL202" s="661"/>
      <c r="LRM202" s="660" t="s">
        <v>634</v>
      </c>
      <c r="LRN202" s="661"/>
      <c r="LRO202" s="661"/>
      <c r="LRP202" s="661"/>
      <c r="LRQ202" s="661"/>
      <c r="LRR202" s="661"/>
      <c r="LRS202" s="661"/>
      <c r="LRT202" s="661"/>
      <c r="LRU202" s="661"/>
      <c r="LRV202" s="661"/>
      <c r="LRW202" s="661"/>
      <c r="LRX202" s="661"/>
      <c r="LRY202" s="661"/>
      <c r="LRZ202" s="661"/>
      <c r="LSA202" s="661"/>
      <c r="LSB202" s="661"/>
      <c r="LSC202" s="660" t="s">
        <v>634</v>
      </c>
      <c r="LSD202" s="661"/>
      <c r="LSE202" s="661"/>
      <c r="LSF202" s="661"/>
      <c r="LSG202" s="661"/>
      <c r="LSH202" s="661"/>
      <c r="LSI202" s="661"/>
      <c r="LSJ202" s="661"/>
      <c r="LSK202" s="661"/>
      <c r="LSL202" s="661"/>
      <c r="LSM202" s="661"/>
      <c r="LSN202" s="661"/>
      <c r="LSO202" s="661"/>
      <c r="LSP202" s="661"/>
      <c r="LSQ202" s="661"/>
      <c r="LSR202" s="661"/>
      <c r="LSS202" s="660" t="s">
        <v>634</v>
      </c>
      <c r="LST202" s="661"/>
      <c r="LSU202" s="661"/>
      <c r="LSV202" s="661"/>
      <c r="LSW202" s="661"/>
      <c r="LSX202" s="661"/>
      <c r="LSY202" s="661"/>
      <c r="LSZ202" s="661"/>
      <c r="LTA202" s="661"/>
      <c r="LTB202" s="661"/>
      <c r="LTC202" s="661"/>
      <c r="LTD202" s="661"/>
      <c r="LTE202" s="661"/>
      <c r="LTF202" s="661"/>
      <c r="LTG202" s="661"/>
      <c r="LTH202" s="661"/>
      <c r="LTI202" s="660" t="s">
        <v>634</v>
      </c>
      <c r="LTJ202" s="661"/>
      <c r="LTK202" s="661"/>
      <c r="LTL202" s="661"/>
      <c r="LTM202" s="661"/>
      <c r="LTN202" s="661"/>
      <c r="LTO202" s="661"/>
      <c r="LTP202" s="661"/>
      <c r="LTQ202" s="661"/>
      <c r="LTR202" s="661"/>
      <c r="LTS202" s="661"/>
      <c r="LTT202" s="661"/>
      <c r="LTU202" s="661"/>
      <c r="LTV202" s="661"/>
      <c r="LTW202" s="661"/>
      <c r="LTX202" s="661"/>
      <c r="LTY202" s="660" t="s">
        <v>634</v>
      </c>
      <c r="LTZ202" s="661"/>
      <c r="LUA202" s="661"/>
      <c r="LUB202" s="661"/>
      <c r="LUC202" s="661"/>
      <c r="LUD202" s="661"/>
      <c r="LUE202" s="661"/>
      <c r="LUF202" s="661"/>
      <c r="LUG202" s="661"/>
      <c r="LUH202" s="661"/>
      <c r="LUI202" s="661"/>
      <c r="LUJ202" s="661"/>
      <c r="LUK202" s="661"/>
      <c r="LUL202" s="661"/>
      <c r="LUM202" s="661"/>
      <c r="LUN202" s="661"/>
      <c r="LUO202" s="660" t="s">
        <v>634</v>
      </c>
      <c r="LUP202" s="661"/>
      <c r="LUQ202" s="661"/>
      <c r="LUR202" s="661"/>
      <c r="LUS202" s="661"/>
      <c r="LUT202" s="661"/>
      <c r="LUU202" s="661"/>
      <c r="LUV202" s="661"/>
      <c r="LUW202" s="661"/>
      <c r="LUX202" s="661"/>
      <c r="LUY202" s="661"/>
      <c r="LUZ202" s="661"/>
      <c r="LVA202" s="661"/>
      <c r="LVB202" s="661"/>
      <c r="LVC202" s="661"/>
      <c r="LVD202" s="661"/>
      <c r="LVE202" s="660" t="s">
        <v>634</v>
      </c>
      <c r="LVF202" s="661"/>
      <c r="LVG202" s="661"/>
      <c r="LVH202" s="661"/>
      <c r="LVI202" s="661"/>
      <c r="LVJ202" s="661"/>
      <c r="LVK202" s="661"/>
      <c r="LVL202" s="661"/>
      <c r="LVM202" s="661"/>
      <c r="LVN202" s="661"/>
      <c r="LVO202" s="661"/>
      <c r="LVP202" s="661"/>
      <c r="LVQ202" s="661"/>
      <c r="LVR202" s="661"/>
      <c r="LVS202" s="661"/>
      <c r="LVT202" s="661"/>
      <c r="LVU202" s="660" t="s">
        <v>634</v>
      </c>
      <c r="LVV202" s="661"/>
      <c r="LVW202" s="661"/>
      <c r="LVX202" s="661"/>
      <c r="LVY202" s="661"/>
      <c r="LVZ202" s="661"/>
      <c r="LWA202" s="661"/>
      <c r="LWB202" s="661"/>
      <c r="LWC202" s="661"/>
      <c r="LWD202" s="661"/>
      <c r="LWE202" s="661"/>
      <c r="LWF202" s="661"/>
      <c r="LWG202" s="661"/>
      <c r="LWH202" s="661"/>
      <c r="LWI202" s="661"/>
      <c r="LWJ202" s="661"/>
      <c r="LWK202" s="660" t="s">
        <v>634</v>
      </c>
      <c r="LWL202" s="661"/>
      <c r="LWM202" s="661"/>
      <c r="LWN202" s="661"/>
      <c r="LWO202" s="661"/>
      <c r="LWP202" s="661"/>
      <c r="LWQ202" s="661"/>
      <c r="LWR202" s="661"/>
      <c r="LWS202" s="661"/>
      <c r="LWT202" s="661"/>
      <c r="LWU202" s="661"/>
      <c r="LWV202" s="661"/>
      <c r="LWW202" s="661"/>
      <c r="LWX202" s="661"/>
      <c r="LWY202" s="661"/>
      <c r="LWZ202" s="661"/>
      <c r="LXA202" s="660" t="s">
        <v>634</v>
      </c>
      <c r="LXB202" s="661"/>
      <c r="LXC202" s="661"/>
      <c r="LXD202" s="661"/>
      <c r="LXE202" s="661"/>
      <c r="LXF202" s="661"/>
      <c r="LXG202" s="661"/>
      <c r="LXH202" s="661"/>
      <c r="LXI202" s="661"/>
      <c r="LXJ202" s="661"/>
      <c r="LXK202" s="661"/>
      <c r="LXL202" s="661"/>
      <c r="LXM202" s="661"/>
      <c r="LXN202" s="661"/>
      <c r="LXO202" s="661"/>
      <c r="LXP202" s="661"/>
      <c r="LXQ202" s="660" t="s">
        <v>634</v>
      </c>
      <c r="LXR202" s="661"/>
      <c r="LXS202" s="661"/>
      <c r="LXT202" s="661"/>
      <c r="LXU202" s="661"/>
      <c r="LXV202" s="661"/>
      <c r="LXW202" s="661"/>
      <c r="LXX202" s="661"/>
      <c r="LXY202" s="661"/>
      <c r="LXZ202" s="661"/>
      <c r="LYA202" s="661"/>
      <c r="LYB202" s="661"/>
      <c r="LYC202" s="661"/>
      <c r="LYD202" s="661"/>
      <c r="LYE202" s="661"/>
      <c r="LYF202" s="661"/>
      <c r="LYG202" s="660" t="s">
        <v>634</v>
      </c>
      <c r="LYH202" s="661"/>
      <c r="LYI202" s="661"/>
      <c r="LYJ202" s="661"/>
      <c r="LYK202" s="661"/>
      <c r="LYL202" s="661"/>
      <c r="LYM202" s="661"/>
      <c r="LYN202" s="661"/>
      <c r="LYO202" s="661"/>
      <c r="LYP202" s="661"/>
      <c r="LYQ202" s="661"/>
      <c r="LYR202" s="661"/>
      <c r="LYS202" s="661"/>
      <c r="LYT202" s="661"/>
      <c r="LYU202" s="661"/>
      <c r="LYV202" s="661"/>
      <c r="LYW202" s="660" t="s">
        <v>634</v>
      </c>
      <c r="LYX202" s="661"/>
      <c r="LYY202" s="661"/>
      <c r="LYZ202" s="661"/>
      <c r="LZA202" s="661"/>
      <c r="LZB202" s="661"/>
      <c r="LZC202" s="661"/>
      <c r="LZD202" s="661"/>
      <c r="LZE202" s="661"/>
      <c r="LZF202" s="661"/>
      <c r="LZG202" s="661"/>
      <c r="LZH202" s="661"/>
      <c r="LZI202" s="661"/>
      <c r="LZJ202" s="661"/>
      <c r="LZK202" s="661"/>
      <c r="LZL202" s="661"/>
      <c r="LZM202" s="660" t="s">
        <v>634</v>
      </c>
      <c r="LZN202" s="661"/>
      <c r="LZO202" s="661"/>
      <c r="LZP202" s="661"/>
      <c r="LZQ202" s="661"/>
      <c r="LZR202" s="661"/>
      <c r="LZS202" s="661"/>
      <c r="LZT202" s="661"/>
      <c r="LZU202" s="661"/>
      <c r="LZV202" s="661"/>
      <c r="LZW202" s="661"/>
      <c r="LZX202" s="661"/>
      <c r="LZY202" s="661"/>
      <c r="LZZ202" s="661"/>
      <c r="MAA202" s="661"/>
      <c r="MAB202" s="661"/>
      <c r="MAC202" s="660" t="s">
        <v>634</v>
      </c>
      <c r="MAD202" s="661"/>
      <c r="MAE202" s="661"/>
      <c r="MAF202" s="661"/>
      <c r="MAG202" s="661"/>
      <c r="MAH202" s="661"/>
      <c r="MAI202" s="661"/>
      <c r="MAJ202" s="661"/>
      <c r="MAK202" s="661"/>
      <c r="MAL202" s="661"/>
      <c r="MAM202" s="661"/>
      <c r="MAN202" s="661"/>
      <c r="MAO202" s="661"/>
      <c r="MAP202" s="661"/>
      <c r="MAQ202" s="661"/>
      <c r="MAR202" s="661"/>
      <c r="MAS202" s="660" t="s">
        <v>634</v>
      </c>
      <c r="MAT202" s="661"/>
      <c r="MAU202" s="661"/>
      <c r="MAV202" s="661"/>
      <c r="MAW202" s="661"/>
      <c r="MAX202" s="661"/>
      <c r="MAY202" s="661"/>
      <c r="MAZ202" s="661"/>
      <c r="MBA202" s="661"/>
      <c r="MBB202" s="661"/>
      <c r="MBC202" s="661"/>
      <c r="MBD202" s="661"/>
      <c r="MBE202" s="661"/>
      <c r="MBF202" s="661"/>
      <c r="MBG202" s="661"/>
      <c r="MBH202" s="661"/>
      <c r="MBI202" s="660" t="s">
        <v>634</v>
      </c>
      <c r="MBJ202" s="661"/>
      <c r="MBK202" s="661"/>
      <c r="MBL202" s="661"/>
      <c r="MBM202" s="661"/>
      <c r="MBN202" s="661"/>
      <c r="MBO202" s="661"/>
      <c r="MBP202" s="661"/>
      <c r="MBQ202" s="661"/>
      <c r="MBR202" s="661"/>
      <c r="MBS202" s="661"/>
      <c r="MBT202" s="661"/>
      <c r="MBU202" s="661"/>
      <c r="MBV202" s="661"/>
      <c r="MBW202" s="661"/>
      <c r="MBX202" s="661"/>
      <c r="MBY202" s="660" t="s">
        <v>634</v>
      </c>
      <c r="MBZ202" s="661"/>
      <c r="MCA202" s="661"/>
      <c r="MCB202" s="661"/>
      <c r="MCC202" s="661"/>
      <c r="MCD202" s="661"/>
      <c r="MCE202" s="661"/>
      <c r="MCF202" s="661"/>
      <c r="MCG202" s="661"/>
      <c r="MCH202" s="661"/>
      <c r="MCI202" s="661"/>
      <c r="MCJ202" s="661"/>
      <c r="MCK202" s="661"/>
      <c r="MCL202" s="661"/>
      <c r="MCM202" s="661"/>
      <c r="MCN202" s="661"/>
      <c r="MCO202" s="660" t="s">
        <v>634</v>
      </c>
      <c r="MCP202" s="661"/>
      <c r="MCQ202" s="661"/>
      <c r="MCR202" s="661"/>
      <c r="MCS202" s="661"/>
      <c r="MCT202" s="661"/>
      <c r="MCU202" s="661"/>
      <c r="MCV202" s="661"/>
      <c r="MCW202" s="661"/>
      <c r="MCX202" s="661"/>
      <c r="MCY202" s="661"/>
      <c r="MCZ202" s="661"/>
      <c r="MDA202" s="661"/>
      <c r="MDB202" s="661"/>
      <c r="MDC202" s="661"/>
      <c r="MDD202" s="661"/>
      <c r="MDE202" s="660" t="s">
        <v>634</v>
      </c>
      <c r="MDF202" s="661"/>
      <c r="MDG202" s="661"/>
      <c r="MDH202" s="661"/>
      <c r="MDI202" s="661"/>
      <c r="MDJ202" s="661"/>
      <c r="MDK202" s="661"/>
      <c r="MDL202" s="661"/>
      <c r="MDM202" s="661"/>
      <c r="MDN202" s="661"/>
      <c r="MDO202" s="661"/>
      <c r="MDP202" s="661"/>
      <c r="MDQ202" s="661"/>
      <c r="MDR202" s="661"/>
      <c r="MDS202" s="661"/>
      <c r="MDT202" s="661"/>
      <c r="MDU202" s="660" t="s">
        <v>634</v>
      </c>
      <c r="MDV202" s="661"/>
      <c r="MDW202" s="661"/>
      <c r="MDX202" s="661"/>
      <c r="MDY202" s="661"/>
      <c r="MDZ202" s="661"/>
      <c r="MEA202" s="661"/>
      <c r="MEB202" s="661"/>
      <c r="MEC202" s="661"/>
      <c r="MED202" s="661"/>
      <c r="MEE202" s="661"/>
      <c r="MEF202" s="661"/>
      <c r="MEG202" s="661"/>
      <c r="MEH202" s="661"/>
      <c r="MEI202" s="661"/>
      <c r="MEJ202" s="661"/>
      <c r="MEK202" s="660" t="s">
        <v>634</v>
      </c>
      <c r="MEL202" s="661"/>
      <c r="MEM202" s="661"/>
      <c r="MEN202" s="661"/>
      <c r="MEO202" s="661"/>
      <c r="MEP202" s="661"/>
      <c r="MEQ202" s="661"/>
      <c r="MER202" s="661"/>
      <c r="MES202" s="661"/>
      <c r="MET202" s="661"/>
      <c r="MEU202" s="661"/>
      <c r="MEV202" s="661"/>
      <c r="MEW202" s="661"/>
      <c r="MEX202" s="661"/>
      <c r="MEY202" s="661"/>
      <c r="MEZ202" s="661"/>
      <c r="MFA202" s="660" t="s">
        <v>634</v>
      </c>
      <c r="MFB202" s="661"/>
      <c r="MFC202" s="661"/>
      <c r="MFD202" s="661"/>
      <c r="MFE202" s="661"/>
      <c r="MFF202" s="661"/>
      <c r="MFG202" s="661"/>
      <c r="MFH202" s="661"/>
      <c r="MFI202" s="661"/>
      <c r="MFJ202" s="661"/>
      <c r="MFK202" s="661"/>
      <c r="MFL202" s="661"/>
      <c r="MFM202" s="661"/>
      <c r="MFN202" s="661"/>
      <c r="MFO202" s="661"/>
      <c r="MFP202" s="661"/>
      <c r="MFQ202" s="660" t="s">
        <v>634</v>
      </c>
      <c r="MFR202" s="661"/>
      <c r="MFS202" s="661"/>
      <c r="MFT202" s="661"/>
      <c r="MFU202" s="661"/>
      <c r="MFV202" s="661"/>
      <c r="MFW202" s="661"/>
      <c r="MFX202" s="661"/>
      <c r="MFY202" s="661"/>
      <c r="MFZ202" s="661"/>
      <c r="MGA202" s="661"/>
      <c r="MGB202" s="661"/>
      <c r="MGC202" s="661"/>
      <c r="MGD202" s="661"/>
      <c r="MGE202" s="661"/>
      <c r="MGF202" s="661"/>
      <c r="MGG202" s="660" t="s">
        <v>634</v>
      </c>
      <c r="MGH202" s="661"/>
      <c r="MGI202" s="661"/>
      <c r="MGJ202" s="661"/>
      <c r="MGK202" s="661"/>
      <c r="MGL202" s="661"/>
      <c r="MGM202" s="661"/>
      <c r="MGN202" s="661"/>
      <c r="MGO202" s="661"/>
      <c r="MGP202" s="661"/>
      <c r="MGQ202" s="661"/>
      <c r="MGR202" s="661"/>
      <c r="MGS202" s="661"/>
      <c r="MGT202" s="661"/>
      <c r="MGU202" s="661"/>
      <c r="MGV202" s="661"/>
      <c r="MGW202" s="660" t="s">
        <v>634</v>
      </c>
      <c r="MGX202" s="661"/>
      <c r="MGY202" s="661"/>
      <c r="MGZ202" s="661"/>
      <c r="MHA202" s="661"/>
      <c r="MHB202" s="661"/>
      <c r="MHC202" s="661"/>
      <c r="MHD202" s="661"/>
      <c r="MHE202" s="661"/>
      <c r="MHF202" s="661"/>
      <c r="MHG202" s="661"/>
      <c r="MHH202" s="661"/>
      <c r="MHI202" s="661"/>
      <c r="MHJ202" s="661"/>
      <c r="MHK202" s="661"/>
      <c r="MHL202" s="661"/>
      <c r="MHM202" s="660" t="s">
        <v>634</v>
      </c>
      <c r="MHN202" s="661"/>
      <c r="MHO202" s="661"/>
      <c r="MHP202" s="661"/>
      <c r="MHQ202" s="661"/>
      <c r="MHR202" s="661"/>
      <c r="MHS202" s="661"/>
      <c r="MHT202" s="661"/>
      <c r="MHU202" s="661"/>
      <c r="MHV202" s="661"/>
      <c r="MHW202" s="661"/>
      <c r="MHX202" s="661"/>
      <c r="MHY202" s="661"/>
      <c r="MHZ202" s="661"/>
      <c r="MIA202" s="661"/>
      <c r="MIB202" s="661"/>
      <c r="MIC202" s="660" t="s">
        <v>634</v>
      </c>
      <c r="MID202" s="661"/>
      <c r="MIE202" s="661"/>
      <c r="MIF202" s="661"/>
      <c r="MIG202" s="661"/>
      <c r="MIH202" s="661"/>
      <c r="MII202" s="661"/>
      <c r="MIJ202" s="661"/>
      <c r="MIK202" s="661"/>
      <c r="MIL202" s="661"/>
      <c r="MIM202" s="661"/>
      <c r="MIN202" s="661"/>
      <c r="MIO202" s="661"/>
      <c r="MIP202" s="661"/>
      <c r="MIQ202" s="661"/>
      <c r="MIR202" s="661"/>
      <c r="MIS202" s="660" t="s">
        <v>634</v>
      </c>
      <c r="MIT202" s="661"/>
      <c r="MIU202" s="661"/>
      <c r="MIV202" s="661"/>
      <c r="MIW202" s="661"/>
      <c r="MIX202" s="661"/>
      <c r="MIY202" s="661"/>
      <c r="MIZ202" s="661"/>
      <c r="MJA202" s="661"/>
      <c r="MJB202" s="661"/>
      <c r="MJC202" s="661"/>
      <c r="MJD202" s="661"/>
      <c r="MJE202" s="661"/>
      <c r="MJF202" s="661"/>
      <c r="MJG202" s="661"/>
      <c r="MJH202" s="661"/>
      <c r="MJI202" s="660" t="s">
        <v>634</v>
      </c>
      <c r="MJJ202" s="661"/>
      <c r="MJK202" s="661"/>
      <c r="MJL202" s="661"/>
      <c r="MJM202" s="661"/>
      <c r="MJN202" s="661"/>
      <c r="MJO202" s="661"/>
      <c r="MJP202" s="661"/>
      <c r="MJQ202" s="661"/>
      <c r="MJR202" s="661"/>
      <c r="MJS202" s="661"/>
      <c r="MJT202" s="661"/>
      <c r="MJU202" s="661"/>
      <c r="MJV202" s="661"/>
      <c r="MJW202" s="661"/>
      <c r="MJX202" s="661"/>
      <c r="MJY202" s="660" t="s">
        <v>634</v>
      </c>
      <c r="MJZ202" s="661"/>
      <c r="MKA202" s="661"/>
      <c r="MKB202" s="661"/>
      <c r="MKC202" s="661"/>
      <c r="MKD202" s="661"/>
      <c r="MKE202" s="661"/>
      <c r="MKF202" s="661"/>
      <c r="MKG202" s="661"/>
      <c r="MKH202" s="661"/>
      <c r="MKI202" s="661"/>
      <c r="MKJ202" s="661"/>
      <c r="MKK202" s="661"/>
      <c r="MKL202" s="661"/>
      <c r="MKM202" s="661"/>
      <c r="MKN202" s="661"/>
      <c r="MKO202" s="660" t="s">
        <v>634</v>
      </c>
      <c r="MKP202" s="661"/>
      <c r="MKQ202" s="661"/>
      <c r="MKR202" s="661"/>
      <c r="MKS202" s="661"/>
      <c r="MKT202" s="661"/>
      <c r="MKU202" s="661"/>
      <c r="MKV202" s="661"/>
      <c r="MKW202" s="661"/>
      <c r="MKX202" s="661"/>
      <c r="MKY202" s="661"/>
      <c r="MKZ202" s="661"/>
      <c r="MLA202" s="661"/>
      <c r="MLB202" s="661"/>
      <c r="MLC202" s="661"/>
      <c r="MLD202" s="661"/>
      <c r="MLE202" s="660" t="s">
        <v>634</v>
      </c>
      <c r="MLF202" s="661"/>
      <c r="MLG202" s="661"/>
      <c r="MLH202" s="661"/>
      <c r="MLI202" s="661"/>
      <c r="MLJ202" s="661"/>
      <c r="MLK202" s="661"/>
      <c r="MLL202" s="661"/>
      <c r="MLM202" s="661"/>
      <c r="MLN202" s="661"/>
      <c r="MLO202" s="661"/>
      <c r="MLP202" s="661"/>
      <c r="MLQ202" s="661"/>
      <c r="MLR202" s="661"/>
      <c r="MLS202" s="661"/>
      <c r="MLT202" s="661"/>
      <c r="MLU202" s="660" t="s">
        <v>634</v>
      </c>
      <c r="MLV202" s="661"/>
      <c r="MLW202" s="661"/>
      <c r="MLX202" s="661"/>
      <c r="MLY202" s="661"/>
      <c r="MLZ202" s="661"/>
      <c r="MMA202" s="661"/>
      <c r="MMB202" s="661"/>
      <c r="MMC202" s="661"/>
      <c r="MMD202" s="661"/>
      <c r="MME202" s="661"/>
      <c r="MMF202" s="661"/>
      <c r="MMG202" s="661"/>
      <c r="MMH202" s="661"/>
      <c r="MMI202" s="661"/>
      <c r="MMJ202" s="661"/>
      <c r="MMK202" s="660" t="s">
        <v>634</v>
      </c>
      <c r="MML202" s="661"/>
      <c r="MMM202" s="661"/>
      <c r="MMN202" s="661"/>
      <c r="MMO202" s="661"/>
      <c r="MMP202" s="661"/>
      <c r="MMQ202" s="661"/>
      <c r="MMR202" s="661"/>
      <c r="MMS202" s="661"/>
      <c r="MMT202" s="661"/>
      <c r="MMU202" s="661"/>
      <c r="MMV202" s="661"/>
      <c r="MMW202" s="661"/>
      <c r="MMX202" s="661"/>
      <c r="MMY202" s="661"/>
      <c r="MMZ202" s="661"/>
      <c r="MNA202" s="660" t="s">
        <v>634</v>
      </c>
      <c r="MNB202" s="661"/>
      <c r="MNC202" s="661"/>
      <c r="MND202" s="661"/>
      <c r="MNE202" s="661"/>
      <c r="MNF202" s="661"/>
      <c r="MNG202" s="661"/>
      <c r="MNH202" s="661"/>
      <c r="MNI202" s="661"/>
      <c r="MNJ202" s="661"/>
      <c r="MNK202" s="661"/>
      <c r="MNL202" s="661"/>
      <c r="MNM202" s="661"/>
      <c r="MNN202" s="661"/>
      <c r="MNO202" s="661"/>
      <c r="MNP202" s="661"/>
      <c r="MNQ202" s="660" t="s">
        <v>634</v>
      </c>
      <c r="MNR202" s="661"/>
      <c r="MNS202" s="661"/>
      <c r="MNT202" s="661"/>
      <c r="MNU202" s="661"/>
      <c r="MNV202" s="661"/>
      <c r="MNW202" s="661"/>
      <c r="MNX202" s="661"/>
      <c r="MNY202" s="661"/>
      <c r="MNZ202" s="661"/>
      <c r="MOA202" s="661"/>
      <c r="MOB202" s="661"/>
      <c r="MOC202" s="661"/>
      <c r="MOD202" s="661"/>
      <c r="MOE202" s="661"/>
      <c r="MOF202" s="661"/>
      <c r="MOG202" s="660" t="s">
        <v>634</v>
      </c>
      <c r="MOH202" s="661"/>
      <c r="MOI202" s="661"/>
      <c r="MOJ202" s="661"/>
      <c r="MOK202" s="661"/>
      <c r="MOL202" s="661"/>
      <c r="MOM202" s="661"/>
      <c r="MON202" s="661"/>
      <c r="MOO202" s="661"/>
      <c r="MOP202" s="661"/>
      <c r="MOQ202" s="661"/>
      <c r="MOR202" s="661"/>
      <c r="MOS202" s="661"/>
      <c r="MOT202" s="661"/>
      <c r="MOU202" s="661"/>
      <c r="MOV202" s="661"/>
      <c r="MOW202" s="660" t="s">
        <v>634</v>
      </c>
      <c r="MOX202" s="661"/>
      <c r="MOY202" s="661"/>
      <c r="MOZ202" s="661"/>
      <c r="MPA202" s="661"/>
      <c r="MPB202" s="661"/>
      <c r="MPC202" s="661"/>
      <c r="MPD202" s="661"/>
      <c r="MPE202" s="661"/>
      <c r="MPF202" s="661"/>
      <c r="MPG202" s="661"/>
      <c r="MPH202" s="661"/>
      <c r="MPI202" s="661"/>
      <c r="MPJ202" s="661"/>
      <c r="MPK202" s="661"/>
      <c r="MPL202" s="661"/>
      <c r="MPM202" s="660" t="s">
        <v>634</v>
      </c>
      <c r="MPN202" s="661"/>
      <c r="MPO202" s="661"/>
      <c r="MPP202" s="661"/>
      <c r="MPQ202" s="661"/>
      <c r="MPR202" s="661"/>
      <c r="MPS202" s="661"/>
      <c r="MPT202" s="661"/>
      <c r="MPU202" s="661"/>
      <c r="MPV202" s="661"/>
      <c r="MPW202" s="661"/>
      <c r="MPX202" s="661"/>
      <c r="MPY202" s="661"/>
      <c r="MPZ202" s="661"/>
      <c r="MQA202" s="661"/>
      <c r="MQB202" s="661"/>
      <c r="MQC202" s="660" t="s">
        <v>634</v>
      </c>
      <c r="MQD202" s="661"/>
      <c r="MQE202" s="661"/>
      <c r="MQF202" s="661"/>
      <c r="MQG202" s="661"/>
      <c r="MQH202" s="661"/>
      <c r="MQI202" s="661"/>
      <c r="MQJ202" s="661"/>
      <c r="MQK202" s="661"/>
      <c r="MQL202" s="661"/>
      <c r="MQM202" s="661"/>
      <c r="MQN202" s="661"/>
      <c r="MQO202" s="661"/>
      <c r="MQP202" s="661"/>
      <c r="MQQ202" s="661"/>
      <c r="MQR202" s="661"/>
      <c r="MQS202" s="660" t="s">
        <v>634</v>
      </c>
      <c r="MQT202" s="661"/>
      <c r="MQU202" s="661"/>
      <c r="MQV202" s="661"/>
      <c r="MQW202" s="661"/>
      <c r="MQX202" s="661"/>
      <c r="MQY202" s="661"/>
      <c r="MQZ202" s="661"/>
      <c r="MRA202" s="661"/>
      <c r="MRB202" s="661"/>
      <c r="MRC202" s="661"/>
      <c r="MRD202" s="661"/>
      <c r="MRE202" s="661"/>
      <c r="MRF202" s="661"/>
      <c r="MRG202" s="661"/>
      <c r="MRH202" s="661"/>
      <c r="MRI202" s="660" t="s">
        <v>634</v>
      </c>
      <c r="MRJ202" s="661"/>
      <c r="MRK202" s="661"/>
      <c r="MRL202" s="661"/>
      <c r="MRM202" s="661"/>
      <c r="MRN202" s="661"/>
      <c r="MRO202" s="661"/>
      <c r="MRP202" s="661"/>
      <c r="MRQ202" s="661"/>
      <c r="MRR202" s="661"/>
      <c r="MRS202" s="661"/>
      <c r="MRT202" s="661"/>
      <c r="MRU202" s="661"/>
      <c r="MRV202" s="661"/>
      <c r="MRW202" s="661"/>
      <c r="MRX202" s="661"/>
      <c r="MRY202" s="660" t="s">
        <v>634</v>
      </c>
      <c r="MRZ202" s="661"/>
      <c r="MSA202" s="661"/>
      <c r="MSB202" s="661"/>
      <c r="MSC202" s="661"/>
      <c r="MSD202" s="661"/>
      <c r="MSE202" s="661"/>
      <c r="MSF202" s="661"/>
      <c r="MSG202" s="661"/>
      <c r="MSH202" s="661"/>
      <c r="MSI202" s="661"/>
      <c r="MSJ202" s="661"/>
      <c r="MSK202" s="661"/>
      <c r="MSL202" s="661"/>
      <c r="MSM202" s="661"/>
      <c r="MSN202" s="661"/>
      <c r="MSO202" s="660" t="s">
        <v>634</v>
      </c>
      <c r="MSP202" s="661"/>
      <c r="MSQ202" s="661"/>
      <c r="MSR202" s="661"/>
      <c r="MSS202" s="661"/>
      <c r="MST202" s="661"/>
      <c r="MSU202" s="661"/>
      <c r="MSV202" s="661"/>
      <c r="MSW202" s="661"/>
      <c r="MSX202" s="661"/>
      <c r="MSY202" s="661"/>
      <c r="MSZ202" s="661"/>
      <c r="MTA202" s="661"/>
      <c r="MTB202" s="661"/>
      <c r="MTC202" s="661"/>
      <c r="MTD202" s="661"/>
      <c r="MTE202" s="660" t="s">
        <v>634</v>
      </c>
      <c r="MTF202" s="661"/>
      <c r="MTG202" s="661"/>
      <c r="MTH202" s="661"/>
      <c r="MTI202" s="661"/>
      <c r="MTJ202" s="661"/>
      <c r="MTK202" s="661"/>
      <c r="MTL202" s="661"/>
      <c r="MTM202" s="661"/>
      <c r="MTN202" s="661"/>
      <c r="MTO202" s="661"/>
      <c r="MTP202" s="661"/>
      <c r="MTQ202" s="661"/>
      <c r="MTR202" s="661"/>
      <c r="MTS202" s="661"/>
      <c r="MTT202" s="661"/>
      <c r="MTU202" s="660" t="s">
        <v>634</v>
      </c>
      <c r="MTV202" s="661"/>
      <c r="MTW202" s="661"/>
      <c r="MTX202" s="661"/>
      <c r="MTY202" s="661"/>
      <c r="MTZ202" s="661"/>
      <c r="MUA202" s="661"/>
      <c r="MUB202" s="661"/>
      <c r="MUC202" s="661"/>
      <c r="MUD202" s="661"/>
      <c r="MUE202" s="661"/>
      <c r="MUF202" s="661"/>
      <c r="MUG202" s="661"/>
      <c r="MUH202" s="661"/>
      <c r="MUI202" s="661"/>
      <c r="MUJ202" s="661"/>
      <c r="MUK202" s="660" t="s">
        <v>634</v>
      </c>
      <c r="MUL202" s="661"/>
      <c r="MUM202" s="661"/>
      <c r="MUN202" s="661"/>
      <c r="MUO202" s="661"/>
      <c r="MUP202" s="661"/>
      <c r="MUQ202" s="661"/>
      <c r="MUR202" s="661"/>
      <c r="MUS202" s="661"/>
      <c r="MUT202" s="661"/>
      <c r="MUU202" s="661"/>
      <c r="MUV202" s="661"/>
      <c r="MUW202" s="661"/>
      <c r="MUX202" s="661"/>
      <c r="MUY202" s="661"/>
      <c r="MUZ202" s="661"/>
      <c r="MVA202" s="660" t="s">
        <v>634</v>
      </c>
      <c r="MVB202" s="661"/>
      <c r="MVC202" s="661"/>
      <c r="MVD202" s="661"/>
      <c r="MVE202" s="661"/>
      <c r="MVF202" s="661"/>
      <c r="MVG202" s="661"/>
      <c r="MVH202" s="661"/>
      <c r="MVI202" s="661"/>
      <c r="MVJ202" s="661"/>
      <c r="MVK202" s="661"/>
      <c r="MVL202" s="661"/>
      <c r="MVM202" s="661"/>
      <c r="MVN202" s="661"/>
      <c r="MVO202" s="661"/>
      <c r="MVP202" s="661"/>
      <c r="MVQ202" s="660" t="s">
        <v>634</v>
      </c>
      <c r="MVR202" s="661"/>
      <c r="MVS202" s="661"/>
      <c r="MVT202" s="661"/>
      <c r="MVU202" s="661"/>
      <c r="MVV202" s="661"/>
      <c r="MVW202" s="661"/>
      <c r="MVX202" s="661"/>
      <c r="MVY202" s="661"/>
      <c r="MVZ202" s="661"/>
      <c r="MWA202" s="661"/>
      <c r="MWB202" s="661"/>
      <c r="MWC202" s="661"/>
      <c r="MWD202" s="661"/>
      <c r="MWE202" s="661"/>
      <c r="MWF202" s="661"/>
      <c r="MWG202" s="660" t="s">
        <v>634</v>
      </c>
      <c r="MWH202" s="661"/>
      <c r="MWI202" s="661"/>
      <c r="MWJ202" s="661"/>
      <c r="MWK202" s="661"/>
      <c r="MWL202" s="661"/>
      <c r="MWM202" s="661"/>
      <c r="MWN202" s="661"/>
      <c r="MWO202" s="661"/>
      <c r="MWP202" s="661"/>
      <c r="MWQ202" s="661"/>
      <c r="MWR202" s="661"/>
      <c r="MWS202" s="661"/>
      <c r="MWT202" s="661"/>
      <c r="MWU202" s="661"/>
      <c r="MWV202" s="661"/>
      <c r="MWW202" s="660" t="s">
        <v>634</v>
      </c>
      <c r="MWX202" s="661"/>
      <c r="MWY202" s="661"/>
      <c r="MWZ202" s="661"/>
      <c r="MXA202" s="661"/>
      <c r="MXB202" s="661"/>
      <c r="MXC202" s="661"/>
      <c r="MXD202" s="661"/>
      <c r="MXE202" s="661"/>
      <c r="MXF202" s="661"/>
      <c r="MXG202" s="661"/>
      <c r="MXH202" s="661"/>
      <c r="MXI202" s="661"/>
      <c r="MXJ202" s="661"/>
      <c r="MXK202" s="661"/>
      <c r="MXL202" s="661"/>
      <c r="MXM202" s="660" t="s">
        <v>634</v>
      </c>
      <c r="MXN202" s="661"/>
      <c r="MXO202" s="661"/>
      <c r="MXP202" s="661"/>
      <c r="MXQ202" s="661"/>
      <c r="MXR202" s="661"/>
      <c r="MXS202" s="661"/>
      <c r="MXT202" s="661"/>
      <c r="MXU202" s="661"/>
      <c r="MXV202" s="661"/>
      <c r="MXW202" s="661"/>
      <c r="MXX202" s="661"/>
      <c r="MXY202" s="661"/>
      <c r="MXZ202" s="661"/>
      <c r="MYA202" s="661"/>
      <c r="MYB202" s="661"/>
      <c r="MYC202" s="660" t="s">
        <v>634</v>
      </c>
      <c r="MYD202" s="661"/>
      <c r="MYE202" s="661"/>
      <c r="MYF202" s="661"/>
      <c r="MYG202" s="661"/>
      <c r="MYH202" s="661"/>
      <c r="MYI202" s="661"/>
      <c r="MYJ202" s="661"/>
      <c r="MYK202" s="661"/>
      <c r="MYL202" s="661"/>
      <c r="MYM202" s="661"/>
      <c r="MYN202" s="661"/>
      <c r="MYO202" s="661"/>
      <c r="MYP202" s="661"/>
      <c r="MYQ202" s="661"/>
      <c r="MYR202" s="661"/>
      <c r="MYS202" s="660" t="s">
        <v>634</v>
      </c>
      <c r="MYT202" s="661"/>
      <c r="MYU202" s="661"/>
      <c r="MYV202" s="661"/>
      <c r="MYW202" s="661"/>
      <c r="MYX202" s="661"/>
      <c r="MYY202" s="661"/>
      <c r="MYZ202" s="661"/>
      <c r="MZA202" s="661"/>
      <c r="MZB202" s="661"/>
      <c r="MZC202" s="661"/>
      <c r="MZD202" s="661"/>
      <c r="MZE202" s="661"/>
      <c r="MZF202" s="661"/>
      <c r="MZG202" s="661"/>
      <c r="MZH202" s="661"/>
      <c r="MZI202" s="660" t="s">
        <v>634</v>
      </c>
      <c r="MZJ202" s="661"/>
      <c r="MZK202" s="661"/>
      <c r="MZL202" s="661"/>
      <c r="MZM202" s="661"/>
      <c r="MZN202" s="661"/>
      <c r="MZO202" s="661"/>
      <c r="MZP202" s="661"/>
      <c r="MZQ202" s="661"/>
      <c r="MZR202" s="661"/>
      <c r="MZS202" s="661"/>
      <c r="MZT202" s="661"/>
      <c r="MZU202" s="661"/>
      <c r="MZV202" s="661"/>
      <c r="MZW202" s="661"/>
      <c r="MZX202" s="661"/>
      <c r="MZY202" s="660" t="s">
        <v>634</v>
      </c>
      <c r="MZZ202" s="661"/>
      <c r="NAA202" s="661"/>
      <c r="NAB202" s="661"/>
      <c r="NAC202" s="661"/>
      <c r="NAD202" s="661"/>
      <c r="NAE202" s="661"/>
      <c r="NAF202" s="661"/>
      <c r="NAG202" s="661"/>
      <c r="NAH202" s="661"/>
      <c r="NAI202" s="661"/>
      <c r="NAJ202" s="661"/>
      <c r="NAK202" s="661"/>
      <c r="NAL202" s="661"/>
      <c r="NAM202" s="661"/>
      <c r="NAN202" s="661"/>
      <c r="NAO202" s="660" t="s">
        <v>634</v>
      </c>
      <c r="NAP202" s="661"/>
      <c r="NAQ202" s="661"/>
      <c r="NAR202" s="661"/>
      <c r="NAS202" s="661"/>
      <c r="NAT202" s="661"/>
      <c r="NAU202" s="661"/>
      <c r="NAV202" s="661"/>
      <c r="NAW202" s="661"/>
      <c r="NAX202" s="661"/>
      <c r="NAY202" s="661"/>
      <c r="NAZ202" s="661"/>
      <c r="NBA202" s="661"/>
      <c r="NBB202" s="661"/>
      <c r="NBC202" s="661"/>
      <c r="NBD202" s="661"/>
      <c r="NBE202" s="660" t="s">
        <v>634</v>
      </c>
      <c r="NBF202" s="661"/>
      <c r="NBG202" s="661"/>
      <c r="NBH202" s="661"/>
      <c r="NBI202" s="661"/>
      <c r="NBJ202" s="661"/>
      <c r="NBK202" s="661"/>
      <c r="NBL202" s="661"/>
      <c r="NBM202" s="661"/>
      <c r="NBN202" s="661"/>
      <c r="NBO202" s="661"/>
      <c r="NBP202" s="661"/>
      <c r="NBQ202" s="661"/>
      <c r="NBR202" s="661"/>
      <c r="NBS202" s="661"/>
      <c r="NBT202" s="661"/>
      <c r="NBU202" s="660" t="s">
        <v>634</v>
      </c>
      <c r="NBV202" s="661"/>
      <c r="NBW202" s="661"/>
      <c r="NBX202" s="661"/>
      <c r="NBY202" s="661"/>
      <c r="NBZ202" s="661"/>
      <c r="NCA202" s="661"/>
      <c r="NCB202" s="661"/>
      <c r="NCC202" s="661"/>
      <c r="NCD202" s="661"/>
      <c r="NCE202" s="661"/>
      <c r="NCF202" s="661"/>
      <c r="NCG202" s="661"/>
      <c r="NCH202" s="661"/>
      <c r="NCI202" s="661"/>
      <c r="NCJ202" s="661"/>
      <c r="NCK202" s="660" t="s">
        <v>634</v>
      </c>
      <c r="NCL202" s="661"/>
      <c r="NCM202" s="661"/>
      <c r="NCN202" s="661"/>
      <c r="NCO202" s="661"/>
      <c r="NCP202" s="661"/>
      <c r="NCQ202" s="661"/>
      <c r="NCR202" s="661"/>
      <c r="NCS202" s="661"/>
      <c r="NCT202" s="661"/>
      <c r="NCU202" s="661"/>
      <c r="NCV202" s="661"/>
      <c r="NCW202" s="661"/>
      <c r="NCX202" s="661"/>
      <c r="NCY202" s="661"/>
      <c r="NCZ202" s="661"/>
      <c r="NDA202" s="660" t="s">
        <v>634</v>
      </c>
      <c r="NDB202" s="661"/>
      <c r="NDC202" s="661"/>
      <c r="NDD202" s="661"/>
      <c r="NDE202" s="661"/>
      <c r="NDF202" s="661"/>
      <c r="NDG202" s="661"/>
      <c r="NDH202" s="661"/>
      <c r="NDI202" s="661"/>
      <c r="NDJ202" s="661"/>
      <c r="NDK202" s="661"/>
      <c r="NDL202" s="661"/>
      <c r="NDM202" s="661"/>
      <c r="NDN202" s="661"/>
      <c r="NDO202" s="661"/>
      <c r="NDP202" s="661"/>
      <c r="NDQ202" s="660" t="s">
        <v>634</v>
      </c>
      <c r="NDR202" s="661"/>
      <c r="NDS202" s="661"/>
      <c r="NDT202" s="661"/>
      <c r="NDU202" s="661"/>
      <c r="NDV202" s="661"/>
      <c r="NDW202" s="661"/>
      <c r="NDX202" s="661"/>
      <c r="NDY202" s="661"/>
      <c r="NDZ202" s="661"/>
      <c r="NEA202" s="661"/>
      <c r="NEB202" s="661"/>
      <c r="NEC202" s="661"/>
      <c r="NED202" s="661"/>
      <c r="NEE202" s="661"/>
      <c r="NEF202" s="661"/>
      <c r="NEG202" s="660" t="s">
        <v>634</v>
      </c>
      <c r="NEH202" s="661"/>
      <c r="NEI202" s="661"/>
      <c r="NEJ202" s="661"/>
      <c r="NEK202" s="661"/>
      <c r="NEL202" s="661"/>
      <c r="NEM202" s="661"/>
      <c r="NEN202" s="661"/>
      <c r="NEO202" s="661"/>
      <c r="NEP202" s="661"/>
      <c r="NEQ202" s="661"/>
      <c r="NER202" s="661"/>
      <c r="NES202" s="661"/>
      <c r="NET202" s="661"/>
      <c r="NEU202" s="661"/>
      <c r="NEV202" s="661"/>
      <c r="NEW202" s="660" t="s">
        <v>634</v>
      </c>
      <c r="NEX202" s="661"/>
      <c r="NEY202" s="661"/>
      <c r="NEZ202" s="661"/>
      <c r="NFA202" s="661"/>
      <c r="NFB202" s="661"/>
      <c r="NFC202" s="661"/>
      <c r="NFD202" s="661"/>
      <c r="NFE202" s="661"/>
      <c r="NFF202" s="661"/>
      <c r="NFG202" s="661"/>
      <c r="NFH202" s="661"/>
      <c r="NFI202" s="661"/>
      <c r="NFJ202" s="661"/>
      <c r="NFK202" s="661"/>
      <c r="NFL202" s="661"/>
      <c r="NFM202" s="660" t="s">
        <v>634</v>
      </c>
      <c r="NFN202" s="661"/>
      <c r="NFO202" s="661"/>
      <c r="NFP202" s="661"/>
      <c r="NFQ202" s="661"/>
      <c r="NFR202" s="661"/>
      <c r="NFS202" s="661"/>
      <c r="NFT202" s="661"/>
      <c r="NFU202" s="661"/>
      <c r="NFV202" s="661"/>
      <c r="NFW202" s="661"/>
      <c r="NFX202" s="661"/>
      <c r="NFY202" s="661"/>
      <c r="NFZ202" s="661"/>
      <c r="NGA202" s="661"/>
      <c r="NGB202" s="661"/>
      <c r="NGC202" s="660" t="s">
        <v>634</v>
      </c>
      <c r="NGD202" s="661"/>
      <c r="NGE202" s="661"/>
      <c r="NGF202" s="661"/>
      <c r="NGG202" s="661"/>
      <c r="NGH202" s="661"/>
      <c r="NGI202" s="661"/>
      <c r="NGJ202" s="661"/>
      <c r="NGK202" s="661"/>
      <c r="NGL202" s="661"/>
      <c r="NGM202" s="661"/>
      <c r="NGN202" s="661"/>
      <c r="NGO202" s="661"/>
      <c r="NGP202" s="661"/>
      <c r="NGQ202" s="661"/>
      <c r="NGR202" s="661"/>
      <c r="NGS202" s="660" t="s">
        <v>634</v>
      </c>
      <c r="NGT202" s="661"/>
      <c r="NGU202" s="661"/>
      <c r="NGV202" s="661"/>
      <c r="NGW202" s="661"/>
      <c r="NGX202" s="661"/>
      <c r="NGY202" s="661"/>
      <c r="NGZ202" s="661"/>
      <c r="NHA202" s="661"/>
      <c r="NHB202" s="661"/>
      <c r="NHC202" s="661"/>
      <c r="NHD202" s="661"/>
      <c r="NHE202" s="661"/>
      <c r="NHF202" s="661"/>
      <c r="NHG202" s="661"/>
      <c r="NHH202" s="661"/>
      <c r="NHI202" s="660" t="s">
        <v>634</v>
      </c>
      <c r="NHJ202" s="661"/>
      <c r="NHK202" s="661"/>
      <c r="NHL202" s="661"/>
      <c r="NHM202" s="661"/>
      <c r="NHN202" s="661"/>
      <c r="NHO202" s="661"/>
      <c r="NHP202" s="661"/>
      <c r="NHQ202" s="661"/>
      <c r="NHR202" s="661"/>
      <c r="NHS202" s="661"/>
      <c r="NHT202" s="661"/>
      <c r="NHU202" s="661"/>
      <c r="NHV202" s="661"/>
      <c r="NHW202" s="661"/>
      <c r="NHX202" s="661"/>
      <c r="NHY202" s="660" t="s">
        <v>634</v>
      </c>
      <c r="NHZ202" s="661"/>
      <c r="NIA202" s="661"/>
      <c r="NIB202" s="661"/>
      <c r="NIC202" s="661"/>
      <c r="NID202" s="661"/>
      <c r="NIE202" s="661"/>
      <c r="NIF202" s="661"/>
      <c r="NIG202" s="661"/>
      <c r="NIH202" s="661"/>
      <c r="NII202" s="661"/>
      <c r="NIJ202" s="661"/>
      <c r="NIK202" s="661"/>
      <c r="NIL202" s="661"/>
      <c r="NIM202" s="661"/>
      <c r="NIN202" s="661"/>
      <c r="NIO202" s="660" t="s">
        <v>634</v>
      </c>
      <c r="NIP202" s="661"/>
      <c r="NIQ202" s="661"/>
      <c r="NIR202" s="661"/>
      <c r="NIS202" s="661"/>
      <c r="NIT202" s="661"/>
      <c r="NIU202" s="661"/>
      <c r="NIV202" s="661"/>
      <c r="NIW202" s="661"/>
      <c r="NIX202" s="661"/>
      <c r="NIY202" s="661"/>
      <c r="NIZ202" s="661"/>
      <c r="NJA202" s="661"/>
      <c r="NJB202" s="661"/>
      <c r="NJC202" s="661"/>
      <c r="NJD202" s="661"/>
      <c r="NJE202" s="660" t="s">
        <v>634</v>
      </c>
      <c r="NJF202" s="661"/>
      <c r="NJG202" s="661"/>
      <c r="NJH202" s="661"/>
      <c r="NJI202" s="661"/>
      <c r="NJJ202" s="661"/>
      <c r="NJK202" s="661"/>
      <c r="NJL202" s="661"/>
      <c r="NJM202" s="661"/>
      <c r="NJN202" s="661"/>
      <c r="NJO202" s="661"/>
      <c r="NJP202" s="661"/>
      <c r="NJQ202" s="661"/>
      <c r="NJR202" s="661"/>
      <c r="NJS202" s="661"/>
      <c r="NJT202" s="661"/>
      <c r="NJU202" s="660" t="s">
        <v>634</v>
      </c>
      <c r="NJV202" s="661"/>
      <c r="NJW202" s="661"/>
      <c r="NJX202" s="661"/>
      <c r="NJY202" s="661"/>
      <c r="NJZ202" s="661"/>
      <c r="NKA202" s="661"/>
      <c r="NKB202" s="661"/>
      <c r="NKC202" s="661"/>
      <c r="NKD202" s="661"/>
      <c r="NKE202" s="661"/>
      <c r="NKF202" s="661"/>
      <c r="NKG202" s="661"/>
      <c r="NKH202" s="661"/>
      <c r="NKI202" s="661"/>
      <c r="NKJ202" s="661"/>
      <c r="NKK202" s="660" t="s">
        <v>634</v>
      </c>
      <c r="NKL202" s="661"/>
      <c r="NKM202" s="661"/>
      <c r="NKN202" s="661"/>
      <c r="NKO202" s="661"/>
      <c r="NKP202" s="661"/>
      <c r="NKQ202" s="661"/>
      <c r="NKR202" s="661"/>
      <c r="NKS202" s="661"/>
      <c r="NKT202" s="661"/>
      <c r="NKU202" s="661"/>
      <c r="NKV202" s="661"/>
      <c r="NKW202" s="661"/>
      <c r="NKX202" s="661"/>
      <c r="NKY202" s="661"/>
      <c r="NKZ202" s="661"/>
      <c r="NLA202" s="660" t="s">
        <v>634</v>
      </c>
      <c r="NLB202" s="661"/>
      <c r="NLC202" s="661"/>
      <c r="NLD202" s="661"/>
      <c r="NLE202" s="661"/>
      <c r="NLF202" s="661"/>
      <c r="NLG202" s="661"/>
      <c r="NLH202" s="661"/>
      <c r="NLI202" s="661"/>
      <c r="NLJ202" s="661"/>
      <c r="NLK202" s="661"/>
      <c r="NLL202" s="661"/>
      <c r="NLM202" s="661"/>
      <c r="NLN202" s="661"/>
      <c r="NLO202" s="661"/>
      <c r="NLP202" s="661"/>
      <c r="NLQ202" s="660" t="s">
        <v>634</v>
      </c>
      <c r="NLR202" s="661"/>
      <c r="NLS202" s="661"/>
      <c r="NLT202" s="661"/>
      <c r="NLU202" s="661"/>
      <c r="NLV202" s="661"/>
      <c r="NLW202" s="661"/>
      <c r="NLX202" s="661"/>
      <c r="NLY202" s="661"/>
      <c r="NLZ202" s="661"/>
      <c r="NMA202" s="661"/>
      <c r="NMB202" s="661"/>
      <c r="NMC202" s="661"/>
      <c r="NMD202" s="661"/>
      <c r="NME202" s="661"/>
      <c r="NMF202" s="661"/>
      <c r="NMG202" s="660" t="s">
        <v>634</v>
      </c>
      <c r="NMH202" s="661"/>
      <c r="NMI202" s="661"/>
      <c r="NMJ202" s="661"/>
      <c r="NMK202" s="661"/>
      <c r="NML202" s="661"/>
      <c r="NMM202" s="661"/>
      <c r="NMN202" s="661"/>
      <c r="NMO202" s="661"/>
      <c r="NMP202" s="661"/>
      <c r="NMQ202" s="661"/>
      <c r="NMR202" s="661"/>
      <c r="NMS202" s="661"/>
      <c r="NMT202" s="661"/>
      <c r="NMU202" s="661"/>
      <c r="NMV202" s="661"/>
      <c r="NMW202" s="660" t="s">
        <v>634</v>
      </c>
      <c r="NMX202" s="661"/>
      <c r="NMY202" s="661"/>
      <c r="NMZ202" s="661"/>
      <c r="NNA202" s="661"/>
      <c r="NNB202" s="661"/>
      <c r="NNC202" s="661"/>
      <c r="NND202" s="661"/>
      <c r="NNE202" s="661"/>
      <c r="NNF202" s="661"/>
      <c r="NNG202" s="661"/>
      <c r="NNH202" s="661"/>
      <c r="NNI202" s="661"/>
      <c r="NNJ202" s="661"/>
      <c r="NNK202" s="661"/>
      <c r="NNL202" s="661"/>
      <c r="NNM202" s="660" t="s">
        <v>634</v>
      </c>
      <c r="NNN202" s="661"/>
      <c r="NNO202" s="661"/>
      <c r="NNP202" s="661"/>
      <c r="NNQ202" s="661"/>
      <c r="NNR202" s="661"/>
      <c r="NNS202" s="661"/>
      <c r="NNT202" s="661"/>
      <c r="NNU202" s="661"/>
      <c r="NNV202" s="661"/>
      <c r="NNW202" s="661"/>
      <c r="NNX202" s="661"/>
      <c r="NNY202" s="661"/>
      <c r="NNZ202" s="661"/>
      <c r="NOA202" s="661"/>
      <c r="NOB202" s="661"/>
      <c r="NOC202" s="660" t="s">
        <v>634</v>
      </c>
      <c r="NOD202" s="661"/>
      <c r="NOE202" s="661"/>
      <c r="NOF202" s="661"/>
      <c r="NOG202" s="661"/>
      <c r="NOH202" s="661"/>
      <c r="NOI202" s="661"/>
      <c r="NOJ202" s="661"/>
      <c r="NOK202" s="661"/>
      <c r="NOL202" s="661"/>
      <c r="NOM202" s="661"/>
      <c r="NON202" s="661"/>
      <c r="NOO202" s="661"/>
      <c r="NOP202" s="661"/>
      <c r="NOQ202" s="661"/>
      <c r="NOR202" s="661"/>
      <c r="NOS202" s="660" t="s">
        <v>634</v>
      </c>
      <c r="NOT202" s="661"/>
      <c r="NOU202" s="661"/>
      <c r="NOV202" s="661"/>
      <c r="NOW202" s="661"/>
      <c r="NOX202" s="661"/>
      <c r="NOY202" s="661"/>
      <c r="NOZ202" s="661"/>
      <c r="NPA202" s="661"/>
      <c r="NPB202" s="661"/>
      <c r="NPC202" s="661"/>
      <c r="NPD202" s="661"/>
      <c r="NPE202" s="661"/>
      <c r="NPF202" s="661"/>
      <c r="NPG202" s="661"/>
      <c r="NPH202" s="661"/>
      <c r="NPI202" s="660" t="s">
        <v>634</v>
      </c>
      <c r="NPJ202" s="661"/>
      <c r="NPK202" s="661"/>
      <c r="NPL202" s="661"/>
      <c r="NPM202" s="661"/>
      <c r="NPN202" s="661"/>
      <c r="NPO202" s="661"/>
      <c r="NPP202" s="661"/>
      <c r="NPQ202" s="661"/>
      <c r="NPR202" s="661"/>
      <c r="NPS202" s="661"/>
      <c r="NPT202" s="661"/>
      <c r="NPU202" s="661"/>
      <c r="NPV202" s="661"/>
      <c r="NPW202" s="661"/>
      <c r="NPX202" s="661"/>
      <c r="NPY202" s="660" t="s">
        <v>634</v>
      </c>
      <c r="NPZ202" s="661"/>
      <c r="NQA202" s="661"/>
      <c r="NQB202" s="661"/>
      <c r="NQC202" s="661"/>
      <c r="NQD202" s="661"/>
      <c r="NQE202" s="661"/>
      <c r="NQF202" s="661"/>
      <c r="NQG202" s="661"/>
      <c r="NQH202" s="661"/>
      <c r="NQI202" s="661"/>
      <c r="NQJ202" s="661"/>
      <c r="NQK202" s="661"/>
      <c r="NQL202" s="661"/>
      <c r="NQM202" s="661"/>
      <c r="NQN202" s="661"/>
      <c r="NQO202" s="660" t="s">
        <v>634</v>
      </c>
      <c r="NQP202" s="661"/>
      <c r="NQQ202" s="661"/>
      <c r="NQR202" s="661"/>
      <c r="NQS202" s="661"/>
      <c r="NQT202" s="661"/>
      <c r="NQU202" s="661"/>
      <c r="NQV202" s="661"/>
      <c r="NQW202" s="661"/>
      <c r="NQX202" s="661"/>
      <c r="NQY202" s="661"/>
      <c r="NQZ202" s="661"/>
      <c r="NRA202" s="661"/>
      <c r="NRB202" s="661"/>
      <c r="NRC202" s="661"/>
      <c r="NRD202" s="661"/>
      <c r="NRE202" s="660" t="s">
        <v>634</v>
      </c>
      <c r="NRF202" s="661"/>
      <c r="NRG202" s="661"/>
      <c r="NRH202" s="661"/>
      <c r="NRI202" s="661"/>
      <c r="NRJ202" s="661"/>
      <c r="NRK202" s="661"/>
      <c r="NRL202" s="661"/>
      <c r="NRM202" s="661"/>
      <c r="NRN202" s="661"/>
      <c r="NRO202" s="661"/>
      <c r="NRP202" s="661"/>
      <c r="NRQ202" s="661"/>
      <c r="NRR202" s="661"/>
      <c r="NRS202" s="661"/>
      <c r="NRT202" s="661"/>
      <c r="NRU202" s="660" t="s">
        <v>634</v>
      </c>
      <c r="NRV202" s="661"/>
      <c r="NRW202" s="661"/>
      <c r="NRX202" s="661"/>
      <c r="NRY202" s="661"/>
      <c r="NRZ202" s="661"/>
      <c r="NSA202" s="661"/>
      <c r="NSB202" s="661"/>
      <c r="NSC202" s="661"/>
      <c r="NSD202" s="661"/>
      <c r="NSE202" s="661"/>
      <c r="NSF202" s="661"/>
      <c r="NSG202" s="661"/>
      <c r="NSH202" s="661"/>
      <c r="NSI202" s="661"/>
      <c r="NSJ202" s="661"/>
      <c r="NSK202" s="660" t="s">
        <v>634</v>
      </c>
      <c r="NSL202" s="661"/>
      <c r="NSM202" s="661"/>
      <c r="NSN202" s="661"/>
      <c r="NSO202" s="661"/>
      <c r="NSP202" s="661"/>
      <c r="NSQ202" s="661"/>
      <c r="NSR202" s="661"/>
      <c r="NSS202" s="661"/>
      <c r="NST202" s="661"/>
      <c r="NSU202" s="661"/>
      <c r="NSV202" s="661"/>
      <c r="NSW202" s="661"/>
      <c r="NSX202" s="661"/>
      <c r="NSY202" s="661"/>
      <c r="NSZ202" s="661"/>
      <c r="NTA202" s="660" t="s">
        <v>634</v>
      </c>
      <c r="NTB202" s="661"/>
      <c r="NTC202" s="661"/>
      <c r="NTD202" s="661"/>
      <c r="NTE202" s="661"/>
      <c r="NTF202" s="661"/>
      <c r="NTG202" s="661"/>
      <c r="NTH202" s="661"/>
      <c r="NTI202" s="661"/>
      <c r="NTJ202" s="661"/>
      <c r="NTK202" s="661"/>
      <c r="NTL202" s="661"/>
      <c r="NTM202" s="661"/>
      <c r="NTN202" s="661"/>
      <c r="NTO202" s="661"/>
      <c r="NTP202" s="661"/>
      <c r="NTQ202" s="660" t="s">
        <v>634</v>
      </c>
      <c r="NTR202" s="661"/>
      <c r="NTS202" s="661"/>
      <c r="NTT202" s="661"/>
      <c r="NTU202" s="661"/>
      <c r="NTV202" s="661"/>
      <c r="NTW202" s="661"/>
      <c r="NTX202" s="661"/>
      <c r="NTY202" s="661"/>
      <c r="NTZ202" s="661"/>
      <c r="NUA202" s="661"/>
      <c r="NUB202" s="661"/>
      <c r="NUC202" s="661"/>
      <c r="NUD202" s="661"/>
      <c r="NUE202" s="661"/>
      <c r="NUF202" s="661"/>
      <c r="NUG202" s="660" t="s">
        <v>634</v>
      </c>
      <c r="NUH202" s="661"/>
      <c r="NUI202" s="661"/>
      <c r="NUJ202" s="661"/>
      <c r="NUK202" s="661"/>
      <c r="NUL202" s="661"/>
      <c r="NUM202" s="661"/>
      <c r="NUN202" s="661"/>
      <c r="NUO202" s="661"/>
      <c r="NUP202" s="661"/>
      <c r="NUQ202" s="661"/>
      <c r="NUR202" s="661"/>
      <c r="NUS202" s="661"/>
      <c r="NUT202" s="661"/>
      <c r="NUU202" s="661"/>
      <c r="NUV202" s="661"/>
      <c r="NUW202" s="660" t="s">
        <v>634</v>
      </c>
      <c r="NUX202" s="661"/>
      <c r="NUY202" s="661"/>
      <c r="NUZ202" s="661"/>
      <c r="NVA202" s="661"/>
      <c r="NVB202" s="661"/>
      <c r="NVC202" s="661"/>
      <c r="NVD202" s="661"/>
      <c r="NVE202" s="661"/>
      <c r="NVF202" s="661"/>
      <c r="NVG202" s="661"/>
      <c r="NVH202" s="661"/>
      <c r="NVI202" s="661"/>
      <c r="NVJ202" s="661"/>
      <c r="NVK202" s="661"/>
      <c r="NVL202" s="661"/>
      <c r="NVM202" s="660" t="s">
        <v>634</v>
      </c>
      <c r="NVN202" s="661"/>
      <c r="NVO202" s="661"/>
      <c r="NVP202" s="661"/>
      <c r="NVQ202" s="661"/>
      <c r="NVR202" s="661"/>
      <c r="NVS202" s="661"/>
      <c r="NVT202" s="661"/>
      <c r="NVU202" s="661"/>
      <c r="NVV202" s="661"/>
      <c r="NVW202" s="661"/>
      <c r="NVX202" s="661"/>
      <c r="NVY202" s="661"/>
      <c r="NVZ202" s="661"/>
      <c r="NWA202" s="661"/>
      <c r="NWB202" s="661"/>
      <c r="NWC202" s="660" t="s">
        <v>634</v>
      </c>
      <c r="NWD202" s="661"/>
      <c r="NWE202" s="661"/>
      <c r="NWF202" s="661"/>
      <c r="NWG202" s="661"/>
      <c r="NWH202" s="661"/>
      <c r="NWI202" s="661"/>
      <c r="NWJ202" s="661"/>
      <c r="NWK202" s="661"/>
      <c r="NWL202" s="661"/>
      <c r="NWM202" s="661"/>
      <c r="NWN202" s="661"/>
      <c r="NWO202" s="661"/>
      <c r="NWP202" s="661"/>
      <c r="NWQ202" s="661"/>
      <c r="NWR202" s="661"/>
      <c r="NWS202" s="660" t="s">
        <v>634</v>
      </c>
      <c r="NWT202" s="661"/>
      <c r="NWU202" s="661"/>
      <c r="NWV202" s="661"/>
      <c r="NWW202" s="661"/>
      <c r="NWX202" s="661"/>
      <c r="NWY202" s="661"/>
      <c r="NWZ202" s="661"/>
      <c r="NXA202" s="661"/>
      <c r="NXB202" s="661"/>
      <c r="NXC202" s="661"/>
      <c r="NXD202" s="661"/>
      <c r="NXE202" s="661"/>
      <c r="NXF202" s="661"/>
      <c r="NXG202" s="661"/>
      <c r="NXH202" s="661"/>
      <c r="NXI202" s="660" t="s">
        <v>634</v>
      </c>
      <c r="NXJ202" s="661"/>
      <c r="NXK202" s="661"/>
      <c r="NXL202" s="661"/>
      <c r="NXM202" s="661"/>
      <c r="NXN202" s="661"/>
      <c r="NXO202" s="661"/>
      <c r="NXP202" s="661"/>
      <c r="NXQ202" s="661"/>
      <c r="NXR202" s="661"/>
      <c r="NXS202" s="661"/>
      <c r="NXT202" s="661"/>
      <c r="NXU202" s="661"/>
      <c r="NXV202" s="661"/>
      <c r="NXW202" s="661"/>
      <c r="NXX202" s="661"/>
      <c r="NXY202" s="660" t="s">
        <v>634</v>
      </c>
      <c r="NXZ202" s="661"/>
      <c r="NYA202" s="661"/>
      <c r="NYB202" s="661"/>
      <c r="NYC202" s="661"/>
      <c r="NYD202" s="661"/>
      <c r="NYE202" s="661"/>
      <c r="NYF202" s="661"/>
      <c r="NYG202" s="661"/>
      <c r="NYH202" s="661"/>
      <c r="NYI202" s="661"/>
      <c r="NYJ202" s="661"/>
      <c r="NYK202" s="661"/>
      <c r="NYL202" s="661"/>
      <c r="NYM202" s="661"/>
      <c r="NYN202" s="661"/>
      <c r="NYO202" s="660" t="s">
        <v>634</v>
      </c>
      <c r="NYP202" s="661"/>
      <c r="NYQ202" s="661"/>
      <c r="NYR202" s="661"/>
      <c r="NYS202" s="661"/>
      <c r="NYT202" s="661"/>
      <c r="NYU202" s="661"/>
      <c r="NYV202" s="661"/>
      <c r="NYW202" s="661"/>
      <c r="NYX202" s="661"/>
      <c r="NYY202" s="661"/>
      <c r="NYZ202" s="661"/>
      <c r="NZA202" s="661"/>
      <c r="NZB202" s="661"/>
      <c r="NZC202" s="661"/>
      <c r="NZD202" s="661"/>
      <c r="NZE202" s="660" t="s">
        <v>634</v>
      </c>
      <c r="NZF202" s="661"/>
      <c r="NZG202" s="661"/>
      <c r="NZH202" s="661"/>
      <c r="NZI202" s="661"/>
      <c r="NZJ202" s="661"/>
      <c r="NZK202" s="661"/>
      <c r="NZL202" s="661"/>
      <c r="NZM202" s="661"/>
      <c r="NZN202" s="661"/>
      <c r="NZO202" s="661"/>
      <c r="NZP202" s="661"/>
      <c r="NZQ202" s="661"/>
      <c r="NZR202" s="661"/>
      <c r="NZS202" s="661"/>
      <c r="NZT202" s="661"/>
      <c r="NZU202" s="660" t="s">
        <v>634</v>
      </c>
      <c r="NZV202" s="661"/>
      <c r="NZW202" s="661"/>
      <c r="NZX202" s="661"/>
      <c r="NZY202" s="661"/>
      <c r="NZZ202" s="661"/>
      <c r="OAA202" s="661"/>
      <c r="OAB202" s="661"/>
      <c r="OAC202" s="661"/>
      <c r="OAD202" s="661"/>
      <c r="OAE202" s="661"/>
      <c r="OAF202" s="661"/>
      <c r="OAG202" s="661"/>
      <c r="OAH202" s="661"/>
      <c r="OAI202" s="661"/>
      <c r="OAJ202" s="661"/>
      <c r="OAK202" s="660" t="s">
        <v>634</v>
      </c>
      <c r="OAL202" s="661"/>
      <c r="OAM202" s="661"/>
      <c r="OAN202" s="661"/>
      <c r="OAO202" s="661"/>
      <c r="OAP202" s="661"/>
      <c r="OAQ202" s="661"/>
      <c r="OAR202" s="661"/>
      <c r="OAS202" s="661"/>
      <c r="OAT202" s="661"/>
      <c r="OAU202" s="661"/>
      <c r="OAV202" s="661"/>
      <c r="OAW202" s="661"/>
      <c r="OAX202" s="661"/>
      <c r="OAY202" s="661"/>
      <c r="OAZ202" s="661"/>
      <c r="OBA202" s="660" t="s">
        <v>634</v>
      </c>
      <c r="OBB202" s="661"/>
      <c r="OBC202" s="661"/>
      <c r="OBD202" s="661"/>
      <c r="OBE202" s="661"/>
      <c r="OBF202" s="661"/>
      <c r="OBG202" s="661"/>
      <c r="OBH202" s="661"/>
      <c r="OBI202" s="661"/>
      <c r="OBJ202" s="661"/>
      <c r="OBK202" s="661"/>
      <c r="OBL202" s="661"/>
      <c r="OBM202" s="661"/>
      <c r="OBN202" s="661"/>
      <c r="OBO202" s="661"/>
      <c r="OBP202" s="661"/>
      <c r="OBQ202" s="660" t="s">
        <v>634</v>
      </c>
      <c r="OBR202" s="661"/>
      <c r="OBS202" s="661"/>
      <c r="OBT202" s="661"/>
      <c r="OBU202" s="661"/>
      <c r="OBV202" s="661"/>
      <c r="OBW202" s="661"/>
      <c r="OBX202" s="661"/>
      <c r="OBY202" s="661"/>
      <c r="OBZ202" s="661"/>
      <c r="OCA202" s="661"/>
      <c r="OCB202" s="661"/>
      <c r="OCC202" s="661"/>
      <c r="OCD202" s="661"/>
      <c r="OCE202" s="661"/>
      <c r="OCF202" s="661"/>
      <c r="OCG202" s="660" t="s">
        <v>634</v>
      </c>
      <c r="OCH202" s="661"/>
      <c r="OCI202" s="661"/>
      <c r="OCJ202" s="661"/>
      <c r="OCK202" s="661"/>
      <c r="OCL202" s="661"/>
      <c r="OCM202" s="661"/>
      <c r="OCN202" s="661"/>
      <c r="OCO202" s="661"/>
      <c r="OCP202" s="661"/>
      <c r="OCQ202" s="661"/>
      <c r="OCR202" s="661"/>
      <c r="OCS202" s="661"/>
      <c r="OCT202" s="661"/>
      <c r="OCU202" s="661"/>
      <c r="OCV202" s="661"/>
      <c r="OCW202" s="660" t="s">
        <v>634</v>
      </c>
      <c r="OCX202" s="661"/>
      <c r="OCY202" s="661"/>
      <c r="OCZ202" s="661"/>
      <c r="ODA202" s="661"/>
      <c r="ODB202" s="661"/>
      <c r="ODC202" s="661"/>
      <c r="ODD202" s="661"/>
      <c r="ODE202" s="661"/>
      <c r="ODF202" s="661"/>
      <c r="ODG202" s="661"/>
      <c r="ODH202" s="661"/>
      <c r="ODI202" s="661"/>
      <c r="ODJ202" s="661"/>
      <c r="ODK202" s="661"/>
      <c r="ODL202" s="661"/>
      <c r="ODM202" s="660" t="s">
        <v>634</v>
      </c>
      <c r="ODN202" s="661"/>
      <c r="ODO202" s="661"/>
      <c r="ODP202" s="661"/>
      <c r="ODQ202" s="661"/>
      <c r="ODR202" s="661"/>
      <c r="ODS202" s="661"/>
      <c r="ODT202" s="661"/>
      <c r="ODU202" s="661"/>
      <c r="ODV202" s="661"/>
      <c r="ODW202" s="661"/>
      <c r="ODX202" s="661"/>
      <c r="ODY202" s="661"/>
      <c r="ODZ202" s="661"/>
      <c r="OEA202" s="661"/>
      <c r="OEB202" s="661"/>
      <c r="OEC202" s="660" t="s">
        <v>634</v>
      </c>
      <c r="OED202" s="661"/>
      <c r="OEE202" s="661"/>
      <c r="OEF202" s="661"/>
      <c r="OEG202" s="661"/>
      <c r="OEH202" s="661"/>
      <c r="OEI202" s="661"/>
      <c r="OEJ202" s="661"/>
      <c r="OEK202" s="661"/>
      <c r="OEL202" s="661"/>
      <c r="OEM202" s="661"/>
      <c r="OEN202" s="661"/>
      <c r="OEO202" s="661"/>
      <c r="OEP202" s="661"/>
      <c r="OEQ202" s="661"/>
      <c r="OER202" s="661"/>
      <c r="OES202" s="660" t="s">
        <v>634</v>
      </c>
      <c r="OET202" s="661"/>
      <c r="OEU202" s="661"/>
      <c r="OEV202" s="661"/>
      <c r="OEW202" s="661"/>
      <c r="OEX202" s="661"/>
      <c r="OEY202" s="661"/>
      <c r="OEZ202" s="661"/>
      <c r="OFA202" s="661"/>
      <c r="OFB202" s="661"/>
      <c r="OFC202" s="661"/>
      <c r="OFD202" s="661"/>
      <c r="OFE202" s="661"/>
      <c r="OFF202" s="661"/>
      <c r="OFG202" s="661"/>
      <c r="OFH202" s="661"/>
      <c r="OFI202" s="660" t="s">
        <v>634</v>
      </c>
      <c r="OFJ202" s="661"/>
      <c r="OFK202" s="661"/>
      <c r="OFL202" s="661"/>
      <c r="OFM202" s="661"/>
      <c r="OFN202" s="661"/>
      <c r="OFO202" s="661"/>
      <c r="OFP202" s="661"/>
      <c r="OFQ202" s="661"/>
      <c r="OFR202" s="661"/>
      <c r="OFS202" s="661"/>
      <c r="OFT202" s="661"/>
      <c r="OFU202" s="661"/>
      <c r="OFV202" s="661"/>
      <c r="OFW202" s="661"/>
      <c r="OFX202" s="661"/>
      <c r="OFY202" s="660" t="s">
        <v>634</v>
      </c>
      <c r="OFZ202" s="661"/>
      <c r="OGA202" s="661"/>
      <c r="OGB202" s="661"/>
      <c r="OGC202" s="661"/>
      <c r="OGD202" s="661"/>
      <c r="OGE202" s="661"/>
      <c r="OGF202" s="661"/>
      <c r="OGG202" s="661"/>
      <c r="OGH202" s="661"/>
      <c r="OGI202" s="661"/>
      <c r="OGJ202" s="661"/>
      <c r="OGK202" s="661"/>
      <c r="OGL202" s="661"/>
      <c r="OGM202" s="661"/>
      <c r="OGN202" s="661"/>
      <c r="OGO202" s="660" t="s">
        <v>634</v>
      </c>
      <c r="OGP202" s="661"/>
      <c r="OGQ202" s="661"/>
      <c r="OGR202" s="661"/>
      <c r="OGS202" s="661"/>
      <c r="OGT202" s="661"/>
      <c r="OGU202" s="661"/>
      <c r="OGV202" s="661"/>
      <c r="OGW202" s="661"/>
      <c r="OGX202" s="661"/>
      <c r="OGY202" s="661"/>
      <c r="OGZ202" s="661"/>
      <c r="OHA202" s="661"/>
      <c r="OHB202" s="661"/>
      <c r="OHC202" s="661"/>
      <c r="OHD202" s="661"/>
      <c r="OHE202" s="660" t="s">
        <v>634</v>
      </c>
      <c r="OHF202" s="661"/>
      <c r="OHG202" s="661"/>
      <c r="OHH202" s="661"/>
      <c r="OHI202" s="661"/>
      <c r="OHJ202" s="661"/>
      <c r="OHK202" s="661"/>
      <c r="OHL202" s="661"/>
      <c r="OHM202" s="661"/>
      <c r="OHN202" s="661"/>
      <c r="OHO202" s="661"/>
      <c r="OHP202" s="661"/>
      <c r="OHQ202" s="661"/>
      <c r="OHR202" s="661"/>
      <c r="OHS202" s="661"/>
      <c r="OHT202" s="661"/>
      <c r="OHU202" s="660" t="s">
        <v>634</v>
      </c>
      <c r="OHV202" s="661"/>
      <c r="OHW202" s="661"/>
      <c r="OHX202" s="661"/>
      <c r="OHY202" s="661"/>
      <c r="OHZ202" s="661"/>
      <c r="OIA202" s="661"/>
      <c r="OIB202" s="661"/>
      <c r="OIC202" s="661"/>
      <c r="OID202" s="661"/>
      <c r="OIE202" s="661"/>
      <c r="OIF202" s="661"/>
      <c r="OIG202" s="661"/>
      <c r="OIH202" s="661"/>
      <c r="OII202" s="661"/>
      <c r="OIJ202" s="661"/>
      <c r="OIK202" s="660" t="s">
        <v>634</v>
      </c>
      <c r="OIL202" s="661"/>
      <c r="OIM202" s="661"/>
      <c r="OIN202" s="661"/>
      <c r="OIO202" s="661"/>
      <c r="OIP202" s="661"/>
      <c r="OIQ202" s="661"/>
      <c r="OIR202" s="661"/>
      <c r="OIS202" s="661"/>
      <c r="OIT202" s="661"/>
      <c r="OIU202" s="661"/>
      <c r="OIV202" s="661"/>
      <c r="OIW202" s="661"/>
      <c r="OIX202" s="661"/>
      <c r="OIY202" s="661"/>
      <c r="OIZ202" s="661"/>
      <c r="OJA202" s="660" t="s">
        <v>634</v>
      </c>
      <c r="OJB202" s="661"/>
      <c r="OJC202" s="661"/>
      <c r="OJD202" s="661"/>
      <c r="OJE202" s="661"/>
      <c r="OJF202" s="661"/>
      <c r="OJG202" s="661"/>
      <c r="OJH202" s="661"/>
      <c r="OJI202" s="661"/>
      <c r="OJJ202" s="661"/>
      <c r="OJK202" s="661"/>
      <c r="OJL202" s="661"/>
      <c r="OJM202" s="661"/>
      <c r="OJN202" s="661"/>
      <c r="OJO202" s="661"/>
      <c r="OJP202" s="661"/>
      <c r="OJQ202" s="660" t="s">
        <v>634</v>
      </c>
      <c r="OJR202" s="661"/>
      <c r="OJS202" s="661"/>
      <c r="OJT202" s="661"/>
      <c r="OJU202" s="661"/>
      <c r="OJV202" s="661"/>
      <c r="OJW202" s="661"/>
      <c r="OJX202" s="661"/>
      <c r="OJY202" s="661"/>
      <c r="OJZ202" s="661"/>
      <c r="OKA202" s="661"/>
      <c r="OKB202" s="661"/>
      <c r="OKC202" s="661"/>
      <c r="OKD202" s="661"/>
      <c r="OKE202" s="661"/>
      <c r="OKF202" s="661"/>
      <c r="OKG202" s="660" t="s">
        <v>634</v>
      </c>
      <c r="OKH202" s="661"/>
      <c r="OKI202" s="661"/>
      <c r="OKJ202" s="661"/>
      <c r="OKK202" s="661"/>
      <c r="OKL202" s="661"/>
      <c r="OKM202" s="661"/>
      <c r="OKN202" s="661"/>
      <c r="OKO202" s="661"/>
      <c r="OKP202" s="661"/>
      <c r="OKQ202" s="661"/>
      <c r="OKR202" s="661"/>
      <c r="OKS202" s="661"/>
      <c r="OKT202" s="661"/>
      <c r="OKU202" s="661"/>
      <c r="OKV202" s="661"/>
      <c r="OKW202" s="660" t="s">
        <v>634</v>
      </c>
      <c r="OKX202" s="661"/>
      <c r="OKY202" s="661"/>
      <c r="OKZ202" s="661"/>
      <c r="OLA202" s="661"/>
      <c r="OLB202" s="661"/>
      <c r="OLC202" s="661"/>
      <c r="OLD202" s="661"/>
      <c r="OLE202" s="661"/>
      <c r="OLF202" s="661"/>
      <c r="OLG202" s="661"/>
      <c r="OLH202" s="661"/>
      <c r="OLI202" s="661"/>
      <c r="OLJ202" s="661"/>
      <c r="OLK202" s="661"/>
      <c r="OLL202" s="661"/>
      <c r="OLM202" s="660" t="s">
        <v>634</v>
      </c>
      <c r="OLN202" s="661"/>
      <c r="OLO202" s="661"/>
      <c r="OLP202" s="661"/>
      <c r="OLQ202" s="661"/>
      <c r="OLR202" s="661"/>
      <c r="OLS202" s="661"/>
      <c r="OLT202" s="661"/>
      <c r="OLU202" s="661"/>
      <c r="OLV202" s="661"/>
      <c r="OLW202" s="661"/>
      <c r="OLX202" s="661"/>
      <c r="OLY202" s="661"/>
      <c r="OLZ202" s="661"/>
      <c r="OMA202" s="661"/>
      <c r="OMB202" s="661"/>
      <c r="OMC202" s="660" t="s">
        <v>634</v>
      </c>
      <c r="OMD202" s="661"/>
      <c r="OME202" s="661"/>
      <c r="OMF202" s="661"/>
      <c r="OMG202" s="661"/>
      <c r="OMH202" s="661"/>
      <c r="OMI202" s="661"/>
      <c r="OMJ202" s="661"/>
      <c r="OMK202" s="661"/>
      <c r="OML202" s="661"/>
      <c r="OMM202" s="661"/>
      <c r="OMN202" s="661"/>
      <c r="OMO202" s="661"/>
      <c r="OMP202" s="661"/>
      <c r="OMQ202" s="661"/>
      <c r="OMR202" s="661"/>
      <c r="OMS202" s="660" t="s">
        <v>634</v>
      </c>
      <c r="OMT202" s="661"/>
      <c r="OMU202" s="661"/>
      <c r="OMV202" s="661"/>
      <c r="OMW202" s="661"/>
      <c r="OMX202" s="661"/>
      <c r="OMY202" s="661"/>
      <c r="OMZ202" s="661"/>
      <c r="ONA202" s="661"/>
      <c r="ONB202" s="661"/>
      <c r="ONC202" s="661"/>
      <c r="OND202" s="661"/>
      <c r="ONE202" s="661"/>
      <c r="ONF202" s="661"/>
      <c r="ONG202" s="661"/>
      <c r="ONH202" s="661"/>
      <c r="ONI202" s="660" t="s">
        <v>634</v>
      </c>
      <c r="ONJ202" s="661"/>
      <c r="ONK202" s="661"/>
      <c r="ONL202" s="661"/>
      <c r="ONM202" s="661"/>
      <c r="ONN202" s="661"/>
      <c r="ONO202" s="661"/>
      <c r="ONP202" s="661"/>
      <c r="ONQ202" s="661"/>
      <c r="ONR202" s="661"/>
      <c r="ONS202" s="661"/>
      <c r="ONT202" s="661"/>
      <c r="ONU202" s="661"/>
      <c r="ONV202" s="661"/>
      <c r="ONW202" s="661"/>
      <c r="ONX202" s="661"/>
      <c r="ONY202" s="660" t="s">
        <v>634</v>
      </c>
      <c r="ONZ202" s="661"/>
      <c r="OOA202" s="661"/>
      <c r="OOB202" s="661"/>
      <c r="OOC202" s="661"/>
      <c r="OOD202" s="661"/>
      <c r="OOE202" s="661"/>
      <c r="OOF202" s="661"/>
      <c r="OOG202" s="661"/>
      <c r="OOH202" s="661"/>
      <c r="OOI202" s="661"/>
      <c r="OOJ202" s="661"/>
      <c r="OOK202" s="661"/>
      <c r="OOL202" s="661"/>
      <c r="OOM202" s="661"/>
      <c r="OON202" s="661"/>
      <c r="OOO202" s="660" t="s">
        <v>634</v>
      </c>
      <c r="OOP202" s="661"/>
      <c r="OOQ202" s="661"/>
      <c r="OOR202" s="661"/>
      <c r="OOS202" s="661"/>
      <c r="OOT202" s="661"/>
      <c r="OOU202" s="661"/>
      <c r="OOV202" s="661"/>
      <c r="OOW202" s="661"/>
      <c r="OOX202" s="661"/>
      <c r="OOY202" s="661"/>
      <c r="OOZ202" s="661"/>
      <c r="OPA202" s="661"/>
      <c r="OPB202" s="661"/>
      <c r="OPC202" s="661"/>
      <c r="OPD202" s="661"/>
      <c r="OPE202" s="660" t="s">
        <v>634</v>
      </c>
      <c r="OPF202" s="661"/>
      <c r="OPG202" s="661"/>
      <c r="OPH202" s="661"/>
      <c r="OPI202" s="661"/>
      <c r="OPJ202" s="661"/>
      <c r="OPK202" s="661"/>
      <c r="OPL202" s="661"/>
      <c r="OPM202" s="661"/>
      <c r="OPN202" s="661"/>
      <c r="OPO202" s="661"/>
      <c r="OPP202" s="661"/>
      <c r="OPQ202" s="661"/>
      <c r="OPR202" s="661"/>
      <c r="OPS202" s="661"/>
      <c r="OPT202" s="661"/>
      <c r="OPU202" s="660" t="s">
        <v>634</v>
      </c>
      <c r="OPV202" s="661"/>
      <c r="OPW202" s="661"/>
      <c r="OPX202" s="661"/>
      <c r="OPY202" s="661"/>
      <c r="OPZ202" s="661"/>
      <c r="OQA202" s="661"/>
      <c r="OQB202" s="661"/>
      <c r="OQC202" s="661"/>
      <c r="OQD202" s="661"/>
      <c r="OQE202" s="661"/>
      <c r="OQF202" s="661"/>
      <c r="OQG202" s="661"/>
      <c r="OQH202" s="661"/>
      <c r="OQI202" s="661"/>
      <c r="OQJ202" s="661"/>
      <c r="OQK202" s="660" t="s">
        <v>634</v>
      </c>
      <c r="OQL202" s="661"/>
      <c r="OQM202" s="661"/>
      <c r="OQN202" s="661"/>
      <c r="OQO202" s="661"/>
      <c r="OQP202" s="661"/>
      <c r="OQQ202" s="661"/>
      <c r="OQR202" s="661"/>
      <c r="OQS202" s="661"/>
      <c r="OQT202" s="661"/>
      <c r="OQU202" s="661"/>
      <c r="OQV202" s="661"/>
      <c r="OQW202" s="661"/>
      <c r="OQX202" s="661"/>
      <c r="OQY202" s="661"/>
      <c r="OQZ202" s="661"/>
      <c r="ORA202" s="660" t="s">
        <v>634</v>
      </c>
      <c r="ORB202" s="661"/>
      <c r="ORC202" s="661"/>
      <c r="ORD202" s="661"/>
      <c r="ORE202" s="661"/>
      <c r="ORF202" s="661"/>
      <c r="ORG202" s="661"/>
      <c r="ORH202" s="661"/>
      <c r="ORI202" s="661"/>
      <c r="ORJ202" s="661"/>
      <c r="ORK202" s="661"/>
      <c r="ORL202" s="661"/>
      <c r="ORM202" s="661"/>
      <c r="ORN202" s="661"/>
      <c r="ORO202" s="661"/>
      <c r="ORP202" s="661"/>
      <c r="ORQ202" s="660" t="s">
        <v>634</v>
      </c>
      <c r="ORR202" s="661"/>
      <c r="ORS202" s="661"/>
      <c r="ORT202" s="661"/>
      <c r="ORU202" s="661"/>
      <c r="ORV202" s="661"/>
      <c r="ORW202" s="661"/>
      <c r="ORX202" s="661"/>
      <c r="ORY202" s="661"/>
      <c r="ORZ202" s="661"/>
      <c r="OSA202" s="661"/>
      <c r="OSB202" s="661"/>
      <c r="OSC202" s="661"/>
      <c r="OSD202" s="661"/>
      <c r="OSE202" s="661"/>
      <c r="OSF202" s="661"/>
      <c r="OSG202" s="660" t="s">
        <v>634</v>
      </c>
      <c r="OSH202" s="661"/>
      <c r="OSI202" s="661"/>
      <c r="OSJ202" s="661"/>
      <c r="OSK202" s="661"/>
      <c r="OSL202" s="661"/>
      <c r="OSM202" s="661"/>
      <c r="OSN202" s="661"/>
      <c r="OSO202" s="661"/>
      <c r="OSP202" s="661"/>
      <c r="OSQ202" s="661"/>
      <c r="OSR202" s="661"/>
      <c r="OSS202" s="661"/>
      <c r="OST202" s="661"/>
      <c r="OSU202" s="661"/>
      <c r="OSV202" s="661"/>
      <c r="OSW202" s="660" t="s">
        <v>634</v>
      </c>
      <c r="OSX202" s="661"/>
      <c r="OSY202" s="661"/>
      <c r="OSZ202" s="661"/>
      <c r="OTA202" s="661"/>
      <c r="OTB202" s="661"/>
      <c r="OTC202" s="661"/>
      <c r="OTD202" s="661"/>
      <c r="OTE202" s="661"/>
      <c r="OTF202" s="661"/>
      <c r="OTG202" s="661"/>
      <c r="OTH202" s="661"/>
      <c r="OTI202" s="661"/>
      <c r="OTJ202" s="661"/>
      <c r="OTK202" s="661"/>
      <c r="OTL202" s="661"/>
      <c r="OTM202" s="660" t="s">
        <v>634</v>
      </c>
      <c r="OTN202" s="661"/>
      <c r="OTO202" s="661"/>
      <c r="OTP202" s="661"/>
      <c r="OTQ202" s="661"/>
      <c r="OTR202" s="661"/>
      <c r="OTS202" s="661"/>
      <c r="OTT202" s="661"/>
      <c r="OTU202" s="661"/>
      <c r="OTV202" s="661"/>
      <c r="OTW202" s="661"/>
      <c r="OTX202" s="661"/>
      <c r="OTY202" s="661"/>
      <c r="OTZ202" s="661"/>
      <c r="OUA202" s="661"/>
      <c r="OUB202" s="661"/>
      <c r="OUC202" s="660" t="s">
        <v>634</v>
      </c>
      <c r="OUD202" s="661"/>
      <c r="OUE202" s="661"/>
      <c r="OUF202" s="661"/>
      <c r="OUG202" s="661"/>
      <c r="OUH202" s="661"/>
      <c r="OUI202" s="661"/>
      <c r="OUJ202" s="661"/>
      <c r="OUK202" s="661"/>
      <c r="OUL202" s="661"/>
      <c r="OUM202" s="661"/>
      <c r="OUN202" s="661"/>
      <c r="OUO202" s="661"/>
      <c r="OUP202" s="661"/>
      <c r="OUQ202" s="661"/>
      <c r="OUR202" s="661"/>
      <c r="OUS202" s="660" t="s">
        <v>634</v>
      </c>
      <c r="OUT202" s="661"/>
      <c r="OUU202" s="661"/>
      <c r="OUV202" s="661"/>
      <c r="OUW202" s="661"/>
      <c r="OUX202" s="661"/>
      <c r="OUY202" s="661"/>
      <c r="OUZ202" s="661"/>
      <c r="OVA202" s="661"/>
      <c r="OVB202" s="661"/>
      <c r="OVC202" s="661"/>
      <c r="OVD202" s="661"/>
      <c r="OVE202" s="661"/>
      <c r="OVF202" s="661"/>
      <c r="OVG202" s="661"/>
      <c r="OVH202" s="661"/>
      <c r="OVI202" s="660" t="s">
        <v>634</v>
      </c>
      <c r="OVJ202" s="661"/>
      <c r="OVK202" s="661"/>
      <c r="OVL202" s="661"/>
      <c r="OVM202" s="661"/>
      <c r="OVN202" s="661"/>
      <c r="OVO202" s="661"/>
      <c r="OVP202" s="661"/>
      <c r="OVQ202" s="661"/>
      <c r="OVR202" s="661"/>
      <c r="OVS202" s="661"/>
      <c r="OVT202" s="661"/>
      <c r="OVU202" s="661"/>
      <c r="OVV202" s="661"/>
      <c r="OVW202" s="661"/>
      <c r="OVX202" s="661"/>
      <c r="OVY202" s="660" t="s">
        <v>634</v>
      </c>
      <c r="OVZ202" s="661"/>
      <c r="OWA202" s="661"/>
      <c r="OWB202" s="661"/>
      <c r="OWC202" s="661"/>
      <c r="OWD202" s="661"/>
      <c r="OWE202" s="661"/>
      <c r="OWF202" s="661"/>
      <c r="OWG202" s="661"/>
      <c r="OWH202" s="661"/>
      <c r="OWI202" s="661"/>
      <c r="OWJ202" s="661"/>
      <c r="OWK202" s="661"/>
      <c r="OWL202" s="661"/>
      <c r="OWM202" s="661"/>
      <c r="OWN202" s="661"/>
      <c r="OWO202" s="660" t="s">
        <v>634</v>
      </c>
      <c r="OWP202" s="661"/>
      <c r="OWQ202" s="661"/>
      <c r="OWR202" s="661"/>
      <c r="OWS202" s="661"/>
      <c r="OWT202" s="661"/>
      <c r="OWU202" s="661"/>
      <c r="OWV202" s="661"/>
      <c r="OWW202" s="661"/>
      <c r="OWX202" s="661"/>
      <c r="OWY202" s="661"/>
      <c r="OWZ202" s="661"/>
      <c r="OXA202" s="661"/>
      <c r="OXB202" s="661"/>
      <c r="OXC202" s="661"/>
      <c r="OXD202" s="661"/>
      <c r="OXE202" s="660" t="s">
        <v>634</v>
      </c>
      <c r="OXF202" s="661"/>
      <c r="OXG202" s="661"/>
      <c r="OXH202" s="661"/>
      <c r="OXI202" s="661"/>
      <c r="OXJ202" s="661"/>
      <c r="OXK202" s="661"/>
      <c r="OXL202" s="661"/>
      <c r="OXM202" s="661"/>
      <c r="OXN202" s="661"/>
      <c r="OXO202" s="661"/>
      <c r="OXP202" s="661"/>
      <c r="OXQ202" s="661"/>
      <c r="OXR202" s="661"/>
      <c r="OXS202" s="661"/>
      <c r="OXT202" s="661"/>
      <c r="OXU202" s="660" t="s">
        <v>634</v>
      </c>
      <c r="OXV202" s="661"/>
      <c r="OXW202" s="661"/>
      <c r="OXX202" s="661"/>
      <c r="OXY202" s="661"/>
      <c r="OXZ202" s="661"/>
      <c r="OYA202" s="661"/>
      <c r="OYB202" s="661"/>
      <c r="OYC202" s="661"/>
      <c r="OYD202" s="661"/>
      <c r="OYE202" s="661"/>
      <c r="OYF202" s="661"/>
      <c r="OYG202" s="661"/>
      <c r="OYH202" s="661"/>
      <c r="OYI202" s="661"/>
      <c r="OYJ202" s="661"/>
      <c r="OYK202" s="660" t="s">
        <v>634</v>
      </c>
      <c r="OYL202" s="661"/>
      <c r="OYM202" s="661"/>
      <c r="OYN202" s="661"/>
      <c r="OYO202" s="661"/>
      <c r="OYP202" s="661"/>
      <c r="OYQ202" s="661"/>
      <c r="OYR202" s="661"/>
      <c r="OYS202" s="661"/>
      <c r="OYT202" s="661"/>
      <c r="OYU202" s="661"/>
      <c r="OYV202" s="661"/>
      <c r="OYW202" s="661"/>
      <c r="OYX202" s="661"/>
      <c r="OYY202" s="661"/>
      <c r="OYZ202" s="661"/>
      <c r="OZA202" s="660" t="s">
        <v>634</v>
      </c>
      <c r="OZB202" s="661"/>
      <c r="OZC202" s="661"/>
      <c r="OZD202" s="661"/>
      <c r="OZE202" s="661"/>
      <c r="OZF202" s="661"/>
      <c r="OZG202" s="661"/>
      <c r="OZH202" s="661"/>
      <c r="OZI202" s="661"/>
      <c r="OZJ202" s="661"/>
      <c r="OZK202" s="661"/>
      <c r="OZL202" s="661"/>
      <c r="OZM202" s="661"/>
      <c r="OZN202" s="661"/>
      <c r="OZO202" s="661"/>
      <c r="OZP202" s="661"/>
      <c r="OZQ202" s="660" t="s">
        <v>634</v>
      </c>
      <c r="OZR202" s="661"/>
      <c r="OZS202" s="661"/>
      <c r="OZT202" s="661"/>
      <c r="OZU202" s="661"/>
      <c r="OZV202" s="661"/>
      <c r="OZW202" s="661"/>
      <c r="OZX202" s="661"/>
      <c r="OZY202" s="661"/>
      <c r="OZZ202" s="661"/>
      <c r="PAA202" s="661"/>
      <c r="PAB202" s="661"/>
      <c r="PAC202" s="661"/>
      <c r="PAD202" s="661"/>
      <c r="PAE202" s="661"/>
      <c r="PAF202" s="661"/>
      <c r="PAG202" s="660" t="s">
        <v>634</v>
      </c>
      <c r="PAH202" s="661"/>
      <c r="PAI202" s="661"/>
      <c r="PAJ202" s="661"/>
      <c r="PAK202" s="661"/>
      <c r="PAL202" s="661"/>
      <c r="PAM202" s="661"/>
      <c r="PAN202" s="661"/>
      <c r="PAO202" s="661"/>
      <c r="PAP202" s="661"/>
      <c r="PAQ202" s="661"/>
      <c r="PAR202" s="661"/>
      <c r="PAS202" s="661"/>
      <c r="PAT202" s="661"/>
      <c r="PAU202" s="661"/>
      <c r="PAV202" s="661"/>
      <c r="PAW202" s="660" t="s">
        <v>634</v>
      </c>
      <c r="PAX202" s="661"/>
      <c r="PAY202" s="661"/>
      <c r="PAZ202" s="661"/>
      <c r="PBA202" s="661"/>
      <c r="PBB202" s="661"/>
      <c r="PBC202" s="661"/>
      <c r="PBD202" s="661"/>
      <c r="PBE202" s="661"/>
      <c r="PBF202" s="661"/>
      <c r="PBG202" s="661"/>
      <c r="PBH202" s="661"/>
      <c r="PBI202" s="661"/>
      <c r="PBJ202" s="661"/>
      <c r="PBK202" s="661"/>
      <c r="PBL202" s="661"/>
      <c r="PBM202" s="660" t="s">
        <v>634</v>
      </c>
      <c r="PBN202" s="661"/>
      <c r="PBO202" s="661"/>
      <c r="PBP202" s="661"/>
      <c r="PBQ202" s="661"/>
      <c r="PBR202" s="661"/>
      <c r="PBS202" s="661"/>
      <c r="PBT202" s="661"/>
      <c r="PBU202" s="661"/>
      <c r="PBV202" s="661"/>
      <c r="PBW202" s="661"/>
      <c r="PBX202" s="661"/>
      <c r="PBY202" s="661"/>
      <c r="PBZ202" s="661"/>
      <c r="PCA202" s="661"/>
      <c r="PCB202" s="661"/>
      <c r="PCC202" s="660" t="s">
        <v>634</v>
      </c>
      <c r="PCD202" s="661"/>
      <c r="PCE202" s="661"/>
      <c r="PCF202" s="661"/>
      <c r="PCG202" s="661"/>
      <c r="PCH202" s="661"/>
      <c r="PCI202" s="661"/>
      <c r="PCJ202" s="661"/>
      <c r="PCK202" s="661"/>
      <c r="PCL202" s="661"/>
      <c r="PCM202" s="661"/>
      <c r="PCN202" s="661"/>
      <c r="PCO202" s="661"/>
      <c r="PCP202" s="661"/>
      <c r="PCQ202" s="661"/>
      <c r="PCR202" s="661"/>
      <c r="PCS202" s="660" t="s">
        <v>634</v>
      </c>
      <c r="PCT202" s="661"/>
      <c r="PCU202" s="661"/>
      <c r="PCV202" s="661"/>
      <c r="PCW202" s="661"/>
      <c r="PCX202" s="661"/>
      <c r="PCY202" s="661"/>
      <c r="PCZ202" s="661"/>
      <c r="PDA202" s="661"/>
      <c r="PDB202" s="661"/>
      <c r="PDC202" s="661"/>
      <c r="PDD202" s="661"/>
      <c r="PDE202" s="661"/>
      <c r="PDF202" s="661"/>
      <c r="PDG202" s="661"/>
      <c r="PDH202" s="661"/>
      <c r="PDI202" s="660" t="s">
        <v>634</v>
      </c>
      <c r="PDJ202" s="661"/>
      <c r="PDK202" s="661"/>
      <c r="PDL202" s="661"/>
      <c r="PDM202" s="661"/>
      <c r="PDN202" s="661"/>
      <c r="PDO202" s="661"/>
      <c r="PDP202" s="661"/>
      <c r="PDQ202" s="661"/>
      <c r="PDR202" s="661"/>
      <c r="PDS202" s="661"/>
      <c r="PDT202" s="661"/>
      <c r="PDU202" s="661"/>
      <c r="PDV202" s="661"/>
      <c r="PDW202" s="661"/>
      <c r="PDX202" s="661"/>
      <c r="PDY202" s="660" t="s">
        <v>634</v>
      </c>
      <c r="PDZ202" s="661"/>
      <c r="PEA202" s="661"/>
      <c r="PEB202" s="661"/>
      <c r="PEC202" s="661"/>
      <c r="PED202" s="661"/>
      <c r="PEE202" s="661"/>
      <c r="PEF202" s="661"/>
      <c r="PEG202" s="661"/>
      <c r="PEH202" s="661"/>
      <c r="PEI202" s="661"/>
      <c r="PEJ202" s="661"/>
      <c r="PEK202" s="661"/>
      <c r="PEL202" s="661"/>
      <c r="PEM202" s="661"/>
      <c r="PEN202" s="661"/>
      <c r="PEO202" s="660" t="s">
        <v>634</v>
      </c>
      <c r="PEP202" s="661"/>
      <c r="PEQ202" s="661"/>
      <c r="PER202" s="661"/>
      <c r="PES202" s="661"/>
      <c r="PET202" s="661"/>
      <c r="PEU202" s="661"/>
      <c r="PEV202" s="661"/>
      <c r="PEW202" s="661"/>
      <c r="PEX202" s="661"/>
      <c r="PEY202" s="661"/>
      <c r="PEZ202" s="661"/>
      <c r="PFA202" s="661"/>
      <c r="PFB202" s="661"/>
      <c r="PFC202" s="661"/>
      <c r="PFD202" s="661"/>
      <c r="PFE202" s="660" t="s">
        <v>634</v>
      </c>
      <c r="PFF202" s="661"/>
      <c r="PFG202" s="661"/>
      <c r="PFH202" s="661"/>
      <c r="PFI202" s="661"/>
      <c r="PFJ202" s="661"/>
      <c r="PFK202" s="661"/>
      <c r="PFL202" s="661"/>
      <c r="PFM202" s="661"/>
      <c r="PFN202" s="661"/>
      <c r="PFO202" s="661"/>
      <c r="PFP202" s="661"/>
      <c r="PFQ202" s="661"/>
      <c r="PFR202" s="661"/>
      <c r="PFS202" s="661"/>
      <c r="PFT202" s="661"/>
      <c r="PFU202" s="660" t="s">
        <v>634</v>
      </c>
      <c r="PFV202" s="661"/>
      <c r="PFW202" s="661"/>
      <c r="PFX202" s="661"/>
      <c r="PFY202" s="661"/>
      <c r="PFZ202" s="661"/>
      <c r="PGA202" s="661"/>
      <c r="PGB202" s="661"/>
      <c r="PGC202" s="661"/>
      <c r="PGD202" s="661"/>
      <c r="PGE202" s="661"/>
      <c r="PGF202" s="661"/>
      <c r="PGG202" s="661"/>
      <c r="PGH202" s="661"/>
      <c r="PGI202" s="661"/>
      <c r="PGJ202" s="661"/>
      <c r="PGK202" s="660" t="s">
        <v>634</v>
      </c>
      <c r="PGL202" s="661"/>
      <c r="PGM202" s="661"/>
      <c r="PGN202" s="661"/>
      <c r="PGO202" s="661"/>
      <c r="PGP202" s="661"/>
      <c r="PGQ202" s="661"/>
      <c r="PGR202" s="661"/>
      <c r="PGS202" s="661"/>
      <c r="PGT202" s="661"/>
      <c r="PGU202" s="661"/>
      <c r="PGV202" s="661"/>
      <c r="PGW202" s="661"/>
      <c r="PGX202" s="661"/>
      <c r="PGY202" s="661"/>
      <c r="PGZ202" s="661"/>
      <c r="PHA202" s="660" t="s">
        <v>634</v>
      </c>
      <c r="PHB202" s="661"/>
      <c r="PHC202" s="661"/>
      <c r="PHD202" s="661"/>
      <c r="PHE202" s="661"/>
      <c r="PHF202" s="661"/>
      <c r="PHG202" s="661"/>
      <c r="PHH202" s="661"/>
      <c r="PHI202" s="661"/>
      <c r="PHJ202" s="661"/>
      <c r="PHK202" s="661"/>
      <c r="PHL202" s="661"/>
      <c r="PHM202" s="661"/>
      <c r="PHN202" s="661"/>
      <c r="PHO202" s="661"/>
      <c r="PHP202" s="661"/>
      <c r="PHQ202" s="660" t="s">
        <v>634</v>
      </c>
      <c r="PHR202" s="661"/>
      <c r="PHS202" s="661"/>
      <c r="PHT202" s="661"/>
      <c r="PHU202" s="661"/>
      <c r="PHV202" s="661"/>
      <c r="PHW202" s="661"/>
      <c r="PHX202" s="661"/>
      <c r="PHY202" s="661"/>
      <c r="PHZ202" s="661"/>
      <c r="PIA202" s="661"/>
      <c r="PIB202" s="661"/>
      <c r="PIC202" s="661"/>
      <c r="PID202" s="661"/>
      <c r="PIE202" s="661"/>
      <c r="PIF202" s="661"/>
      <c r="PIG202" s="660" t="s">
        <v>634</v>
      </c>
      <c r="PIH202" s="661"/>
      <c r="PII202" s="661"/>
      <c r="PIJ202" s="661"/>
      <c r="PIK202" s="661"/>
      <c r="PIL202" s="661"/>
      <c r="PIM202" s="661"/>
      <c r="PIN202" s="661"/>
      <c r="PIO202" s="661"/>
      <c r="PIP202" s="661"/>
      <c r="PIQ202" s="661"/>
      <c r="PIR202" s="661"/>
      <c r="PIS202" s="661"/>
      <c r="PIT202" s="661"/>
      <c r="PIU202" s="661"/>
      <c r="PIV202" s="661"/>
      <c r="PIW202" s="660" t="s">
        <v>634</v>
      </c>
      <c r="PIX202" s="661"/>
      <c r="PIY202" s="661"/>
      <c r="PIZ202" s="661"/>
      <c r="PJA202" s="661"/>
      <c r="PJB202" s="661"/>
      <c r="PJC202" s="661"/>
      <c r="PJD202" s="661"/>
      <c r="PJE202" s="661"/>
      <c r="PJF202" s="661"/>
      <c r="PJG202" s="661"/>
      <c r="PJH202" s="661"/>
      <c r="PJI202" s="661"/>
      <c r="PJJ202" s="661"/>
      <c r="PJK202" s="661"/>
      <c r="PJL202" s="661"/>
      <c r="PJM202" s="660" t="s">
        <v>634</v>
      </c>
      <c r="PJN202" s="661"/>
      <c r="PJO202" s="661"/>
      <c r="PJP202" s="661"/>
      <c r="PJQ202" s="661"/>
      <c r="PJR202" s="661"/>
      <c r="PJS202" s="661"/>
      <c r="PJT202" s="661"/>
      <c r="PJU202" s="661"/>
      <c r="PJV202" s="661"/>
      <c r="PJW202" s="661"/>
      <c r="PJX202" s="661"/>
      <c r="PJY202" s="661"/>
      <c r="PJZ202" s="661"/>
      <c r="PKA202" s="661"/>
      <c r="PKB202" s="661"/>
      <c r="PKC202" s="660" t="s">
        <v>634</v>
      </c>
      <c r="PKD202" s="661"/>
      <c r="PKE202" s="661"/>
      <c r="PKF202" s="661"/>
      <c r="PKG202" s="661"/>
      <c r="PKH202" s="661"/>
      <c r="PKI202" s="661"/>
      <c r="PKJ202" s="661"/>
      <c r="PKK202" s="661"/>
      <c r="PKL202" s="661"/>
      <c r="PKM202" s="661"/>
      <c r="PKN202" s="661"/>
      <c r="PKO202" s="661"/>
      <c r="PKP202" s="661"/>
      <c r="PKQ202" s="661"/>
      <c r="PKR202" s="661"/>
      <c r="PKS202" s="660" t="s">
        <v>634</v>
      </c>
      <c r="PKT202" s="661"/>
      <c r="PKU202" s="661"/>
      <c r="PKV202" s="661"/>
      <c r="PKW202" s="661"/>
      <c r="PKX202" s="661"/>
      <c r="PKY202" s="661"/>
      <c r="PKZ202" s="661"/>
      <c r="PLA202" s="661"/>
      <c r="PLB202" s="661"/>
      <c r="PLC202" s="661"/>
      <c r="PLD202" s="661"/>
      <c r="PLE202" s="661"/>
      <c r="PLF202" s="661"/>
      <c r="PLG202" s="661"/>
      <c r="PLH202" s="661"/>
      <c r="PLI202" s="660" t="s">
        <v>634</v>
      </c>
      <c r="PLJ202" s="661"/>
      <c r="PLK202" s="661"/>
      <c r="PLL202" s="661"/>
      <c r="PLM202" s="661"/>
      <c r="PLN202" s="661"/>
      <c r="PLO202" s="661"/>
      <c r="PLP202" s="661"/>
      <c r="PLQ202" s="661"/>
      <c r="PLR202" s="661"/>
      <c r="PLS202" s="661"/>
      <c r="PLT202" s="661"/>
      <c r="PLU202" s="661"/>
      <c r="PLV202" s="661"/>
      <c r="PLW202" s="661"/>
      <c r="PLX202" s="661"/>
      <c r="PLY202" s="660" t="s">
        <v>634</v>
      </c>
      <c r="PLZ202" s="661"/>
      <c r="PMA202" s="661"/>
      <c r="PMB202" s="661"/>
      <c r="PMC202" s="661"/>
      <c r="PMD202" s="661"/>
      <c r="PME202" s="661"/>
      <c r="PMF202" s="661"/>
      <c r="PMG202" s="661"/>
      <c r="PMH202" s="661"/>
      <c r="PMI202" s="661"/>
      <c r="PMJ202" s="661"/>
      <c r="PMK202" s="661"/>
      <c r="PML202" s="661"/>
      <c r="PMM202" s="661"/>
      <c r="PMN202" s="661"/>
      <c r="PMO202" s="660" t="s">
        <v>634</v>
      </c>
      <c r="PMP202" s="661"/>
      <c r="PMQ202" s="661"/>
      <c r="PMR202" s="661"/>
      <c r="PMS202" s="661"/>
      <c r="PMT202" s="661"/>
      <c r="PMU202" s="661"/>
      <c r="PMV202" s="661"/>
      <c r="PMW202" s="661"/>
      <c r="PMX202" s="661"/>
      <c r="PMY202" s="661"/>
      <c r="PMZ202" s="661"/>
      <c r="PNA202" s="661"/>
      <c r="PNB202" s="661"/>
      <c r="PNC202" s="661"/>
      <c r="PND202" s="661"/>
      <c r="PNE202" s="660" t="s">
        <v>634</v>
      </c>
      <c r="PNF202" s="661"/>
      <c r="PNG202" s="661"/>
      <c r="PNH202" s="661"/>
      <c r="PNI202" s="661"/>
      <c r="PNJ202" s="661"/>
      <c r="PNK202" s="661"/>
      <c r="PNL202" s="661"/>
      <c r="PNM202" s="661"/>
      <c r="PNN202" s="661"/>
      <c r="PNO202" s="661"/>
      <c r="PNP202" s="661"/>
      <c r="PNQ202" s="661"/>
      <c r="PNR202" s="661"/>
      <c r="PNS202" s="661"/>
      <c r="PNT202" s="661"/>
      <c r="PNU202" s="660" t="s">
        <v>634</v>
      </c>
      <c r="PNV202" s="661"/>
      <c r="PNW202" s="661"/>
      <c r="PNX202" s="661"/>
      <c r="PNY202" s="661"/>
      <c r="PNZ202" s="661"/>
      <c r="POA202" s="661"/>
      <c r="POB202" s="661"/>
      <c r="POC202" s="661"/>
      <c r="POD202" s="661"/>
      <c r="POE202" s="661"/>
      <c r="POF202" s="661"/>
      <c r="POG202" s="661"/>
      <c r="POH202" s="661"/>
      <c r="POI202" s="661"/>
      <c r="POJ202" s="661"/>
      <c r="POK202" s="660" t="s">
        <v>634</v>
      </c>
      <c r="POL202" s="661"/>
      <c r="POM202" s="661"/>
      <c r="PON202" s="661"/>
      <c r="POO202" s="661"/>
      <c r="POP202" s="661"/>
      <c r="POQ202" s="661"/>
      <c r="POR202" s="661"/>
      <c r="POS202" s="661"/>
      <c r="POT202" s="661"/>
      <c r="POU202" s="661"/>
      <c r="POV202" s="661"/>
      <c r="POW202" s="661"/>
      <c r="POX202" s="661"/>
      <c r="POY202" s="661"/>
      <c r="POZ202" s="661"/>
      <c r="PPA202" s="660" t="s">
        <v>634</v>
      </c>
      <c r="PPB202" s="661"/>
      <c r="PPC202" s="661"/>
      <c r="PPD202" s="661"/>
      <c r="PPE202" s="661"/>
      <c r="PPF202" s="661"/>
      <c r="PPG202" s="661"/>
      <c r="PPH202" s="661"/>
      <c r="PPI202" s="661"/>
      <c r="PPJ202" s="661"/>
      <c r="PPK202" s="661"/>
      <c r="PPL202" s="661"/>
      <c r="PPM202" s="661"/>
      <c r="PPN202" s="661"/>
      <c r="PPO202" s="661"/>
      <c r="PPP202" s="661"/>
      <c r="PPQ202" s="660" t="s">
        <v>634</v>
      </c>
      <c r="PPR202" s="661"/>
      <c r="PPS202" s="661"/>
      <c r="PPT202" s="661"/>
      <c r="PPU202" s="661"/>
      <c r="PPV202" s="661"/>
      <c r="PPW202" s="661"/>
      <c r="PPX202" s="661"/>
      <c r="PPY202" s="661"/>
      <c r="PPZ202" s="661"/>
      <c r="PQA202" s="661"/>
      <c r="PQB202" s="661"/>
      <c r="PQC202" s="661"/>
      <c r="PQD202" s="661"/>
      <c r="PQE202" s="661"/>
      <c r="PQF202" s="661"/>
      <c r="PQG202" s="660" t="s">
        <v>634</v>
      </c>
      <c r="PQH202" s="661"/>
      <c r="PQI202" s="661"/>
      <c r="PQJ202" s="661"/>
      <c r="PQK202" s="661"/>
      <c r="PQL202" s="661"/>
      <c r="PQM202" s="661"/>
      <c r="PQN202" s="661"/>
      <c r="PQO202" s="661"/>
      <c r="PQP202" s="661"/>
      <c r="PQQ202" s="661"/>
      <c r="PQR202" s="661"/>
      <c r="PQS202" s="661"/>
      <c r="PQT202" s="661"/>
      <c r="PQU202" s="661"/>
      <c r="PQV202" s="661"/>
      <c r="PQW202" s="660" t="s">
        <v>634</v>
      </c>
      <c r="PQX202" s="661"/>
      <c r="PQY202" s="661"/>
      <c r="PQZ202" s="661"/>
      <c r="PRA202" s="661"/>
      <c r="PRB202" s="661"/>
      <c r="PRC202" s="661"/>
      <c r="PRD202" s="661"/>
      <c r="PRE202" s="661"/>
      <c r="PRF202" s="661"/>
      <c r="PRG202" s="661"/>
      <c r="PRH202" s="661"/>
      <c r="PRI202" s="661"/>
      <c r="PRJ202" s="661"/>
      <c r="PRK202" s="661"/>
      <c r="PRL202" s="661"/>
      <c r="PRM202" s="660" t="s">
        <v>634</v>
      </c>
      <c r="PRN202" s="661"/>
      <c r="PRO202" s="661"/>
      <c r="PRP202" s="661"/>
      <c r="PRQ202" s="661"/>
      <c r="PRR202" s="661"/>
      <c r="PRS202" s="661"/>
      <c r="PRT202" s="661"/>
      <c r="PRU202" s="661"/>
      <c r="PRV202" s="661"/>
      <c r="PRW202" s="661"/>
      <c r="PRX202" s="661"/>
      <c r="PRY202" s="661"/>
      <c r="PRZ202" s="661"/>
      <c r="PSA202" s="661"/>
      <c r="PSB202" s="661"/>
      <c r="PSC202" s="660" t="s">
        <v>634</v>
      </c>
      <c r="PSD202" s="661"/>
      <c r="PSE202" s="661"/>
      <c r="PSF202" s="661"/>
      <c r="PSG202" s="661"/>
      <c r="PSH202" s="661"/>
      <c r="PSI202" s="661"/>
      <c r="PSJ202" s="661"/>
      <c r="PSK202" s="661"/>
      <c r="PSL202" s="661"/>
      <c r="PSM202" s="661"/>
      <c r="PSN202" s="661"/>
      <c r="PSO202" s="661"/>
      <c r="PSP202" s="661"/>
      <c r="PSQ202" s="661"/>
      <c r="PSR202" s="661"/>
      <c r="PSS202" s="660" t="s">
        <v>634</v>
      </c>
      <c r="PST202" s="661"/>
      <c r="PSU202" s="661"/>
      <c r="PSV202" s="661"/>
      <c r="PSW202" s="661"/>
      <c r="PSX202" s="661"/>
      <c r="PSY202" s="661"/>
      <c r="PSZ202" s="661"/>
      <c r="PTA202" s="661"/>
      <c r="PTB202" s="661"/>
      <c r="PTC202" s="661"/>
      <c r="PTD202" s="661"/>
      <c r="PTE202" s="661"/>
      <c r="PTF202" s="661"/>
      <c r="PTG202" s="661"/>
      <c r="PTH202" s="661"/>
      <c r="PTI202" s="660" t="s">
        <v>634</v>
      </c>
      <c r="PTJ202" s="661"/>
      <c r="PTK202" s="661"/>
      <c r="PTL202" s="661"/>
      <c r="PTM202" s="661"/>
      <c r="PTN202" s="661"/>
      <c r="PTO202" s="661"/>
      <c r="PTP202" s="661"/>
      <c r="PTQ202" s="661"/>
      <c r="PTR202" s="661"/>
      <c r="PTS202" s="661"/>
      <c r="PTT202" s="661"/>
      <c r="PTU202" s="661"/>
      <c r="PTV202" s="661"/>
      <c r="PTW202" s="661"/>
      <c r="PTX202" s="661"/>
      <c r="PTY202" s="660" t="s">
        <v>634</v>
      </c>
      <c r="PTZ202" s="661"/>
      <c r="PUA202" s="661"/>
      <c r="PUB202" s="661"/>
      <c r="PUC202" s="661"/>
      <c r="PUD202" s="661"/>
      <c r="PUE202" s="661"/>
      <c r="PUF202" s="661"/>
      <c r="PUG202" s="661"/>
      <c r="PUH202" s="661"/>
      <c r="PUI202" s="661"/>
      <c r="PUJ202" s="661"/>
      <c r="PUK202" s="661"/>
      <c r="PUL202" s="661"/>
      <c r="PUM202" s="661"/>
      <c r="PUN202" s="661"/>
      <c r="PUO202" s="660" t="s">
        <v>634</v>
      </c>
      <c r="PUP202" s="661"/>
      <c r="PUQ202" s="661"/>
      <c r="PUR202" s="661"/>
      <c r="PUS202" s="661"/>
      <c r="PUT202" s="661"/>
      <c r="PUU202" s="661"/>
      <c r="PUV202" s="661"/>
      <c r="PUW202" s="661"/>
      <c r="PUX202" s="661"/>
      <c r="PUY202" s="661"/>
      <c r="PUZ202" s="661"/>
      <c r="PVA202" s="661"/>
      <c r="PVB202" s="661"/>
      <c r="PVC202" s="661"/>
      <c r="PVD202" s="661"/>
      <c r="PVE202" s="660" t="s">
        <v>634</v>
      </c>
      <c r="PVF202" s="661"/>
      <c r="PVG202" s="661"/>
      <c r="PVH202" s="661"/>
      <c r="PVI202" s="661"/>
      <c r="PVJ202" s="661"/>
      <c r="PVK202" s="661"/>
      <c r="PVL202" s="661"/>
      <c r="PVM202" s="661"/>
      <c r="PVN202" s="661"/>
      <c r="PVO202" s="661"/>
      <c r="PVP202" s="661"/>
      <c r="PVQ202" s="661"/>
      <c r="PVR202" s="661"/>
      <c r="PVS202" s="661"/>
      <c r="PVT202" s="661"/>
      <c r="PVU202" s="660" t="s">
        <v>634</v>
      </c>
      <c r="PVV202" s="661"/>
      <c r="PVW202" s="661"/>
      <c r="PVX202" s="661"/>
      <c r="PVY202" s="661"/>
      <c r="PVZ202" s="661"/>
      <c r="PWA202" s="661"/>
      <c r="PWB202" s="661"/>
      <c r="PWC202" s="661"/>
      <c r="PWD202" s="661"/>
      <c r="PWE202" s="661"/>
      <c r="PWF202" s="661"/>
      <c r="PWG202" s="661"/>
      <c r="PWH202" s="661"/>
      <c r="PWI202" s="661"/>
      <c r="PWJ202" s="661"/>
      <c r="PWK202" s="660" t="s">
        <v>634</v>
      </c>
      <c r="PWL202" s="661"/>
      <c r="PWM202" s="661"/>
      <c r="PWN202" s="661"/>
      <c r="PWO202" s="661"/>
      <c r="PWP202" s="661"/>
      <c r="PWQ202" s="661"/>
      <c r="PWR202" s="661"/>
      <c r="PWS202" s="661"/>
      <c r="PWT202" s="661"/>
      <c r="PWU202" s="661"/>
      <c r="PWV202" s="661"/>
      <c r="PWW202" s="661"/>
      <c r="PWX202" s="661"/>
      <c r="PWY202" s="661"/>
      <c r="PWZ202" s="661"/>
      <c r="PXA202" s="660" t="s">
        <v>634</v>
      </c>
      <c r="PXB202" s="661"/>
      <c r="PXC202" s="661"/>
      <c r="PXD202" s="661"/>
      <c r="PXE202" s="661"/>
      <c r="PXF202" s="661"/>
      <c r="PXG202" s="661"/>
      <c r="PXH202" s="661"/>
      <c r="PXI202" s="661"/>
      <c r="PXJ202" s="661"/>
      <c r="PXK202" s="661"/>
      <c r="PXL202" s="661"/>
      <c r="PXM202" s="661"/>
      <c r="PXN202" s="661"/>
      <c r="PXO202" s="661"/>
      <c r="PXP202" s="661"/>
      <c r="PXQ202" s="660" t="s">
        <v>634</v>
      </c>
      <c r="PXR202" s="661"/>
      <c r="PXS202" s="661"/>
      <c r="PXT202" s="661"/>
      <c r="PXU202" s="661"/>
      <c r="PXV202" s="661"/>
      <c r="PXW202" s="661"/>
      <c r="PXX202" s="661"/>
      <c r="PXY202" s="661"/>
      <c r="PXZ202" s="661"/>
      <c r="PYA202" s="661"/>
      <c r="PYB202" s="661"/>
      <c r="PYC202" s="661"/>
      <c r="PYD202" s="661"/>
      <c r="PYE202" s="661"/>
      <c r="PYF202" s="661"/>
      <c r="PYG202" s="660" t="s">
        <v>634</v>
      </c>
      <c r="PYH202" s="661"/>
      <c r="PYI202" s="661"/>
      <c r="PYJ202" s="661"/>
      <c r="PYK202" s="661"/>
      <c r="PYL202" s="661"/>
      <c r="PYM202" s="661"/>
      <c r="PYN202" s="661"/>
      <c r="PYO202" s="661"/>
      <c r="PYP202" s="661"/>
      <c r="PYQ202" s="661"/>
      <c r="PYR202" s="661"/>
      <c r="PYS202" s="661"/>
      <c r="PYT202" s="661"/>
      <c r="PYU202" s="661"/>
      <c r="PYV202" s="661"/>
      <c r="PYW202" s="660" t="s">
        <v>634</v>
      </c>
      <c r="PYX202" s="661"/>
      <c r="PYY202" s="661"/>
      <c r="PYZ202" s="661"/>
      <c r="PZA202" s="661"/>
      <c r="PZB202" s="661"/>
      <c r="PZC202" s="661"/>
      <c r="PZD202" s="661"/>
      <c r="PZE202" s="661"/>
      <c r="PZF202" s="661"/>
      <c r="PZG202" s="661"/>
      <c r="PZH202" s="661"/>
      <c r="PZI202" s="661"/>
      <c r="PZJ202" s="661"/>
      <c r="PZK202" s="661"/>
      <c r="PZL202" s="661"/>
      <c r="PZM202" s="660" t="s">
        <v>634</v>
      </c>
      <c r="PZN202" s="661"/>
      <c r="PZO202" s="661"/>
      <c r="PZP202" s="661"/>
      <c r="PZQ202" s="661"/>
      <c r="PZR202" s="661"/>
      <c r="PZS202" s="661"/>
      <c r="PZT202" s="661"/>
      <c r="PZU202" s="661"/>
      <c r="PZV202" s="661"/>
      <c r="PZW202" s="661"/>
      <c r="PZX202" s="661"/>
      <c r="PZY202" s="661"/>
      <c r="PZZ202" s="661"/>
      <c r="QAA202" s="661"/>
      <c r="QAB202" s="661"/>
      <c r="QAC202" s="660" t="s">
        <v>634</v>
      </c>
      <c r="QAD202" s="661"/>
      <c r="QAE202" s="661"/>
      <c r="QAF202" s="661"/>
      <c r="QAG202" s="661"/>
      <c r="QAH202" s="661"/>
      <c r="QAI202" s="661"/>
      <c r="QAJ202" s="661"/>
      <c r="QAK202" s="661"/>
      <c r="QAL202" s="661"/>
      <c r="QAM202" s="661"/>
      <c r="QAN202" s="661"/>
      <c r="QAO202" s="661"/>
      <c r="QAP202" s="661"/>
      <c r="QAQ202" s="661"/>
      <c r="QAR202" s="661"/>
      <c r="QAS202" s="660" t="s">
        <v>634</v>
      </c>
      <c r="QAT202" s="661"/>
      <c r="QAU202" s="661"/>
      <c r="QAV202" s="661"/>
      <c r="QAW202" s="661"/>
      <c r="QAX202" s="661"/>
      <c r="QAY202" s="661"/>
      <c r="QAZ202" s="661"/>
      <c r="QBA202" s="661"/>
      <c r="QBB202" s="661"/>
      <c r="QBC202" s="661"/>
      <c r="QBD202" s="661"/>
      <c r="QBE202" s="661"/>
      <c r="QBF202" s="661"/>
      <c r="QBG202" s="661"/>
      <c r="QBH202" s="661"/>
      <c r="QBI202" s="660" t="s">
        <v>634</v>
      </c>
      <c r="QBJ202" s="661"/>
      <c r="QBK202" s="661"/>
      <c r="QBL202" s="661"/>
      <c r="QBM202" s="661"/>
      <c r="QBN202" s="661"/>
      <c r="QBO202" s="661"/>
      <c r="QBP202" s="661"/>
      <c r="QBQ202" s="661"/>
      <c r="QBR202" s="661"/>
      <c r="QBS202" s="661"/>
      <c r="QBT202" s="661"/>
      <c r="QBU202" s="661"/>
      <c r="QBV202" s="661"/>
      <c r="QBW202" s="661"/>
      <c r="QBX202" s="661"/>
      <c r="QBY202" s="660" t="s">
        <v>634</v>
      </c>
      <c r="QBZ202" s="661"/>
      <c r="QCA202" s="661"/>
      <c r="QCB202" s="661"/>
      <c r="QCC202" s="661"/>
      <c r="QCD202" s="661"/>
      <c r="QCE202" s="661"/>
      <c r="QCF202" s="661"/>
      <c r="QCG202" s="661"/>
      <c r="QCH202" s="661"/>
      <c r="QCI202" s="661"/>
      <c r="QCJ202" s="661"/>
      <c r="QCK202" s="661"/>
      <c r="QCL202" s="661"/>
      <c r="QCM202" s="661"/>
      <c r="QCN202" s="661"/>
      <c r="QCO202" s="660" t="s">
        <v>634</v>
      </c>
      <c r="QCP202" s="661"/>
      <c r="QCQ202" s="661"/>
      <c r="QCR202" s="661"/>
      <c r="QCS202" s="661"/>
      <c r="QCT202" s="661"/>
      <c r="QCU202" s="661"/>
      <c r="QCV202" s="661"/>
      <c r="QCW202" s="661"/>
      <c r="QCX202" s="661"/>
      <c r="QCY202" s="661"/>
      <c r="QCZ202" s="661"/>
      <c r="QDA202" s="661"/>
      <c r="QDB202" s="661"/>
      <c r="QDC202" s="661"/>
      <c r="QDD202" s="661"/>
      <c r="QDE202" s="660" t="s">
        <v>634</v>
      </c>
      <c r="QDF202" s="661"/>
      <c r="QDG202" s="661"/>
      <c r="QDH202" s="661"/>
      <c r="QDI202" s="661"/>
      <c r="QDJ202" s="661"/>
      <c r="QDK202" s="661"/>
      <c r="QDL202" s="661"/>
      <c r="QDM202" s="661"/>
      <c r="QDN202" s="661"/>
      <c r="QDO202" s="661"/>
      <c r="QDP202" s="661"/>
      <c r="QDQ202" s="661"/>
      <c r="QDR202" s="661"/>
      <c r="QDS202" s="661"/>
      <c r="QDT202" s="661"/>
      <c r="QDU202" s="660" t="s">
        <v>634</v>
      </c>
      <c r="QDV202" s="661"/>
      <c r="QDW202" s="661"/>
      <c r="QDX202" s="661"/>
      <c r="QDY202" s="661"/>
      <c r="QDZ202" s="661"/>
      <c r="QEA202" s="661"/>
      <c r="QEB202" s="661"/>
      <c r="QEC202" s="661"/>
      <c r="QED202" s="661"/>
      <c r="QEE202" s="661"/>
      <c r="QEF202" s="661"/>
      <c r="QEG202" s="661"/>
      <c r="QEH202" s="661"/>
      <c r="QEI202" s="661"/>
      <c r="QEJ202" s="661"/>
      <c r="QEK202" s="660" t="s">
        <v>634</v>
      </c>
      <c r="QEL202" s="661"/>
      <c r="QEM202" s="661"/>
      <c r="QEN202" s="661"/>
      <c r="QEO202" s="661"/>
      <c r="QEP202" s="661"/>
      <c r="QEQ202" s="661"/>
      <c r="QER202" s="661"/>
      <c r="QES202" s="661"/>
      <c r="QET202" s="661"/>
      <c r="QEU202" s="661"/>
      <c r="QEV202" s="661"/>
      <c r="QEW202" s="661"/>
      <c r="QEX202" s="661"/>
      <c r="QEY202" s="661"/>
      <c r="QEZ202" s="661"/>
      <c r="QFA202" s="660" t="s">
        <v>634</v>
      </c>
      <c r="QFB202" s="661"/>
      <c r="QFC202" s="661"/>
      <c r="QFD202" s="661"/>
      <c r="QFE202" s="661"/>
      <c r="QFF202" s="661"/>
      <c r="QFG202" s="661"/>
      <c r="QFH202" s="661"/>
      <c r="QFI202" s="661"/>
      <c r="QFJ202" s="661"/>
      <c r="QFK202" s="661"/>
      <c r="QFL202" s="661"/>
      <c r="QFM202" s="661"/>
      <c r="QFN202" s="661"/>
      <c r="QFO202" s="661"/>
      <c r="QFP202" s="661"/>
      <c r="QFQ202" s="660" t="s">
        <v>634</v>
      </c>
      <c r="QFR202" s="661"/>
      <c r="QFS202" s="661"/>
      <c r="QFT202" s="661"/>
      <c r="QFU202" s="661"/>
      <c r="QFV202" s="661"/>
      <c r="QFW202" s="661"/>
      <c r="QFX202" s="661"/>
      <c r="QFY202" s="661"/>
      <c r="QFZ202" s="661"/>
      <c r="QGA202" s="661"/>
      <c r="QGB202" s="661"/>
      <c r="QGC202" s="661"/>
      <c r="QGD202" s="661"/>
      <c r="QGE202" s="661"/>
      <c r="QGF202" s="661"/>
      <c r="QGG202" s="660" t="s">
        <v>634</v>
      </c>
      <c r="QGH202" s="661"/>
      <c r="QGI202" s="661"/>
      <c r="QGJ202" s="661"/>
      <c r="QGK202" s="661"/>
      <c r="QGL202" s="661"/>
      <c r="QGM202" s="661"/>
      <c r="QGN202" s="661"/>
      <c r="QGO202" s="661"/>
      <c r="QGP202" s="661"/>
      <c r="QGQ202" s="661"/>
      <c r="QGR202" s="661"/>
      <c r="QGS202" s="661"/>
      <c r="QGT202" s="661"/>
      <c r="QGU202" s="661"/>
      <c r="QGV202" s="661"/>
      <c r="QGW202" s="660" t="s">
        <v>634</v>
      </c>
      <c r="QGX202" s="661"/>
      <c r="QGY202" s="661"/>
      <c r="QGZ202" s="661"/>
      <c r="QHA202" s="661"/>
      <c r="QHB202" s="661"/>
      <c r="QHC202" s="661"/>
      <c r="QHD202" s="661"/>
      <c r="QHE202" s="661"/>
      <c r="QHF202" s="661"/>
      <c r="QHG202" s="661"/>
      <c r="QHH202" s="661"/>
      <c r="QHI202" s="661"/>
      <c r="QHJ202" s="661"/>
      <c r="QHK202" s="661"/>
      <c r="QHL202" s="661"/>
      <c r="QHM202" s="660" t="s">
        <v>634</v>
      </c>
      <c r="QHN202" s="661"/>
      <c r="QHO202" s="661"/>
      <c r="QHP202" s="661"/>
      <c r="QHQ202" s="661"/>
      <c r="QHR202" s="661"/>
      <c r="QHS202" s="661"/>
      <c r="QHT202" s="661"/>
      <c r="QHU202" s="661"/>
      <c r="QHV202" s="661"/>
      <c r="QHW202" s="661"/>
      <c r="QHX202" s="661"/>
      <c r="QHY202" s="661"/>
      <c r="QHZ202" s="661"/>
      <c r="QIA202" s="661"/>
      <c r="QIB202" s="661"/>
      <c r="QIC202" s="660" t="s">
        <v>634</v>
      </c>
      <c r="QID202" s="661"/>
      <c r="QIE202" s="661"/>
      <c r="QIF202" s="661"/>
      <c r="QIG202" s="661"/>
      <c r="QIH202" s="661"/>
      <c r="QII202" s="661"/>
      <c r="QIJ202" s="661"/>
      <c r="QIK202" s="661"/>
      <c r="QIL202" s="661"/>
      <c r="QIM202" s="661"/>
      <c r="QIN202" s="661"/>
      <c r="QIO202" s="661"/>
      <c r="QIP202" s="661"/>
      <c r="QIQ202" s="661"/>
      <c r="QIR202" s="661"/>
      <c r="QIS202" s="660" t="s">
        <v>634</v>
      </c>
      <c r="QIT202" s="661"/>
      <c r="QIU202" s="661"/>
      <c r="QIV202" s="661"/>
      <c r="QIW202" s="661"/>
      <c r="QIX202" s="661"/>
      <c r="QIY202" s="661"/>
      <c r="QIZ202" s="661"/>
      <c r="QJA202" s="661"/>
      <c r="QJB202" s="661"/>
      <c r="QJC202" s="661"/>
      <c r="QJD202" s="661"/>
      <c r="QJE202" s="661"/>
      <c r="QJF202" s="661"/>
      <c r="QJG202" s="661"/>
      <c r="QJH202" s="661"/>
      <c r="QJI202" s="660" t="s">
        <v>634</v>
      </c>
      <c r="QJJ202" s="661"/>
      <c r="QJK202" s="661"/>
      <c r="QJL202" s="661"/>
      <c r="QJM202" s="661"/>
      <c r="QJN202" s="661"/>
      <c r="QJO202" s="661"/>
      <c r="QJP202" s="661"/>
      <c r="QJQ202" s="661"/>
      <c r="QJR202" s="661"/>
      <c r="QJS202" s="661"/>
      <c r="QJT202" s="661"/>
      <c r="QJU202" s="661"/>
      <c r="QJV202" s="661"/>
      <c r="QJW202" s="661"/>
      <c r="QJX202" s="661"/>
      <c r="QJY202" s="660" t="s">
        <v>634</v>
      </c>
      <c r="QJZ202" s="661"/>
      <c r="QKA202" s="661"/>
      <c r="QKB202" s="661"/>
      <c r="QKC202" s="661"/>
      <c r="QKD202" s="661"/>
      <c r="QKE202" s="661"/>
      <c r="QKF202" s="661"/>
      <c r="QKG202" s="661"/>
      <c r="QKH202" s="661"/>
      <c r="QKI202" s="661"/>
      <c r="QKJ202" s="661"/>
      <c r="QKK202" s="661"/>
      <c r="QKL202" s="661"/>
      <c r="QKM202" s="661"/>
      <c r="QKN202" s="661"/>
      <c r="QKO202" s="660" t="s">
        <v>634</v>
      </c>
      <c r="QKP202" s="661"/>
      <c r="QKQ202" s="661"/>
      <c r="QKR202" s="661"/>
      <c r="QKS202" s="661"/>
      <c r="QKT202" s="661"/>
      <c r="QKU202" s="661"/>
      <c r="QKV202" s="661"/>
      <c r="QKW202" s="661"/>
      <c r="QKX202" s="661"/>
      <c r="QKY202" s="661"/>
      <c r="QKZ202" s="661"/>
      <c r="QLA202" s="661"/>
      <c r="QLB202" s="661"/>
      <c r="QLC202" s="661"/>
      <c r="QLD202" s="661"/>
      <c r="QLE202" s="660" t="s">
        <v>634</v>
      </c>
      <c r="QLF202" s="661"/>
      <c r="QLG202" s="661"/>
      <c r="QLH202" s="661"/>
      <c r="QLI202" s="661"/>
      <c r="QLJ202" s="661"/>
      <c r="QLK202" s="661"/>
      <c r="QLL202" s="661"/>
      <c r="QLM202" s="661"/>
      <c r="QLN202" s="661"/>
      <c r="QLO202" s="661"/>
      <c r="QLP202" s="661"/>
      <c r="QLQ202" s="661"/>
      <c r="QLR202" s="661"/>
      <c r="QLS202" s="661"/>
      <c r="QLT202" s="661"/>
      <c r="QLU202" s="660" t="s">
        <v>634</v>
      </c>
      <c r="QLV202" s="661"/>
      <c r="QLW202" s="661"/>
      <c r="QLX202" s="661"/>
      <c r="QLY202" s="661"/>
      <c r="QLZ202" s="661"/>
      <c r="QMA202" s="661"/>
      <c r="QMB202" s="661"/>
      <c r="QMC202" s="661"/>
      <c r="QMD202" s="661"/>
      <c r="QME202" s="661"/>
      <c r="QMF202" s="661"/>
      <c r="QMG202" s="661"/>
      <c r="QMH202" s="661"/>
      <c r="QMI202" s="661"/>
      <c r="QMJ202" s="661"/>
      <c r="QMK202" s="660" t="s">
        <v>634</v>
      </c>
      <c r="QML202" s="661"/>
      <c r="QMM202" s="661"/>
      <c r="QMN202" s="661"/>
      <c r="QMO202" s="661"/>
      <c r="QMP202" s="661"/>
      <c r="QMQ202" s="661"/>
      <c r="QMR202" s="661"/>
      <c r="QMS202" s="661"/>
      <c r="QMT202" s="661"/>
      <c r="QMU202" s="661"/>
      <c r="QMV202" s="661"/>
      <c r="QMW202" s="661"/>
      <c r="QMX202" s="661"/>
      <c r="QMY202" s="661"/>
      <c r="QMZ202" s="661"/>
      <c r="QNA202" s="660" t="s">
        <v>634</v>
      </c>
      <c r="QNB202" s="661"/>
      <c r="QNC202" s="661"/>
      <c r="QND202" s="661"/>
      <c r="QNE202" s="661"/>
      <c r="QNF202" s="661"/>
      <c r="QNG202" s="661"/>
      <c r="QNH202" s="661"/>
      <c r="QNI202" s="661"/>
      <c r="QNJ202" s="661"/>
      <c r="QNK202" s="661"/>
      <c r="QNL202" s="661"/>
      <c r="QNM202" s="661"/>
      <c r="QNN202" s="661"/>
      <c r="QNO202" s="661"/>
      <c r="QNP202" s="661"/>
      <c r="QNQ202" s="660" t="s">
        <v>634</v>
      </c>
      <c r="QNR202" s="661"/>
      <c r="QNS202" s="661"/>
      <c r="QNT202" s="661"/>
      <c r="QNU202" s="661"/>
      <c r="QNV202" s="661"/>
      <c r="QNW202" s="661"/>
      <c r="QNX202" s="661"/>
      <c r="QNY202" s="661"/>
      <c r="QNZ202" s="661"/>
      <c r="QOA202" s="661"/>
      <c r="QOB202" s="661"/>
      <c r="QOC202" s="661"/>
      <c r="QOD202" s="661"/>
      <c r="QOE202" s="661"/>
      <c r="QOF202" s="661"/>
      <c r="QOG202" s="660" t="s">
        <v>634</v>
      </c>
      <c r="QOH202" s="661"/>
      <c r="QOI202" s="661"/>
      <c r="QOJ202" s="661"/>
      <c r="QOK202" s="661"/>
      <c r="QOL202" s="661"/>
      <c r="QOM202" s="661"/>
      <c r="QON202" s="661"/>
      <c r="QOO202" s="661"/>
      <c r="QOP202" s="661"/>
      <c r="QOQ202" s="661"/>
      <c r="QOR202" s="661"/>
      <c r="QOS202" s="661"/>
      <c r="QOT202" s="661"/>
      <c r="QOU202" s="661"/>
      <c r="QOV202" s="661"/>
      <c r="QOW202" s="660" t="s">
        <v>634</v>
      </c>
      <c r="QOX202" s="661"/>
      <c r="QOY202" s="661"/>
      <c r="QOZ202" s="661"/>
      <c r="QPA202" s="661"/>
      <c r="QPB202" s="661"/>
      <c r="QPC202" s="661"/>
      <c r="QPD202" s="661"/>
      <c r="QPE202" s="661"/>
      <c r="QPF202" s="661"/>
      <c r="QPG202" s="661"/>
      <c r="QPH202" s="661"/>
      <c r="QPI202" s="661"/>
      <c r="QPJ202" s="661"/>
      <c r="QPK202" s="661"/>
      <c r="QPL202" s="661"/>
      <c r="QPM202" s="660" t="s">
        <v>634</v>
      </c>
      <c r="QPN202" s="661"/>
      <c r="QPO202" s="661"/>
      <c r="QPP202" s="661"/>
      <c r="QPQ202" s="661"/>
      <c r="QPR202" s="661"/>
      <c r="QPS202" s="661"/>
      <c r="QPT202" s="661"/>
      <c r="QPU202" s="661"/>
      <c r="QPV202" s="661"/>
      <c r="QPW202" s="661"/>
      <c r="QPX202" s="661"/>
      <c r="QPY202" s="661"/>
      <c r="QPZ202" s="661"/>
      <c r="QQA202" s="661"/>
      <c r="QQB202" s="661"/>
      <c r="QQC202" s="660" t="s">
        <v>634</v>
      </c>
      <c r="QQD202" s="661"/>
      <c r="QQE202" s="661"/>
      <c r="QQF202" s="661"/>
      <c r="QQG202" s="661"/>
      <c r="QQH202" s="661"/>
      <c r="QQI202" s="661"/>
      <c r="QQJ202" s="661"/>
      <c r="QQK202" s="661"/>
      <c r="QQL202" s="661"/>
      <c r="QQM202" s="661"/>
      <c r="QQN202" s="661"/>
      <c r="QQO202" s="661"/>
      <c r="QQP202" s="661"/>
      <c r="QQQ202" s="661"/>
      <c r="QQR202" s="661"/>
      <c r="QQS202" s="660" t="s">
        <v>634</v>
      </c>
      <c r="QQT202" s="661"/>
      <c r="QQU202" s="661"/>
      <c r="QQV202" s="661"/>
      <c r="QQW202" s="661"/>
      <c r="QQX202" s="661"/>
      <c r="QQY202" s="661"/>
      <c r="QQZ202" s="661"/>
      <c r="QRA202" s="661"/>
      <c r="QRB202" s="661"/>
      <c r="QRC202" s="661"/>
      <c r="QRD202" s="661"/>
      <c r="QRE202" s="661"/>
      <c r="QRF202" s="661"/>
      <c r="QRG202" s="661"/>
      <c r="QRH202" s="661"/>
      <c r="QRI202" s="660" t="s">
        <v>634</v>
      </c>
      <c r="QRJ202" s="661"/>
      <c r="QRK202" s="661"/>
      <c r="QRL202" s="661"/>
      <c r="QRM202" s="661"/>
      <c r="QRN202" s="661"/>
      <c r="QRO202" s="661"/>
      <c r="QRP202" s="661"/>
      <c r="QRQ202" s="661"/>
      <c r="QRR202" s="661"/>
      <c r="QRS202" s="661"/>
      <c r="QRT202" s="661"/>
      <c r="QRU202" s="661"/>
      <c r="QRV202" s="661"/>
      <c r="QRW202" s="661"/>
      <c r="QRX202" s="661"/>
      <c r="QRY202" s="660" t="s">
        <v>634</v>
      </c>
      <c r="QRZ202" s="661"/>
      <c r="QSA202" s="661"/>
      <c r="QSB202" s="661"/>
      <c r="QSC202" s="661"/>
      <c r="QSD202" s="661"/>
      <c r="QSE202" s="661"/>
      <c r="QSF202" s="661"/>
      <c r="QSG202" s="661"/>
      <c r="QSH202" s="661"/>
      <c r="QSI202" s="661"/>
      <c r="QSJ202" s="661"/>
      <c r="QSK202" s="661"/>
      <c r="QSL202" s="661"/>
      <c r="QSM202" s="661"/>
      <c r="QSN202" s="661"/>
      <c r="QSO202" s="660" t="s">
        <v>634</v>
      </c>
      <c r="QSP202" s="661"/>
      <c r="QSQ202" s="661"/>
      <c r="QSR202" s="661"/>
      <c r="QSS202" s="661"/>
      <c r="QST202" s="661"/>
      <c r="QSU202" s="661"/>
      <c r="QSV202" s="661"/>
      <c r="QSW202" s="661"/>
      <c r="QSX202" s="661"/>
      <c r="QSY202" s="661"/>
      <c r="QSZ202" s="661"/>
      <c r="QTA202" s="661"/>
      <c r="QTB202" s="661"/>
      <c r="QTC202" s="661"/>
      <c r="QTD202" s="661"/>
      <c r="QTE202" s="660" t="s">
        <v>634</v>
      </c>
      <c r="QTF202" s="661"/>
      <c r="QTG202" s="661"/>
      <c r="QTH202" s="661"/>
      <c r="QTI202" s="661"/>
      <c r="QTJ202" s="661"/>
      <c r="QTK202" s="661"/>
      <c r="QTL202" s="661"/>
      <c r="QTM202" s="661"/>
      <c r="QTN202" s="661"/>
      <c r="QTO202" s="661"/>
      <c r="QTP202" s="661"/>
      <c r="QTQ202" s="661"/>
      <c r="QTR202" s="661"/>
      <c r="QTS202" s="661"/>
      <c r="QTT202" s="661"/>
      <c r="QTU202" s="660" t="s">
        <v>634</v>
      </c>
      <c r="QTV202" s="661"/>
      <c r="QTW202" s="661"/>
      <c r="QTX202" s="661"/>
      <c r="QTY202" s="661"/>
      <c r="QTZ202" s="661"/>
      <c r="QUA202" s="661"/>
      <c r="QUB202" s="661"/>
      <c r="QUC202" s="661"/>
      <c r="QUD202" s="661"/>
      <c r="QUE202" s="661"/>
      <c r="QUF202" s="661"/>
      <c r="QUG202" s="661"/>
      <c r="QUH202" s="661"/>
      <c r="QUI202" s="661"/>
      <c r="QUJ202" s="661"/>
      <c r="QUK202" s="660" t="s">
        <v>634</v>
      </c>
      <c r="QUL202" s="661"/>
      <c r="QUM202" s="661"/>
      <c r="QUN202" s="661"/>
      <c r="QUO202" s="661"/>
      <c r="QUP202" s="661"/>
      <c r="QUQ202" s="661"/>
      <c r="QUR202" s="661"/>
      <c r="QUS202" s="661"/>
      <c r="QUT202" s="661"/>
      <c r="QUU202" s="661"/>
      <c r="QUV202" s="661"/>
      <c r="QUW202" s="661"/>
      <c r="QUX202" s="661"/>
      <c r="QUY202" s="661"/>
      <c r="QUZ202" s="661"/>
      <c r="QVA202" s="660" t="s">
        <v>634</v>
      </c>
      <c r="QVB202" s="661"/>
      <c r="QVC202" s="661"/>
      <c r="QVD202" s="661"/>
      <c r="QVE202" s="661"/>
      <c r="QVF202" s="661"/>
      <c r="QVG202" s="661"/>
      <c r="QVH202" s="661"/>
      <c r="QVI202" s="661"/>
      <c r="QVJ202" s="661"/>
      <c r="QVK202" s="661"/>
      <c r="QVL202" s="661"/>
      <c r="QVM202" s="661"/>
      <c r="QVN202" s="661"/>
      <c r="QVO202" s="661"/>
      <c r="QVP202" s="661"/>
      <c r="QVQ202" s="660" t="s">
        <v>634</v>
      </c>
      <c r="QVR202" s="661"/>
      <c r="QVS202" s="661"/>
      <c r="QVT202" s="661"/>
      <c r="QVU202" s="661"/>
      <c r="QVV202" s="661"/>
      <c r="QVW202" s="661"/>
      <c r="QVX202" s="661"/>
      <c r="QVY202" s="661"/>
      <c r="QVZ202" s="661"/>
      <c r="QWA202" s="661"/>
      <c r="QWB202" s="661"/>
      <c r="QWC202" s="661"/>
      <c r="QWD202" s="661"/>
      <c r="QWE202" s="661"/>
      <c r="QWF202" s="661"/>
      <c r="QWG202" s="660" t="s">
        <v>634</v>
      </c>
      <c r="QWH202" s="661"/>
      <c r="QWI202" s="661"/>
      <c r="QWJ202" s="661"/>
      <c r="QWK202" s="661"/>
      <c r="QWL202" s="661"/>
      <c r="QWM202" s="661"/>
      <c r="QWN202" s="661"/>
      <c r="QWO202" s="661"/>
      <c r="QWP202" s="661"/>
      <c r="QWQ202" s="661"/>
      <c r="QWR202" s="661"/>
      <c r="QWS202" s="661"/>
      <c r="QWT202" s="661"/>
      <c r="QWU202" s="661"/>
      <c r="QWV202" s="661"/>
      <c r="QWW202" s="660" t="s">
        <v>634</v>
      </c>
      <c r="QWX202" s="661"/>
      <c r="QWY202" s="661"/>
      <c r="QWZ202" s="661"/>
      <c r="QXA202" s="661"/>
      <c r="QXB202" s="661"/>
      <c r="QXC202" s="661"/>
      <c r="QXD202" s="661"/>
      <c r="QXE202" s="661"/>
      <c r="QXF202" s="661"/>
      <c r="QXG202" s="661"/>
      <c r="QXH202" s="661"/>
      <c r="QXI202" s="661"/>
      <c r="QXJ202" s="661"/>
      <c r="QXK202" s="661"/>
      <c r="QXL202" s="661"/>
      <c r="QXM202" s="660" t="s">
        <v>634</v>
      </c>
      <c r="QXN202" s="661"/>
      <c r="QXO202" s="661"/>
      <c r="QXP202" s="661"/>
      <c r="QXQ202" s="661"/>
      <c r="QXR202" s="661"/>
      <c r="QXS202" s="661"/>
      <c r="QXT202" s="661"/>
      <c r="QXU202" s="661"/>
      <c r="QXV202" s="661"/>
      <c r="QXW202" s="661"/>
      <c r="QXX202" s="661"/>
      <c r="QXY202" s="661"/>
      <c r="QXZ202" s="661"/>
      <c r="QYA202" s="661"/>
      <c r="QYB202" s="661"/>
      <c r="QYC202" s="660" t="s">
        <v>634</v>
      </c>
      <c r="QYD202" s="661"/>
      <c r="QYE202" s="661"/>
      <c r="QYF202" s="661"/>
      <c r="QYG202" s="661"/>
      <c r="QYH202" s="661"/>
      <c r="QYI202" s="661"/>
      <c r="QYJ202" s="661"/>
      <c r="QYK202" s="661"/>
      <c r="QYL202" s="661"/>
      <c r="QYM202" s="661"/>
      <c r="QYN202" s="661"/>
      <c r="QYO202" s="661"/>
      <c r="QYP202" s="661"/>
      <c r="QYQ202" s="661"/>
      <c r="QYR202" s="661"/>
      <c r="QYS202" s="660" t="s">
        <v>634</v>
      </c>
      <c r="QYT202" s="661"/>
      <c r="QYU202" s="661"/>
      <c r="QYV202" s="661"/>
      <c r="QYW202" s="661"/>
      <c r="QYX202" s="661"/>
      <c r="QYY202" s="661"/>
      <c r="QYZ202" s="661"/>
      <c r="QZA202" s="661"/>
      <c r="QZB202" s="661"/>
      <c r="QZC202" s="661"/>
      <c r="QZD202" s="661"/>
      <c r="QZE202" s="661"/>
      <c r="QZF202" s="661"/>
      <c r="QZG202" s="661"/>
      <c r="QZH202" s="661"/>
      <c r="QZI202" s="660" t="s">
        <v>634</v>
      </c>
      <c r="QZJ202" s="661"/>
      <c r="QZK202" s="661"/>
      <c r="QZL202" s="661"/>
      <c r="QZM202" s="661"/>
      <c r="QZN202" s="661"/>
      <c r="QZO202" s="661"/>
      <c r="QZP202" s="661"/>
      <c r="QZQ202" s="661"/>
      <c r="QZR202" s="661"/>
      <c r="QZS202" s="661"/>
      <c r="QZT202" s="661"/>
      <c r="QZU202" s="661"/>
      <c r="QZV202" s="661"/>
      <c r="QZW202" s="661"/>
      <c r="QZX202" s="661"/>
      <c r="QZY202" s="660" t="s">
        <v>634</v>
      </c>
      <c r="QZZ202" s="661"/>
      <c r="RAA202" s="661"/>
      <c r="RAB202" s="661"/>
      <c r="RAC202" s="661"/>
      <c r="RAD202" s="661"/>
      <c r="RAE202" s="661"/>
      <c r="RAF202" s="661"/>
      <c r="RAG202" s="661"/>
      <c r="RAH202" s="661"/>
      <c r="RAI202" s="661"/>
      <c r="RAJ202" s="661"/>
      <c r="RAK202" s="661"/>
      <c r="RAL202" s="661"/>
      <c r="RAM202" s="661"/>
      <c r="RAN202" s="661"/>
      <c r="RAO202" s="660" t="s">
        <v>634</v>
      </c>
      <c r="RAP202" s="661"/>
      <c r="RAQ202" s="661"/>
      <c r="RAR202" s="661"/>
      <c r="RAS202" s="661"/>
      <c r="RAT202" s="661"/>
      <c r="RAU202" s="661"/>
      <c r="RAV202" s="661"/>
      <c r="RAW202" s="661"/>
      <c r="RAX202" s="661"/>
      <c r="RAY202" s="661"/>
      <c r="RAZ202" s="661"/>
      <c r="RBA202" s="661"/>
      <c r="RBB202" s="661"/>
      <c r="RBC202" s="661"/>
      <c r="RBD202" s="661"/>
      <c r="RBE202" s="660" t="s">
        <v>634</v>
      </c>
      <c r="RBF202" s="661"/>
      <c r="RBG202" s="661"/>
      <c r="RBH202" s="661"/>
      <c r="RBI202" s="661"/>
      <c r="RBJ202" s="661"/>
      <c r="RBK202" s="661"/>
      <c r="RBL202" s="661"/>
      <c r="RBM202" s="661"/>
      <c r="RBN202" s="661"/>
      <c r="RBO202" s="661"/>
      <c r="RBP202" s="661"/>
      <c r="RBQ202" s="661"/>
      <c r="RBR202" s="661"/>
      <c r="RBS202" s="661"/>
      <c r="RBT202" s="661"/>
      <c r="RBU202" s="660" t="s">
        <v>634</v>
      </c>
      <c r="RBV202" s="661"/>
      <c r="RBW202" s="661"/>
      <c r="RBX202" s="661"/>
      <c r="RBY202" s="661"/>
      <c r="RBZ202" s="661"/>
      <c r="RCA202" s="661"/>
      <c r="RCB202" s="661"/>
      <c r="RCC202" s="661"/>
      <c r="RCD202" s="661"/>
      <c r="RCE202" s="661"/>
      <c r="RCF202" s="661"/>
      <c r="RCG202" s="661"/>
      <c r="RCH202" s="661"/>
      <c r="RCI202" s="661"/>
      <c r="RCJ202" s="661"/>
      <c r="RCK202" s="660" t="s">
        <v>634</v>
      </c>
      <c r="RCL202" s="661"/>
      <c r="RCM202" s="661"/>
      <c r="RCN202" s="661"/>
      <c r="RCO202" s="661"/>
      <c r="RCP202" s="661"/>
      <c r="RCQ202" s="661"/>
      <c r="RCR202" s="661"/>
      <c r="RCS202" s="661"/>
      <c r="RCT202" s="661"/>
      <c r="RCU202" s="661"/>
      <c r="RCV202" s="661"/>
      <c r="RCW202" s="661"/>
      <c r="RCX202" s="661"/>
      <c r="RCY202" s="661"/>
      <c r="RCZ202" s="661"/>
      <c r="RDA202" s="660" t="s">
        <v>634</v>
      </c>
      <c r="RDB202" s="661"/>
      <c r="RDC202" s="661"/>
      <c r="RDD202" s="661"/>
      <c r="RDE202" s="661"/>
      <c r="RDF202" s="661"/>
      <c r="RDG202" s="661"/>
      <c r="RDH202" s="661"/>
      <c r="RDI202" s="661"/>
      <c r="RDJ202" s="661"/>
      <c r="RDK202" s="661"/>
      <c r="RDL202" s="661"/>
      <c r="RDM202" s="661"/>
      <c r="RDN202" s="661"/>
      <c r="RDO202" s="661"/>
      <c r="RDP202" s="661"/>
      <c r="RDQ202" s="660" t="s">
        <v>634</v>
      </c>
      <c r="RDR202" s="661"/>
      <c r="RDS202" s="661"/>
      <c r="RDT202" s="661"/>
      <c r="RDU202" s="661"/>
      <c r="RDV202" s="661"/>
      <c r="RDW202" s="661"/>
      <c r="RDX202" s="661"/>
      <c r="RDY202" s="661"/>
      <c r="RDZ202" s="661"/>
      <c r="REA202" s="661"/>
      <c r="REB202" s="661"/>
      <c r="REC202" s="661"/>
      <c r="RED202" s="661"/>
      <c r="REE202" s="661"/>
      <c r="REF202" s="661"/>
      <c r="REG202" s="660" t="s">
        <v>634</v>
      </c>
      <c r="REH202" s="661"/>
      <c r="REI202" s="661"/>
      <c r="REJ202" s="661"/>
      <c r="REK202" s="661"/>
      <c r="REL202" s="661"/>
      <c r="REM202" s="661"/>
      <c r="REN202" s="661"/>
      <c r="REO202" s="661"/>
      <c r="REP202" s="661"/>
      <c r="REQ202" s="661"/>
      <c r="RER202" s="661"/>
      <c r="RES202" s="661"/>
      <c r="RET202" s="661"/>
      <c r="REU202" s="661"/>
      <c r="REV202" s="661"/>
      <c r="REW202" s="660" t="s">
        <v>634</v>
      </c>
      <c r="REX202" s="661"/>
      <c r="REY202" s="661"/>
      <c r="REZ202" s="661"/>
      <c r="RFA202" s="661"/>
      <c r="RFB202" s="661"/>
      <c r="RFC202" s="661"/>
      <c r="RFD202" s="661"/>
      <c r="RFE202" s="661"/>
      <c r="RFF202" s="661"/>
      <c r="RFG202" s="661"/>
      <c r="RFH202" s="661"/>
      <c r="RFI202" s="661"/>
      <c r="RFJ202" s="661"/>
      <c r="RFK202" s="661"/>
      <c r="RFL202" s="661"/>
      <c r="RFM202" s="660" t="s">
        <v>634</v>
      </c>
      <c r="RFN202" s="661"/>
      <c r="RFO202" s="661"/>
      <c r="RFP202" s="661"/>
      <c r="RFQ202" s="661"/>
      <c r="RFR202" s="661"/>
      <c r="RFS202" s="661"/>
      <c r="RFT202" s="661"/>
      <c r="RFU202" s="661"/>
      <c r="RFV202" s="661"/>
      <c r="RFW202" s="661"/>
      <c r="RFX202" s="661"/>
      <c r="RFY202" s="661"/>
      <c r="RFZ202" s="661"/>
      <c r="RGA202" s="661"/>
      <c r="RGB202" s="661"/>
      <c r="RGC202" s="660" t="s">
        <v>634</v>
      </c>
      <c r="RGD202" s="661"/>
      <c r="RGE202" s="661"/>
      <c r="RGF202" s="661"/>
      <c r="RGG202" s="661"/>
      <c r="RGH202" s="661"/>
      <c r="RGI202" s="661"/>
      <c r="RGJ202" s="661"/>
      <c r="RGK202" s="661"/>
      <c r="RGL202" s="661"/>
      <c r="RGM202" s="661"/>
      <c r="RGN202" s="661"/>
      <c r="RGO202" s="661"/>
      <c r="RGP202" s="661"/>
      <c r="RGQ202" s="661"/>
      <c r="RGR202" s="661"/>
      <c r="RGS202" s="660" t="s">
        <v>634</v>
      </c>
      <c r="RGT202" s="661"/>
      <c r="RGU202" s="661"/>
      <c r="RGV202" s="661"/>
      <c r="RGW202" s="661"/>
      <c r="RGX202" s="661"/>
      <c r="RGY202" s="661"/>
      <c r="RGZ202" s="661"/>
      <c r="RHA202" s="661"/>
      <c r="RHB202" s="661"/>
      <c r="RHC202" s="661"/>
      <c r="RHD202" s="661"/>
      <c r="RHE202" s="661"/>
      <c r="RHF202" s="661"/>
      <c r="RHG202" s="661"/>
      <c r="RHH202" s="661"/>
      <c r="RHI202" s="660" t="s">
        <v>634</v>
      </c>
      <c r="RHJ202" s="661"/>
      <c r="RHK202" s="661"/>
      <c r="RHL202" s="661"/>
      <c r="RHM202" s="661"/>
      <c r="RHN202" s="661"/>
      <c r="RHO202" s="661"/>
      <c r="RHP202" s="661"/>
      <c r="RHQ202" s="661"/>
      <c r="RHR202" s="661"/>
      <c r="RHS202" s="661"/>
      <c r="RHT202" s="661"/>
      <c r="RHU202" s="661"/>
      <c r="RHV202" s="661"/>
      <c r="RHW202" s="661"/>
      <c r="RHX202" s="661"/>
      <c r="RHY202" s="660" t="s">
        <v>634</v>
      </c>
      <c r="RHZ202" s="661"/>
      <c r="RIA202" s="661"/>
      <c r="RIB202" s="661"/>
      <c r="RIC202" s="661"/>
      <c r="RID202" s="661"/>
      <c r="RIE202" s="661"/>
      <c r="RIF202" s="661"/>
      <c r="RIG202" s="661"/>
      <c r="RIH202" s="661"/>
      <c r="RII202" s="661"/>
      <c r="RIJ202" s="661"/>
      <c r="RIK202" s="661"/>
      <c r="RIL202" s="661"/>
      <c r="RIM202" s="661"/>
      <c r="RIN202" s="661"/>
      <c r="RIO202" s="660" t="s">
        <v>634</v>
      </c>
      <c r="RIP202" s="661"/>
      <c r="RIQ202" s="661"/>
      <c r="RIR202" s="661"/>
      <c r="RIS202" s="661"/>
      <c r="RIT202" s="661"/>
      <c r="RIU202" s="661"/>
      <c r="RIV202" s="661"/>
      <c r="RIW202" s="661"/>
      <c r="RIX202" s="661"/>
      <c r="RIY202" s="661"/>
      <c r="RIZ202" s="661"/>
      <c r="RJA202" s="661"/>
      <c r="RJB202" s="661"/>
      <c r="RJC202" s="661"/>
      <c r="RJD202" s="661"/>
      <c r="RJE202" s="660" t="s">
        <v>634</v>
      </c>
      <c r="RJF202" s="661"/>
      <c r="RJG202" s="661"/>
      <c r="RJH202" s="661"/>
      <c r="RJI202" s="661"/>
      <c r="RJJ202" s="661"/>
      <c r="RJK202" s="661"/>
      <c r="RJL202" s="661"/>
      <c r="RJM202" s="661"/>
      <c r="RJN202" s="661"/>
      <c r="RJO202" s="661"/>
      <c r="RJP202" s="661"/>
      <c r="RJQ202" s="661"/>
      <c r="RJR202" s="661"/>
      <c r="RJS202" s="661"/>
      <c r="RJT202" s="661"/>
      <c r="RJU202" s="660" t="s">
        <v>634</v>
      </c>
      <c r="RJV202" s="661"/>
      <c r="RJW202" s="661"/>
      <c r="RJX202" s="661"/>
      <c r="RJY202" s="661"/>
      <c r="RJZ202" s="661"/>
      <c r="RKA202" s="661"/>
      <c r="RKB202" s="661"/>
      <c r="RKC202" s="661"/>
      <c r="RKD202" s="661"/>
      <c r="RKE202" s="661"/>
      <c r="RKF202" s="661"/>
      <c r="RKG202" s="661"/>
      <c r="RKH202" s="661"/>
      <c r="RKI202" s="661"/>
      <c r="RKJ202" s="661"/>
      <c r="RKK202" s="660" t="s">
        <v>634</v>
      </c>
      <c r="RKL202" s="661"/>
      <c r="RKM202" s="661"/>
      <c r="RKN202" s="661"/>
      <c r="RKO202" s="661"/>
      <c r="RKP202" s="661"/>
      <c r="RKQ202" s="661"/>
      <c r="RKR202" s="661"/>
      <c r="RKS202" s="661"/>
      <c r="RKT202" s="661"/>
      <c r="RKU202" s="661"/>
      <c r="RKV202" s="661"/>
      <c r="RKW202" s="661"/>
      <c r="RKX202" s="661"/>
      <c r="RKY202" s="661"/>
      <c r="RKZ202" s="661"/>
      <c r="RLA202" s="660" t="s">
        <v>634</v>
      </c>
      <c r="RLB202" s="661"/>
      <c r="RLC202" s="661"/>
      <c r="RLD202" s="661"/>
      <c r="RLE202" s="661"/>
      <c r="RLF202" s="661"/>
      <c r="RLG202" s="661"/>
      <c r="RLH202" s="661"/>
      <c r="RLI202" s="661"/>
      <c r="RLJ202" s="661"/>
      <c r="RLK202" s="661"/>
      <c r="RLL202" s="661"/>
      <c r="RLM202" s="661"/>
      <c r="RLN202" s="661"/>
      <c r="RLO202" s="661"/>
      <c r="RLP202" s="661"/>
      <c r="RLQ202" s="660" t="s">
        <v>634</v>
      </c>
      <c r="RLR202" s="661"/>
      <c r="RLS202" s="661"/>
      <c r="RLT202" s="661"/>
      <c r="RLU202" s="661"/>
      <c r="RLV202" s="661"/>
      <c r="RLW202" s="661"/>
      <c r="RLX202" s="661"/>
      <c r="RLY202" s="661"/>
      <c r="RLZ202" s="661"/>
      <c r="RMA202" s="661"/>
      <c r="RMB202" s="661"/>
      <c r="RMC202" s="661"/>
      <c r="RMD202" s="661"/>
      <c r="RME202" s="661"/>
      <c r="RMF202" s="661"/>
      <c r="RMG202" s="660" t="s">
        <v>634</v>
      </c>
      <c r="RMH202" s="661"/>
      <c r="RMI202" s="661"/>
      <c r="RMJ202" s="661"/>
      <c r="RMK202" s="661"/>
      <c r="RML202" s="661"/>
      <c r="RMM202" s="661"/>
      <c r="RMN202" s="661"/>
      <c r="RMO202" s="661"/>
      <c r="RMP202" s="661"/>
      <c r="RMQ202" s="661"/>
      <c r="RMR202" s="661"/>
      <c r="RMS202" s="661"/>
      <c r="RMT202" s="661"/>
      <c r="RMU202" s="661"/>
      <c r="RMV202" s="661"/>
      <c r="RMW202" s="660" t="s">
        <v>634</v>
      </c>
      <c r="RMX202" s="661"/>
      <c r="RMY202" s="661"/>
      <c r="RMZ202" s="661"/>
      <c r="RNA202" s="661"/>
      <c r="RNB202" s="661"/>
      <c r="RNC202" s="661"/>
      <c r="RND202" s="661"/>
      <c r="RNE202" s="661"/>
      <c r="RNF202" s="661"/>
      <c r="RNG202" s="661"/>
      <c r="RNH202" s="661"/>
      <c r="RNI202" s="661"/>
      <c r="RNJ202" s="661"/>
      <c r="RNK202" s="661"/>
      <c r="RNL202" s="661"/>
      <c r="RNM202" s="660" t="s">
        <v>634</v>
      </c>
      <c r="RNN202" s="661"/>
      <c r="RNO202" s="661"/>
      <c r="RNP202" s="661"/>
      <c r="RNQ202" s="661"/>
      <c r="RNR202" s="661"/>
      <c r="RNS202" s="661"/>
      <c r="RNT202" s="661"/>
      <c r="RNU202" s="661"/>
      <c r="RNV202" s="661"/>
      <c r="RNW202" s="661"/>
      <c r="RNX202" s="661"/>
      <c r="RNY202" s="661"/>
      <c r="RNZ202" s="661"/>
      <c r="ROA202" s="661"/>
      <c r="ROB202" s="661"/>
      <c r="ROC202" s="660" t="s">
        <v>634</v>
      </c>
      <c r="ROD202" s="661"/>
      <c r="ROE202" s="661"/>
      <c r="ROF202" s="661"/>
      <c r="ROG202" s="661"/>
      <c r="ROH202" s="661"/>
      <c r="ROI202" s="661"/>
      <c r="ROJ202" s="661"/>
      <c r="ROK202" s="661"/>
      <c r="ROL202" s="661"/>
      <c r="ROM202" s="661"/>
      <c r="RON202" s="661"/>
      <c r="ROO202" s="661"/>
      <c r="ROP202" s="661"/>
      <c r="ROQ202" s="661"/>
      <c r="ROR202" s="661"/>
      <c r="ROS202" s="660" t="s">
        <v>634</v>
      </c>
      <c r="ROT202" s="661"/>
      <c r="ROU202" s="661"/>
      <c r="ROV202" s="661"/>
      <c r="ROW202" s="661"/>
      <c r="ROX202" s="661"/>
      <c r="ROY202" s="661"/>
      <c r="ROZ202" s="661"/>
      <c r="RPA202" s="661"/>
      <c r="RPB202" s="661"/>
      <c r="RPC202" s="661"/>
      <c r="RPD202" s="661"/>
      <c r="RPE202" s="661"/>
      <c r="RPF202" s="661"/>
      <c r="RPG202" s="661"/>
      <c r="RPH202" s="661"/>
      <c r="RPI202" s="660" t="s">
        <v>634</v>
      </c>
      <c r="RPJ202" s="661"/>
      <c r="RPK202" s="661"/>
      <c r="RPL202" s="661"/>
      <c r="RPM202" s="661"/>
      <c r="RPN202" s="661"/>
      <c r="RPO202" s="661"/>
      <c r="RPP202" s="661"/>
      <c r="RPQ202" s="661"/>
      <c r="RPR202" s="661"/>
      <c r="RPS202" s="661"/>
      <c r="RPT202" s="661"/>
      <c r="RPU202" s="661"/>
      <c r="RPV202" s="661"/>
      <c r="RPW202" s="661"/>
      <c r="RPX202" s="661"/>
      <c r="RPY202" s="660" t="s">
        <v>634</v>
      </c>
      <c r="RPZ202" s="661"/>
      <c r="RQA202" s="661"/>
      <c r="RQB202" s="661"/>
      <c r="RQC202" s="661"/>
      <c r="RQD202" s="661"/>
      <c r="RQE202" s="661"/>
      <c r="RQF202" s="661"/>
      <c r="RQG202" s="661"/>
      <c r="RQH202" s="661"/>
      <c r="RQI202" s="661"/>
      <c r="RQJ202" s="661"/>
      <c r="RQK202" s="661"/>
      <c r="RQL202" s="661"/>
      <c r="RQM202" s="661"/>
      <c r="RQN202" s="661"/>
      <c r="RQO202" s="660" t="s">
        <v>634</v>
      </c>
      <c r="RQP202" s="661"/>
      <c r="RQQ202" s="661"/>
      <c r="RQR202" s="661"/>
      <c r="RQS202" s="661"/>
      <c r="RQT202" s="661"/>
      <c r="RQU202" s="661"/>
      <c r="RQV202" s="661"/>
      <c r="RQW202" s="661"/>
      <c r="RQX202" s="661"/>
      <c r="RQY202" s="661"/>
      <c r="RQZ202" s="661"/>
      <c r="RRA202" s="661"/>
      <c r="RRB202" s="661"/>
      <c r="RRC202" s="661"/>
      <c r="RRD202" s="661"/>
      <c r="RRE202" s="660" t="s">
        <v>634</v>
      </c>
      <c r="RRF202" s="661"/>
      <c r="RRG202" s="661"/>
      <c r="RRH202" s="661"/>
      <c r="RRI202" s="661"/>
      <c r="RRJ202" s="661"/>
      <c r="RRK202" s="661"/>
      <c r="RRL202" s="661"/>
      <c r="RRM202" s="661"/>
      <c r="RRN202" s="661"/>
      <c r="RRO202" s="661"/>
      <c r="RRP202" s="661"/>
      <c r="RRQ202" s="661"/>
      <c r="RRR202" s="661"/>
      <c r="RRS202" s="661"/>
      <c r="RRT202" s="661"/>
      <c r="RRU202" s="660" t="s">
        <v>634</v>
      </c>
      <c r="RRV202" s="661"/>
      <c r="RRW202" s="661"/>
      <c r="RRX202" s="661"/>
      <c r="RRY202" s="661"/>
      <c r="RRZ202" s="661"/>
      <c r="RSA202" s="661"/>
      <c r="RSB202" s="661"/>
      <c r="RSC202" s="661"/>
      <c r="RSD202" s="661"/>
      <c r="RSE202" s="661"/>
      <c r="RSF202" s="661"/>
      <c r="RSG202" s="661"/>
      <c r="RSH202" s="661"/>
      <c r="RSI202" s="661"/>
      <c r="RSJ202" s="661"/>
      <c r="RSK202" s="660" t="s">
        <v>634</v>
      </c>
      <c r="RSL202" s="661"/>
      <c r="RSM202" s="661"/>
      <c r="RSN202" s="661"/>
      <c r="RSO202" s="661"/>
      <c r="RSP202" s="661"/>
      <c r="RSQ202" s="661"/>
      <c r="RSR202" s="661"/>
      <c r="RSS202" s="661"/>
      <c r="RST202" s="661"/>
      <c r="RSU202" s="661"/>
      <c r="RSV202" s="661"/>
      <c r="RSW202" s="661"/>
      <c r="RSX202" s="661"/>
      <c r="RSY202" s="661"/>
      <c r="RSZ202" s="661"/>
      <c r="RTA202" s="660" t="s">
        <v>634</v>
      </c>
      <c r="RTB202" s="661"/>
      <c r="RTC202" s="661"/>
      <c r="RTD202" s="661"/>
      <c r="RTE202" s="661"/>
      <c r="RTF202" s="661"/>
      <c r="RTG202" s="661"/>
      <c r="RTH202" s="661"/>
      <c r="RTI202" s="661"/>
      <c r="RTJ202" s="661"/>
      <c r="RTK202" s="661"/>
      <c r="RTL202" s="661"/>
      <c r="RTM202" s="661"/>
      <c r="RTN202" s="661"/>
      <c r="RTO202" s="661"/>
      <c r="RTP202" s="661"/>
      <c r="RTQ202" s="660" t="s">
        <v>634</v>
      </c>
      <c r="RTR202" s="661"/>
      <c r="RTS202" s="661"/>
      <c r="RTT202" s="661"/>
      <c r="RTU202" s="661"/>
      <c r="RTV202" s="661"/>
      <c r="RTW202" s="661"/>
      <c r="RTX202" s="661"/>
      <c r="RTY202" s="661"/>
      <c r="RTZ202" s="661"/>
      <c r="RUA202" s="661"/>
      <c r="RUB202" s="661"/>
      <c r="RUC202" s="661"/>
      <c r="RUD202" s="661"/>
      <c r="RUE202" s="661"/>
      <c r="RUF202" s="661"/>
      <c r="RUG202" s="660" t="s">
        <v>634</v>
      </c>
      <c r="RUH202" s="661"/>
      <c r="RUI202" s="661"/>
      <c r="RUJ202" s="661"/>
      <c r="RUK202" s="661"/>
      <c r="RUL202" s="661"/>
      <c r="RUM202" s="661"/>
      <c r="RUN202" s="661"/>
      <c r="RUO202" s="661"/>
      <c r="RUP202" s="661"/>
      <c r="RUQ202" s="661"/>
      <c r="RUR202" s="661"/>
      <c r="RUS202" s="661"/>
      <c r="RUT202" s="661"/>
      <c r="RUU202" s="661"/>
      <c r="RUV202" s="661"/>
      <c r="RUW202" s="660" t="s">
        <v>634</v>
      </c>
      <c r="RUX202" s="661"/>
      <c r="RUY202" s="661"/>
      <c r="RUZ202" s="661"/>
      <c r="RVA202" s="661"/>
      <c r="RVB202" s="661"/>
      <c r="RVC202" s="661"/>
      <c r="RVD202" s="661"/>
      <c r="RVE202" s="661"/>
      <c r="RVF202" s="661"/>
      <c r="RVG202" s="661"/>
      <c r="RVH202" s="661"/>
      <c r="RVI202" s="661"/>
      <c r="RVJ202" s="661"/>
      <c r="RVK202" s="661"/>
      <c r="RVL202" s="661"/>
      <c r="RVM202" s="660" t="s">
        <v>634</v>
      </c>
      <c r="RVN202" s="661"/>
      <c r="RVO202" s="661"/>
      <c r="RVP202" s="661"/>
      <c r="RVQ202" s="661"/>
      <c r="RVR202" s="661"/>
      <c r="RVS202" s="661"/>
      <c r="RVT202" s="661"/>
      <c r="RVU202" s="661"/>
      <c r="RVV202" s="661"/>
      <c r="RVW202" s="661"/>
      <c r="RVX202" s="661"/>
      <c r="RVY202" s="661"/>
      <c r="RVZ202" s="661"/>
      <c r="RWA202" s="661"/>
      <c r="RWB202" s="661"/>
      <c r="RWC202" s="660" t="s">
        <v>634</v>
      </c>
      <c r="RWD202" s="661"/>
      <c r="RWE202" s="661"/>
      <c r="RWF202" s="661"/>
      <c r="RWG202" s="661"/>
      <c r="RWH202" s="661"/>
      <c r="RWI202" s="661"/>
      <c r="RWJ202" s="661"/>
      <c r="RWK202" s="661"/>
      <c r="RWL202" s="661"/>
      <c r="RWM202" s="661"/>
      <c r="RWN202" s="661"/>
      <c r="RWO202" s="661"/>
      <c r="RWP202" s="661"/>
      <c r="RWQ202" s="661"/>
      <c r="RWR202" s="661"/>
      <c r="RWS202" s="660" t="s">
        <v>634</v>
      </c>
      <c r="RWT202" s="661"/>
      <c r="RWU202" s="661"/>
      <c r="RWV202" s="661"/>
      <c r="RWW202" s="661"/>
      <c r="RWX202" s="661"/>
      <c r="RWY202" s="661"/>
      <c r="RWZ202" s="661"/>
      <c r="RXA202" s="661"/>
      <c r="RXB202" s="661"/>
      <c r="RXC202" s="661"/>
      <c r="RXD202" s="661"/>
      <c r="RXE202" s="661"/>
      <c r="RXF202" s="661"/>
      <c r="RXG202" s="661"/>
      <c r="RXH202" s="661"/>
      <c r="RXI202" s="660" t="s">
        <v>634</v>
      </c>
      <c r="RXJ202" s="661"/>
      <c r="RXK202" s="661"/>
      <c r="RXL202" s="661"/>
      <c r="RXM202" s="661"/>
      <c r="RXN202" s="661"/>
      <c r="RXO202" s="661"/>
      <c r="RXP202" s="661"/>
      <c r="RXQ202" s="661"/>
      <c r="RXR202" s="661"/>
      <c r="RXS202" s="661"/>
      <c r="RXT202" s="661"/>
      <c r="RXU202" s="661"/>
      <c r="RXV202" s="661"/>
      <c r="RXW202" s="661"/>
      <c r="RXX202" s="661"/>
      <c r="RXY202" s="660" t="s">
        <v>634</v>
      </c>
      <c r="RXZ202" s="661"/>
      <c r="RYA202" s="661"/>
      <c r="RYB202" s="661"/>
      <c r="RYC202" s="661"/>
      <c r="RYD202" s="661"/>
      <c r="RYE202" s="661"/>
      <c r="RYF202" s="661"/>
      <c r="RYG202" s="661"/>
      <c r="RYH202" s="661"/>
      <c r="RYI202" s="661"/>
      <c r="RYJ202" s="661"/>
      <c r="RYK202" s="661"/>
      <c r="RYL202" s="661"/>
      <c r="RYM202" s="661"/>
      <c r="RYN202" s="661"/>
      <c r="RYO202" s="660" t="s">
        <v>634</v>
      </c>
      <c r="RYP202" s="661"/>
      <c r="RYQ202" s="661"/>
      <c r="RYR202" s="661"/>
      <c r="RYS202" s="661"/>
      <c r="RYT202" s="661"/>
      <c r="RYU202" s="661"/>
      <c r="RYV202" s="661"/>
      <c r="RYW202" s="661"/>
      <c r="RYX202" s="661"/>
      <c r="RYY202" s="661"/>
      <c r="RYZ202" s="661"/>
      <c r="RZA202" s="661"/>
      <c r="RZB202" s="661"/>
      <c r="RZC202" s="661"/>
      <c r="RZD202" s="661"/>
      <c r="RZE202" s="660" t="s">
        <v>634</v>
      </c>
      <c r="RZF202" s="661"/>
      <c r="RZG202" s="661"/>
      <c r="RZH202" s="661"/>
      <c r="RZI202" s="661"/>
      <c r="RZJ202" s="661"/>
      <c r="RZK202" s="661"/>
      <c r="RZL202" s="661"/>
      <c r="RZM202" s="661"/>
      <c r="RZN202" s="661"/>
      <c r="RZO202" s="661"/>
      <c r="RZP202" s="661"/>
      <c r="RZQ202" s="661"/>
      <c r="RZR202" s="661"/>
      <c r="RZS202" s="661"/>
      <c r="RZT202" s="661"/>
      <c r="RZU202" s="660" t="s">
        <v>634</v>
      </c>
      <c r="RZV202" s="661"/>
      <c r="RZW202" s="661"/>
      <c r="RZX202" s="661"/>
      <c r="RZY202" s="661"/>
      <c r="RZZ202" s="661"/>
      <c r="SAA202" s="661"/>
      <c r="SAB202" s="661"/>
      <c r="SAC202" s="661"/>
      <c r="SAD202" s="661"/>
      <c r="SAE202" s="661"/>
      <c r="SAF202" s="661"/>
      <c r="SAG202" s="661"/>
      <c r="SAH202" s="661"/>
      <c r="SAI202" s="661"/>
      <c r="SAJ202" s="661"/>
      <c r="SAK202" s="660" t="s">
        <v>634</v>
      </c>
      <c r="SAL202" s="661"/>
      <c r="SAM202" s="661"/>
      <c r="SAN202" s="661"/>
      <c r="SAO202" s="661"/>
      <c r="SAP202" s="661"/>
      <c r="SAQ202" s="661"/>
      <c r="SAR202" s="661"/>
      <c r="SAS202" s="661"/>
      <c r="SAT202" s="661"/>
      <c r="SAU202" s="661"/>
      <c r="SAV202" s="661"/>
      <c r="SAW202" s="661"/>
      <c r="SAX202" s="661"/>
      <c r="SAY202" s="661"/>
      <c r="SAZ202" s="661"/>
      <c r="SBA202" s="660" t="s">
        <v>634</v>
      </c>
      <c r="SBB202" s="661"/>
      <c r="SBC202" s="661"/>
      <c r="SBD202" s="661"/>
      <c r="SBE202" s="661"/>
      <c r="SBF202" s="661"/>
      <c r="SBG202" s="661"/>
      <c r="SBH202" s="661"/>
      <c r="SBI202" s="661"/>
      <c r="SBJ202" s="661"/>
      <c r="SBK202" s="661"/>
      <c r="SBL202" s="661"/>
      <c r="SBM202" s="661"/>
      <c r="SBN202" s="661"/>
      <c r="SBO202" s="661"/>
      <c r="SBP202" s="661"/>
      <c r="SBQ202" s="660" t="s">
        <v>634</v>
      </c>
      <c r="SBR202" s="661"/>
      <c r="SBS202" s="661"/>
      <c r="SBT202" s="661"/>
      <c r="SBU202" s="661"/>
      <c r="SBV202" s="661"/>
      <c r="SBW202" s="661"/>
      <c r="SBX202" s="661"/>
      <c r="SBY202" s="661"/>
      <c r="SBZ202" s="661"/>
      <c r="SCA202" s="661"/>
      <c r="SCB202" s="661"/>
      <c r="SCC202" s="661"/>
      <c r="SCD202" s="661"/>
      <c r="SCE202" s="661"/>
      <c r="SCF202" s="661"/>
      <c r="SCG202" s="660" t="s">
        <v>634</v>
      </c>
      <c r="SCH202" s="661"/>
      <c r="SCI202" s="661"/>
      <c r="SCJ202" s="661"/>
      <c r="SCK202" s="661"/>
      <c r="SCL202" s="661"/>
      <c r="SCM202" s="661"/>
      <c r="SCN202" s="661"/>
      <c r="SCO202" s="661"/>
      <c r="SCP202" s="661"/>
      <c r="SCQ202" s="661"/>
      <c r="SCR202" s="661"/>
      <c r="SCS202" s="661"/>
      <c r="SCT202" s="661"/>
      <c r="SCU202" s="661"/>
      <c r="SCV202" s="661"/>
      <c r="SCW202" s="660" t="s">
        <v>634</v>
      </c>
      <c r="SCX202" s="661"/>
      <c r="SCY202" s="661"/>
      <c r="SCZ202" s="661"/>
      <c r="SDA202" s="661"/>
      <c r="SDB202" s="661"/>
      <c r="SDC202" s="661"/>
      <c r="SDD202" s="661"/>
      <c r="SDE202" s="661"/>
      <c r="SDF202" s="661"/>
      <c r="SDG202" s="661"/>
      <c r="SDH202" s="661"/>
      <c r="SDI202" s="661"/>
      <c r="SDJ202" s="661"/>
      <c r="SDK202" s="661"/>
      <c r="SDL202" s="661"/>
      <c r="SDM202" s="660" t="s">
        <v>634</v>
      </c>
      <c r="SDN202" s="661"/>
      <c r="SDO202" s="661"/>
      <c r="SDP202" s="661"/>
      <c r="SDQ202" s="661"/>
      <c r="SDR202" s="661"/>
      <c r="SDS202" s="661"/>
      <c r="SDT202" s="661"/>
      <c r="SDU202" s="661"/>
      <c r="SDV202" s="661"/>
      <c r="SDW202" s="661"/>
      <c r="SDX202" s="661"/>
      <c r="SDY202" s="661"/>
      <c r="SDZ202" s="661"/>
      <c r="SEA202" s="661"/>
      <c r="SEB202" s="661"/>
      <c r="SEC202" s="660" t="s">
        <v>634</v>
      </c>
      <c r="SED202" s="661"/>
      <c r="SEE202" s="661"/>
      <c r="SEF202" s="661"/>
      <c r="SEG202" s="661"/>
      <c r="SEH202" s="661"/>
      <c r="SEI202" s="661"/>
      <c r="SEJ202" s="661"/>
      <c r="SEK202" s="661"/>
      <c r="SEL202" s="661"/>
      <c r="SEM202" s="661"/>
      <c r="SEN202" s="661"/>
      <c r="SEO202" s="661"/>
      <c r="SEP202" s="661"/>
      <c r="SEQ202" s="661"/>
      <c r="SER202" s="661"/>
      <c r="SES202" s="660" t="s">
        <v>634</v>
      </c>
      <c r="SET202" s="661"/>
      <c r="SEU202" s="661"/>
      <c r="SEV202" s="661"/>
      <c r="SEW202" s="661"/>
      <c r="SEX202" s="661"/>
      <c r="SEY202" s="661"/>
      <c r="SEZ202" s="661"/>
      <c r="SFA202" s="661"/>
      <c r="SFB202" s="661"/>
      <c r="SFC202" s="661"/>
      <c r="SFD202" s="661"/>
      <c r="SFE202" s="661"/>
      <c r="SFF202" s="661"/>
      <c r="SFG202" s="661"/>
      <c r="SFH202" s="661"/>
      <c r="SFI202" s="660" t="s">
        <v>634</v>
      </c>
      <c r="SFJ202" s="661"/>
      <c r="SFK202" s="661"/>
      <c r="SFL202" s="661"/>
      <c r="SFM202" s="661"/>
      <c r="SFN202" s="661"/>
      <c r="SFO202" s="661"/>
      <c r="SFP202" s="661"/>
      <c r="SFQ202" s="661"/>
      <c r="SFR202" s="661"/>
      <c r="SFS202" s="661"/>
      <c r="SFT202" s="661"/>
      <c r="SFU202" s="661"/>
      <c r="SFV202" s="661"/>
      <c r="SFW202" s="661"/>
      <c r="SFX202" s="661"/>
      <c r="SFY202" s="660" t="s">
        <v>634</v>
      </c>
      <c r="SFZ202" s="661"/>
      <c r="SGA202" s="661"/>
      <c r="SGB202" s="661"/>
      <c r="SGC202" s="661"/>
      <c r="SGD202" s="661"/>
      <c r="SGE202" s="661"/>
      <c r="SGF202" s="661"/>
      <c r="SGG202" s="661"/>
      <c r="SGH202" s="661"/>
      <c r="SGI202" s="661"/>
      <c r="SGJ202" s="661"/>
      <c r="SGK202" s="661"/>
      <c r="SGL202" s="661"/>
      <c r="SGM202" s="661"/>
      <c r="SGN202" s="661"/>
      <c r="SGO202" s="660" t="s">
        <v>634</v>
      </c>
      <c r="SGP202" s="661"/>
      <c r="SGQ202" s="661"/>
      <c r="SGR202" s="661"/>
      <c r="SGS202" s="661"/>
      <c r="SGT202" s="661"/>
      <c r="SGU202" s="661"/>
      <c r="SGV202" s="661"/>
      <c r="SGW202" s="661"/>
      <c r="SGX202" s="661"/>
      <c r="SGY202" s="661"/>
      <c r="SGZ202" s="661"/>
      <c r="SHA202" s="661"/>
      <c r="SHB202" s="661"/>
      <c r="SHC202" s="661"/>
      <c r="SHD202" s="661"/>
      <c r="SHE202" s="660" t="s">
        <v>634</v>
      </c>
      <c r="SHF202" s="661"/>
      <c r="SHG202" s="661"/>
      <c r="SHH202" s="661"/>
      <c r="SHI202" s="661"/>
      <c r="SHJ202" s="661"/>
      <c r="SHK202" s="661"/>
      <c r="SHL202" s="661"/>
      <c r="SHM202" s="661"/>
      <c r="SHN202" s="661"/>
      <c r="SHO202" s="661"/>
      <c r="SHP202" s="661"/>
      <c r="SHQ202" s="661"/>
      <c r="SHR202" s="661"/>
      <c r="SHS202" s="661"/>
      <c r="SHT202" s="661"/>
      <c r="SHU202" s="660" t="s">
        <v>634</v>
      </c>
      <c r="SHV202" s="661"/>
      <c r="SHW202" s="661"/>
      <c r="SHX202" s="661"/>
      <c r="SHY202" s="661"/>
      <c r="SHZ202" s="661"/>
      <c r="SIA202" s="661"/>
      <c r="SIB202" s="661"/>
      <c r="SIC202" s="661"/>
      <c r="SID202" s="661"/>
      <c r="SIE202" s="661"/>
      <c r="SIF202" s="661"/>
      <c r="SIG202" s="661"/>
      <c r="SIH202" s="661"/>
      <c r="SII202" s="661"/>
      <c r="SIJ202" s="661"/>
      <c r="SIK202" s="660" t="s">
        <v>634</v>
      </c>
      <c r="SIL202" s="661"/>
      <c r="SIM202" s="661"/>
      <c r="SIN202" s="661"/>
      <c r="SIO202" s="661"/>
      <c r="SIP202" s="661"/>
      <c r="SIQ202" s="661"/>
      <c r="SIR202" s="661"/>
      <c r="SIS202" s="661"/>
      <c r="SIT202" s="661"/>
      <c r="SIU202" s="661"/>
      <c r="SIV202" s="661"/>
      <c r="SIW202" s="661"/>
      <c r="SIX202" s="661"/>
      <c r="SIY202" s="661"/>
      <c r="SIZ202" s="661"/>
      <c r="SJA202" s="660" t="s">
        <v>634</v>
      </c>
      <c r="SJB202" s="661"/>
      <c r="SJC202" s="661"/>
      <c r="SJD202" s="661"/>
      <c r="SJE202" s="661"/>
      <c r="SJF202" s="661"/>
      <c r="SJG202" s="661"/>
      <c r="SJH202" s="661"/>
      <c r="SJI202" s="661"/>
      <c r="SJJ202" s="661"/>
      <c r="SJK202" s="661"/>
      <c r="SJL202" s="661"/>
      <c r="SJM202" s="661"/>
      <c r="SJN202" s="661"/>
      <c r="SJO202" s="661"/>
      <c r="SJP202" s="661"/>
      <c r="SJQ202" s="660" t="s">
        <v>634</v>
      </c>
      <c r="SJR202" s="661"/>
      <c r="SJS202" s="661"/>
      <c r="SJT202" s="661"/>
      <c r="SJU202" s="661"/>
      <c r="SJV202" s="661"/>
      <c r="SJW202" s="661"/>
      <c r="SJX202" s="661"/>
      <c r="SJY202" s="661"/>
      <c r="SJZ202" s="661"/>
      <c r="SKA202" s="661"/>
      <c r="SKB202" s="661"/>
      <c r="SKC202" s="661"/>
      <c r="SKD202" s="661"/>
      <c r="SKE202" s="661"/>
      <c r="SKF202" s="661"/>
      <c r="SKG202" s="660" t="s">
        <v>634</v>
      </c>
      <c r="SKH202" s="661"/>
      <c r="SKI202" s="661"/>
      <c r="SKJ202" s="661"/>
      <c r="SKK202" s="661"/>
      <c r="SKL202" s="661"/>
      <c r="SKM202" s="661"/>
      <c r="SKN202" s="661"/>
      <c r="SKO202" s="661"/>
      <c r="SKP202" s="661"/>
      <c r="SKQ202" s="661"/>
      <c r="SKR202" s="661"/>
      <c r="SKS202" s="661"/>
      <c r="SKT202" s="661"/>
      <c r="SKU202" s="661"/>
      <c r="SKV202" s="661"/>
      <c r="SKW202" s="660" t="s">
        <v>634</v>
      </c>
      <c r="SKX202" s="661"/>
      <c r="SKY202" s="661"/>
      <c r="SKZ202" s="661"/>
      <c r="SLA202" s="661"/>
      <c r="SLB202" s="661"/>
      <c r="SLC202" s="661"/>
      <c r="SLD202" s="661"/>
      <c r="SLE202" s="661"/>
      <c r="SLF202" s="661"/>
      <c r="SLG202" s="661"/>
      <c r="SLH202" s="661"/>
      <c r="SLI202" s="661"/>
      <c r="SLJ202" s="661"/>
      <c r="SLK202" s="661"/>
      <c r="SLL202" s="661"/>
      <c r="SLM202" s="660" t="s">
        <v>634</v>
      </c>
      <c r="SLN202" s="661"/>
      <c r="SLO202" s="661"/>
      <c r="SLP202" s="661"/>
      <c r="SLQ202" s="661"/>
      <c r="SLR202" s="661"/>
      <c r="SLS202" s="661"/>
      <c r="SLT202" s="661"/>
      <c r="SLU202" s="661"/>
      <c r="SLV202" s="661"/>
      <c r="SLW202" s="661"/>
      <c r="SLX202" s="661"/>
      <c r="SLY202" s="661"/>
      <c r="SLZ202" s="661"/>
      <c r="SMA202" s="661"/>
      <c r="SMB202" s="661"/>
      <c r="SMC202" s="660" t="s">
        <v>634</v>
      </c>
      <c r="SMD202" s="661"/>
      <c r="SME202" s="661"/>
      <c r="SMF202" s="661"/>
      <c r="SMG202" s="661"/>
      <c r="SMH202" s="661"/>
      <c r="SMI202" s="661"/>
      <c r="SMJ202" s="661"/>
      <c r="SMK202" s="661"/>
      <c r="SML202" s="661"/>
      <c r="SMM202" s="661"/>
      <c r="SMN202" s="661"/>
      <c r="SMO202" s="661"/>
      <c r="SMP202" s="661"/>
      <c r="SMQ202" s="661"/>
      <c r="SMR202" s="661"/>
      <c r="SMS202" s="660" t="s">
        <v>634</v>
      </c>
      <c r="SMT202" s="661"/>
      <c r="SMU202" s="661"/>
      <c r="SMV202" s="661"/>
      <c r="SMW202" s="661"/>
      <c r="SMX202" s="661"/>
      <c r="SMY202" s="661"/>
      <c r="SMZ202" s="661"/>
      <c r="SNA202" s="661"/>
      <c r="SNB202" s="661"/>
      <c r="SNC202" s="661"/>
      <c r="SND202" s="661"/>
      <c r="SNE202" s="661"/>
      <c r="SNF202" s="661"/>
      <c r="SNG202" s="661"/>
      <c r="SNH202" s="661"/>
      <c r="SNI202" s="660" t="s">
        <v>634</v>
      </c>
      <c r="SNJ202" s="661"/>
      <c r="SNK202" s="661"/>
      <c r="SNL202" s="661"/>
      <c r="SNM202" s="661"/>
      <c r="SNN202" s="661"/>
      <c r="SNO202" s="661"/>
      <c r="SNP202" s="661"/>
      <c r="SNQ202" s="661"/>
      <c r="SNR202" s="661"/>
      <c r="SNS202" s="661"/>
      <c r="SNT202" s="661"/>
      <c r="SNU202" s="661"/>
      <c r="SNV202" s="661"/>
      <c r="SNW202" s="661"/>
      <c r="SNX202" s="661"/>
      <c r="SNY202" s="660" t="s">
        <v>634</v>
      </c>
      <c r="SNZ202" s="661"/>
      <c r="SOA202" s="661"/>
      <c r="SOB202" s="661"/>
      <c r="SOC202" s="661"/>
      <c r="SOD202" s="661"/>
      <c r="SOE202" s="661"/>
      <c r="SOF202" s="661"/>
      <c r="SOG202" s="661"/>
      <c r="SOH202" s="661"/>
      <c r="SOI202" s="661"/>
      <c r="SOJ202" s="661"/>
      <c r="SOK202" s="661"/>
      <c r="SOL202" s="661"/>
      <c r="SOM202" s="661"/>
      <c r="SON202" s="661"/>
      <c r="SOO202" s="660" t="s">
        <v>634</v>
      </c>
      <c r="SOP202" s="661"/>
      <c r="SOQ202" s="661"/>
      <c r="SOR202" s="661"/>
      <c r="SOS202" s="661"/>
      <c r="SOT202" s="661"/>
      <c r="SOU202" s="661"/>
      <c r="SOV202" s="661"/>
      <c r="SOW202" s="661"/>
      <c r="SOX202" s="661"/>
      <c r="SOY202" s="661"/>
      <c r="SOZ202" s="661"/>
      <c r="SPA202" s="661"/>
      <c r="SPB202" s="661"/>
      <c r="SPC202" s="661"/>
      <c r="SPD202" s="661"/>
      <c r="SPE202" s="660" t="s">
        <v>634</v>
      </c>
      <c r="SPF202" s="661"/>
      <c r="SPG202" s="661"/>
      <c r="SPH202" s="661"/>
      <c r="SPI202" s="661"/>
      <c r="SPJ202" s="661"/>
      <c r="SPK202" s="661"/>
      <c r="SPL202" s="661"/>
      <c r="SPM202" s="661"/>
      <c r="SPN202" s="661"/>
      <c r="SPO202" s="661"/>
      <c r="SPP202" s="661"/>
      <c r="SPQ202" s="661"/>
      <c r="SPR202" s="661"/>
      <c r="SPS202" s="661"/>
      <c r="SPT202" s="661"/>
      <c r="SPU202" s="660" t="s">
        <v>634</v>
      </c>
      <c r="SPV202" s="661"/>
      <c r="SPW202" s="661"/>
      <c r="SPX202" s="661"/>
      <c r="SPY202" s="661"/>
      <c r="SPZ202" s="661"/>
      <c r="SQA202" s="661"/>
      <c r="SQB202" s="661"/>
      <c r="SQC202" s="661"/>
      <c r="SQD202" s="661"/>
      <c r="SQE202" s="661"/>
      <c r="SQF202" s="661"/>
      <c r="SQG202" s="661"/>
      <c r="SQH202" s="661"/>
      <c r="SQI202" s="661"/>
      <c r="SQJ202" s="661"/>
      <c r="SQK202" s="660" t="s">
        <v>634</v>
      </c>
      <c r="SQL202" s="661"/>
      <c r="SQM202" s="661"/>
      <c r="SQN202" s="661"/>
      <c r="SQO202" s="661"/>
      <c r="SQP202" s="661"/>
      <c r="SQQ202" s="661"/>
      <c r="SQR202" s="661"/>
      <c r="SQS202" s="661"/>
      <c r="SQT202" s="661"/>
      <c r="SQU202" s="661"/>
      <c r="SQV202" s="661"/>
      <c r="SQW202" s="661"/>
      <c r="SQX202" s="661"/>
      <c r="SQY202" s="661"/>
      <c r="SQZ202" s="661"/>
      <c r="SRA202" s="660" t="s">
        <v>634</v>
      </c>
      <c r="SRB202" s="661"/>
      <c r="SRC202" s="661"/>
      <c r="SRD202" s="661"/>
      <c r="SRE202" s="661"/>
      <c r="SRF202" s="661"/>
      <c r="SRG202" s="661"/>
      <c r="SRH202" s="661"/>
      <c r="SRI202" s="661"/>
      <c r="SRJ202" s="661"/>
      <c r="SRK202" s="661"/>
      <c r="SRL202" s="661"/>
      <c r="SRM202" s="661"/>
      <c r="SRN202" s="661"/>
      <c r="SRO202" s="661"/>
      <c r="SRP202" s="661"/>
      <c r="SRQ202" s="660" t="s">
        <v>634</v>
      </c>
      <c r="SRR202" s="661"/>
      <c r="SRS202" s="661"/>
      <c r="SRT202" s="661"/>
      <c r="SRU202" s="661"/>
      <c r="SRV202" s="661"/>
      <c r="SRW202" s="661"/>
      <c r="SRX202" s="661"/>
      <c r="SRY202" s="661"/>
      <c r="SRZ202" s="661"/>
      <c r="SSA202" s="661"/>
      <c r="SSB202" s="661"/>
      <c r="SSC202" s="661"/>
      <c r="SSD202" s="661"/>
      <c r="SSE202" s="661"/>
      <c r="SSF202" s="661"/>
      <c r="SSG202" s="660" t="s">
        <v>634</v>
      </c>
      <c r="SSH202" s="661"/>
      <c r="SSI202" s="661"/>
      <c r="SSJ202" s="661"/>
      <c r="SSK202" s="661"/>
      <c r="SSL202" s="661"/>
      <c r="SSM202" s="661"/>
      <c r="SSN202" s="661"/>
      <c r="SSO202" s="661"/>
      <c r="SSP202" s="661"/>
      <c r="SSQ202" s="661"/>
      <c r="SSR202" s="661"/>
      <c r="SSS202" s="661"/>
      <c r="SST202" s="661"/>
      <c r="SSU202" s="661"/>
      <c r="SSV202" s="661"/>
      <c r="SSW202" s="660" t="s">
        <v>634</v>
      </c>
      <c r="SSX202" s="661"/>
      <c r="SSY202" s="661"/>
      <c r="SSZ202" s="661"/>
      <c r="STA202" s="661"/>
      <c r="STB202" s="661"/>
      <c r="STC202" s="661"/>
      <c r="STD202" s="661"/>
      <c r="STE202" s="661"/>
      <c r="STF202" s="661"/>
      <c r="STG202" s="661"/>
      <c r="STH202" s="661"/>
      <c r="STI202" s="661"/>
      <c r="STJ202" s="661"/>
      <c r="STK202" s="661"/>
      <c r="STL202" s="661"/>
      <c r="STM202" s="660" t="s">
        <v>634</v>
      </c>
      <c r="STN202" s="661"/>
      <c r="STO202" s="661"/>
      <c r="STP202" s="661"/>
      <c r="STQ202" s="661"/>
      <c r="STR202" s="661"/>
      <c r="STS202" s="661"/>
      <c r="STT202" s="661"/>
      <c r="STU202" s="661"/>
      <c r="STV202" s="661"/>
      <c r="STW202" s="661"/>
      <c r="STX202" s="661"/>
      <c r="STY202" s="661"/>
      <c r="STZ202" s="661"/>
      <c r="SUA202" s="661"/>
      <c r="SUB202" s="661"/>
      <c r="SUC202" s="660" t="s">
        <v>634</v>
      </c>
      <c r="SUD202" s="661"/>
      <c r="SUE202" s="661"/>
      <c r="SUF202" s="661"/>
      <c r="SUG202" s="661"/>
      <c r="SUH202" s="661"/>
      <c r="SUI202" s="661"/>
      <c r="SUJ202" s="661"/>
      <c r="SUK202" s="661"/>
      <c r="SUL202" s="661"/>
      <c r="SUM202" s="661"/>
      <c r="SUN202" s="661"/>
      <c r="SUO202" s="661"/>
      <c r="SUP202" s="661"/>
      <c r="SUQ202" s="661"/>
      <c r="SUR202" s="661"/>
      <c r="SUS202" s="660" t="s">
        <v>634</v>
      </c>
      <c r="SUT202" s="661"/>
      <c r="SUU202" s="661"/>
      <c r="SUV202" s="661"/>
      <c r="SUW202" s="661"/>
      <c r="SUX202" s="661"/>
      <c r="SUY202" s="661"/>
      <c r="SUZ202" s="661"/>
      <c r="SVA202" s="661"/>
      <c r="SVB202" s="661"/>
      <c r="SVC202" s="661"/>
      <c r="SVD202" s="661"/>
      <c r="SVE202" s="661"/>
      <c r="SVF202" s="661"/>
      <c r="SVG202" s="661"/>
      <c r="SVH202" s="661"/>
      <c r="SVI202" s="660" t="s">
        <v>634</v>
      </c>
      <c r="SVJ202" s="661"/>
      <c r="SVK202" s="661"/>
      <c r="SVL202" s="661"/>
      <c r="SVM202" s="661"/>
      <c r="SVN202" s="661"/>
      <c r="SVO202" s="661"/>
      <c r="SVP202" s="661"/>
      <c r="SVQ202" s="661"/>
      <c r="SVR202" s="661"/>
      <c r="SVS202" s="661"/>
      <c r="SVT202" s="661"/>
      <c r="SVU202" s="661"/>
      <c r="SVV202" s="661"/>
      <c r="SVW202" s="661"/>
      <c r="SVX202" s="661"/>
      <c r="SVY202" s="660" t="s">
        <v>634</v>
      </c>
      <c r="SVZ202" s="661"/>
      <c r="SWA202" s="661"/>
      <c r="SWB202" s="661"/>
      <c r="SWC202" s="661"/>
      <c r="SWD202" s="661"/>
      <c r="SWE202" s="661"/>
      <c r="SWF202" s="661"/>
      <c r="SWG202" s="661"/>
      <c r="SWH202" s="661"/>
      <c r="SWI202" s="661"/>
      <c r="SWJ202" s="661"/>
      <c r="SWK202" s="661"/>
      <c r="SWL202" s="661"/>
      <c r="SWM202" s="661"/>
      <c r="SWN202" s="661"/>
      <c r="SWO202" s="660" t="s">
        <v>634</v>
      </c>
      <c r="SWP202" s="661"/>
      <c r="SWQ202" s="661"/>
      <c r="SWR202" s="661"/>
      <c r="SWS202" s="661"/>
      <c r="SWT202" s="661"/>
      <c r="SWU202" s="661"/>
      <c r="SWV202" s="661"/>
      <c r="SWW202" s="661"/>
      <c r="SWX202" s="661"/>
      <c r="SWY202" s="661"/>
      <c r="SWZ202" s="661"/>
      <c r="SXA202" s="661"/>
      <c r="SXB202" s="661"/>
      <c r="SXC202" s="661"/>
      <c r="SXD202" s="661"/>
      <c r="SXE202" s="660" t="s">
        <v>634</v>
      </c>
      <c r="SXF202" s="661"/>
      <c r="SXG202" s="661"/>
      <c r="SXH202" s="661"/>
      <c r="SXI202" s="661"/>
      <c r="SXJ202" s="661"/>
      <c r="SXK202" s="661"/>
      <c r="SXL202" s="661"/>
      <c r="SXM202" s="661"/>
      <c r="SXN202" s="661"/>
      <c r="SXO202" s="661"/>
      <c r="SXP202" s="661"/>
      <c r="SXQ202" s="661"/>
      <c r="SXR202" s="661"/>
      <c r="SXS202" s="661"/>
      <c r="SXT202" s="661"/>
      <c r="SXU202" s="660" t="s">
        <v>634</v>
      </c>
      <c r="SXV202" s="661"/>
      <c r="SXW202" s="661"/>
      <c r="SXX202" s="661"/>
      <c r="SXY202" s="661"/>
      <c r="SXZ202" s="661"/>
      <c r="SYA202" s="661"/>
      <c r="SYB202" s="661"/>
      <c r="SYC202" s="661"/>
      <c r="SYD202" s="661"/>
      <c r="SYE202" s="661"/>
      <c r="SYF202" s="661"/>
      <c r="SYG202" s="661"/>
      <c r="SYH202" s="661"/>
      <c r="SYI202" s="661"/>
      <c r="SYJ202" s="661"/>
      <c r="SYK202" s="660" t="s">
        <v>634</v>
      </c>
      <c r="SYL202" s="661"/>
      <c r="SYM202" s="661"/>
      <c r="SYN202" s="661"/>
      <c r="SYO202" s="661"/>
      <c r="SYP202" s="661"/>
      <c r="SYQ202" s="661"/>
      <c r="SYR202" s="661"/>
      <c r="SYS202" s="661"/>
      <c r="SYT202" s="661"/>
      <c r="SYU202" s="661"/>
      <c r="SYV202" s="661"/>
      <c r="SYW202" s="661"/>
      <c r="SYX202" s="661"/>
      <c r="SYY202" s="661"/>
      <c r="SYZ202" s="661"/>
      <c r="SZA202" s="660" t="s">
        <v>634</v>
      </c>
      <c r="SZB202" s="661"/>
      <c r="SZC202" s="661"/>
      <c r="SZD202" s="661"/>
      <c r="SZE202" s="661"/>
      <c r="SZF202" s="661"/>
      <c r="SZG202" s="661"/>
      <c r="SZH202" s="661"/>
      <c r="SZI202" s="661"/>
      <c r="SZJ202" s="661"/>
      <c r="SZK202" s="661"/>
      <c r="SZL202" s="661"/>
      <c r="SZM202" s="661"/>
      <c r="SZN202" s="661"/>
      <c r="SZO202" s="661"/>
      <c r="SZP202" s="661"/>
      <c r="SZQ202" s="660" t="s">
        <v>634</v>
      </c>
      <c r="SZR202" s="661"/>
      <c r="SZS202" s="661"/>
      <c r="SZT202" s="661"/>
      <c r="SZU202" s="661"/>
      <c r="SZV202" s="661"/>
      <c r="SZW202" s="661"/>
      <c r="SZX202" s="661"/>
      <c r="SZY202" s="661"/>
      <c r="SZZ202" s="661"/>
      <c r="TAA202" s="661"/>
      <c r="TAB202" s="661"/>
      <c r="TAC202" s="661"/>
      <c r="TAD202" s="661"/>
      <c r="TAE202" s="661"/>
      <c r="TAF202" s="661"/>
      <c r="TAG202" s="660" t="s">
        <v>634</v>
      </c>
      <c r="TAH202" s="661"/>
      <c r="TAI202" s="661"/>
      <c r="TAJ202" s="661"/>
      <c r="TAK202" s="661"/>
      <c r="TAL202" s="661"/>
      <c r="TAM202" s="661"/>
      <c r="TAN202" s="661"/>
      <c r="TAO202" s="661"/>
      <c r="TAP202" s="661"/>
      <c r="TAQ202" s="661"/>
      <c r="TAR202" s="661"/>
      <c r="TAS202" s="661"/>
      <c r="TAT202" s="661"/>
      <c r="TAU202" s="661"/>
      <c r="TAV202" s="661"/>
      <c r="TAW202" s="660" t="s">
        <v>634</v>
      </c>
      <c r="TAX202" s="661"/>
      <c r="TAY202" s="661"/>
      <c r="TAZ202" s="661"/>
      <c r="TBA202" s="661"/>
      <c r="TBB202" s="661"/>
      <c r="TBC202" s="661"/>
      <c r="TBD202" s="661"/>
      <c r="TBE202" s="661"/>
      <c r="TBF202" s="661"/>
      <c r="TBG202" s="661"/>
      <c r="TBH202" s="661"/>
      <c r="TBI202" s="661"/>
      <c r="TBJ202" s="661"/>
      <c r="TBK202" s="661"/>
      <c r="TBL202" s="661"/>
      <c r="TBM202" s="660" t="s">
        <v>634</v>
      </c>
      <c r="TBN202" s="661"/>
      <c r="TBO202" s="661"/>
      <c r="TBP202" s="661"/>
      <c r="TBQ202" s="661"/>
      <c r="TBR202" s="661"/>
      <c r="TBS202" s="661"/>
      <c r="TBT202" s="661"/>
      <c r="TBU202" s="661"/>
      <c r="TBV202" s="661"/>
      <c r="TBW202" s="661"/>
      <c r="TBX202" s="661"/>
      <c r="TBY202" s="661"/>
      <c r="TBZ202" s="661"/>
      <c r="TCA202" s="661"/>
      <c r="TCB202" s="661"/>
      <c r="TCC202" s="660" t="s">
        <v>634</v>
      </c>
      <c r="TCD202" s="661"/>
      <c r="TCE202" s="661"/>
      <c r="TCF202" s="661"/>
      <c r="TCG202" s="661"/>
      <c r="TCH202" s="661"/>
      <c r="TCI202" s="661"/>
      <c r="TCJ202" s="661"/>
      <c r="TCK202" s="661"/>
      <c r="TCL202" s="661"/>
      <c r="TCM202" s="661"/>
      <c r="TCN202" s="661"/>
      <c r="TCO202" s="661"/>
      <c r="TCP202" s="661"/>
      <c r="TCQ202" s="661"/>
      <c r="TCR202" s="661"/>
      <c r="TCS202" s="660" t="s">
        <v>634</v>
      </c>
      <c r="TCT202" s="661"/>
      <c r="TCU202" s="661"/>
      <c r="TCV202" s="661"/>
      <c r="TCW202" s="661"/>
      <c r="TCX202" s="661"/>
      <c r="TCY202" s="661"/>
      <c r="TCZ202" s="661"/>
      <c r="TDA202" s="661"/>
      <c r="TDB202" s="661"/>
      <c r="TDC202" s="661"/>
      <c r="TDD202" s="661"/>
      <c r="TDE202" s="661"/>
      <c r="TDF202" s="661"/>
      <c r="TDG202" s="661"/>
      <c r="TDH202" s="661"/>
      <c r="TDI202" s="660" t="s">
        <v>634</v>
      </c>
      <c r="TDJ202" s="661"/>
      <c r="TDK202" s="661"/>
      <c r="TDL202" s="661"/>
      <c r="TDM202" s="661"/>
      <c r="TDN202" s="661"/>
      <c r="TDO202" s="661"/>
      <c r="TDP202" s="661"/>
      <c r="TDQ202" s="661"/>
      <c r="TDR202" s="661"/>
      <c r="TDS202" s="661"/>
      <c r="TDT202" s="661"/>
      <c r="TDU202" s="661"/>
      <c r="TDV202" s="661"/>
      <c r="TDW202" s="661"/>
      <c r="TDX202" s="661"/>
      <c r="TDY202" s="660" t="s">
        <v>634</v>
      </c>
      <c r="TDZ202" s="661"/>
      <c r="TEA202" s="661"/>
      <c r="TEB202" s="661"/>
      <c r="TEC202" s="661"/>
      <c r="TED202" s="661"/>
      <c r="TEE202" s="661"/>
      <c r="TEF202" s="661"/>
      <c r="TEG202" s="661"/>
      <c r="TEH202" s="661"/>
      <c r="TEI202" s="661"/>
      <c r="TEJ202" s="661"/>
      <c r="TEK202" s="661"/>
      <c r="TEL202" s="661"/>
      <c r="TEM202" s="661"/>
      <c r="TEN202" s="661"/>
      <c r="TEO202" s="660" t="s">
        <v>634</v>
      </c>
      <c r="TEP202" s="661"/>
      <c r="TEQ202" s="661"/>
      <c r="TER202" s="661"/>
      <c r="TES202" s="661"/>
      <c r="TET202" s="661"/>
      <c r="TEU202" s="661"/>
      <c r="TEV202" s="661"/>
      <c r="TEW202" s="661"/>
      <c r="TEX202" s="661"/>
      <c r="TEY202" s="661"/>
      <c r="TEZ202" s="661"/>
      <c r="TFA202" s="661"/>
      <c r="TFB202" s="661"/>
      <c r="TFC202" s="661"/>
      <c r="TFD202" s="661"/>
      <c r="TFE202" s="660" t="s">
        <v>634</v>
      </c>
      <c r="TFF202" s="661"/>
      <c r="TFG202" s="661"/>
      <c r="TFH202" s="661"/>
      <c r="TFI202" s="661"/>
      <c r="TFJ202" s="661"/>
      <c r="TFK202" s="661"/>
      <c r="TFL202" s="661"/>
      <c r="TFM202" s="661"/>
      <c r="TFN202" s="661"/>
      <c r="TFO202" s="661"/>
      <c r="TFP202" s="661"/>
      <c r="TFQ202" s="661"/>
      <c r="TFR202" s="661"/>
      <c r="TFS202" s="661"/>
      <c r="TFT202" s="661"/>
      <c r="TFU202" s="660" t="s">
        <v>634</v>
      </c>
      <c r="TFV202" s="661"/>
      <c r="TFW202" s="661"/>
      <c r="TFX202" s="661"/>
      <c r="TFY202" s="661"/>
      <c r="TFZ202" s="661"/>
      <c r="TGA202" s="661"/>
      <c r="TGB202" s="661"/>
      <c r="TGC202" s="661"/>
      <c r="TGD202" s="661"/>
      <c r="TGE202" s="661"/>
      <c r="TGF202" s="661"/>
      <c r="TGG202" s="661"/>
      <c r="TGH202" s="661"/>
      <c r="TGI202" s="661"/>
      <c r="TGJ202" s="661"/>
      <c r="TGK202" s="660" t="s">
        <v>634</v>
      </c>
      <c r="TGL202" s="661"/>
      <c r="TGM202" s="661"/>
      <c r="TGN202" s="661"/>
      <c r="TGO202" s="661"/>
      <c r="TGP202" s="661"/>
      <c r="TGQ202" s="661"/>
      <c r="TGR202" s="661"/>
      <c r="TGS202" s="661"/>
      <c r="TGT202" s="661"/>
      <c r="TGU202" s="661"/>
      <c r="TGV202" s="661"/>
      <c r="TGW202" s="661"/>
      <c r="TGX202" s="661"/>
      <c r="TGY202" s="661"/>
      <c r="TGZ202" s="661"/>
      <c r="THA202" s="660" t="s">
        <v>634</v>
      </c>
      <c r="THB202" s="661"/>
      <c r="THC202" s="661"/>
      <c r="THD202" s="661"/>
      <c r="THE202" s="661"/>
      <c r="THF202" s="661"/>
      <c r="THG202" s="661"/>
      <c r="THH202" s="661"/>
      <c r="THI202" s="661"/>
      <c r="THJ202" s="661"/>
      <c r="THK202" s="661"/>
      <c r="THL202" s="661"/>
      <c r="THM202" s="661"/>
      <c r="THN202" s="661"/>
      <c r="THO202" s="661"/>
      <c r="THP202" s="661"/>
      <c r="THQ202" s="660" t="s">
        <v>634</v>
      </c>
      <c r="THR202" s="661"/>
      <c r="THS202" s="661"/>
      <c r="THT202" s="661"/>
      <c r="THU202" s="661"/>
      <c r="THV202" s="661"/>
      <c r="THW202" s="661"/>
      <c r="THX202" s="661"/>
      <c r="THY202" s="661"/>
      <c r="THZ202" s="661"/>
      <c r="TIA202" s="661"/>
      <c r="TIB202" s="661"/>
      <c r="TIC202" s="661"/>
      <c r="TID202" s="661"/>
      <c r="TIE202" s="661"/>
      <c r="TIF202" s="661"/>
      <c r="TIG202" s="660" t="s">
        <v>634</v>
      </c>
      <c r="TIH202" s="661"/>
      <c r="TII202" s="661"/>
      <c r="TIJ202" s="661"/>
      <c r="TIK202" s="661"/>
      <c r="TIL202" s="661"/>
      <c r="TIM202" s="661"/>
      <c r="TIN202" s="661"/>
      <c r="TIO202" s="661"/>
      <c r="TIP202" s="661"/>
      <c r="TIQ202" s="661"/>
      <c r="TIR202" s="661"/>
      <c r="TIS202" s="661"/>
      <c r="TIT202" s="661"/>
      <c r="TIU202" s="661"/>
      <c r="TIV202" s="661"/>
      <c r="TIW202" s="660" t="s">
        <v>634</v>
      </c>
      <c r="TIX202" s="661"/>
      <c r="TIY202" s="661"/>
      <c r="TIZ202" s="661"/>
      <c r="TJA202" s="661"/>
      <c r="TJB202" s="661"/>
      <c r="TJC202" s="661"/>
      <c r="TJD202" s="661"/>
      <c r="TJE202" s="661"/>
      <c r="TJF202" s="661"/>
      <c r="TJG202" s="661"/>
      <c r="TJH202" s="661"/>
      <c r="TJI202" s="661"/>
      <c r="TJJ202" s="661"/>
      <c r="TJK202" s="661"/>
      <c r="TJL202" s="661"/>
      <c r="TJM202" s="660" t="s">
        <v>634</v>
      </c>
      <c r="TJN202" s="661"/>
      <c r="TJO202" s="661"/>
      <c r="TJP202" s="661"/>
      <c r="TJQ202" s="661"/>
      <c r="TJR202" s="661"/>
      <c r="TJS202" s="661"/>
      <c r="TJT202" s="661"/>
      <c r="TJU202" s="661"/>
      <c r="TJV202" s="661"/>
      <c r="TJW202" s="661"/>
      <c r="TJX202" s="661"/>
      <c r="TJY202" s="661"/>
      <c r="TJZ202" s="661"/>
      <c r="TKA202" s="661"/>
      <c r="TKB202" s="661"/>
      <c r="TKC202" s="660" t="s">
        <v>634</v>
      </c>
      <c r="TKD202" s="661"/>
      <c r="TKE202" s="661"/>
      <c r="TKF202" s="661"/>
      <c r="TKG202" s="661"/>
      <c r="TKH202" s="661"/>
      <c r="TKI202" s="661"/>
      <c r="TKJ202" s="661"/>
      <c r="TKK202" s="661"/>
      <c r="TKL202" s="661"/>
      <c r="TKM202" s="661"/>
      <c r="TKN202" s="661"/>
      <c r="TKO202" s="661"/>
      <c r="TKP202" s="661"/>
      <c r="TKQ202" s="661"/>
      <c r="TKR202" s="661"/>
      <c r="TKS202" s="660" t="s">
        <v>634</v>
      </c>
      <c r="TKT202" s="661"/>
      <c r="TKU202" s="661"/>
      <c r="TKV202" s="661"/>
      <c r="TKW202" s="661"/>
      <c r="TKX202" s="661"/>
      <c r="TKY202" s="661"/>
      <c r="TKZ202" s="661"/>
      <c r="TLA202" s="661"/>
      <c r="TLB202" s="661"/>
      <c r="TLC202" s="661"/>
      <c r="TLD202" s="661"/>
      <c r="TLE202" s="661"/>
      <c r="TLF202" s="661"/>
      <c r="TLG202" s="661"/>
      <c r="TLH202" s="661"/>
      <c r="TLI202" s="660" t="s">
        <v>634</v>
      </c>
      <c r="TLJ202" s="661"/>
      <c r="TLK202" s="661"/>
      <c r="TLL202" s="661"/>
      <c r="TLM202" s="661"/>
      <c r="TLN202" s="661"/>
      <c r="TLO202" s="661"/>
      <c r="TLP202" s="661"/>
      <c r="TLQ202" s="661"/>
      <c r="TLR202" s="661"/>
      <c r="TLS202" s="661"/>
      <c r="TLT202" s="661"/>
      <c r="TLU202" s="661"/>
      <c r="TLV202" s="661"/>
      <c r="TLW202" s="661"/>
      <c r="TLX202" s="661"/>
      <c r="TLY202" s="660" t="s">
        <v>634</v>
      </c>
      <c r="TLZ202" s="661"/>
      <c r="TMA202" s="661"/>
      <c r="TMB202" s="661"/>
      <c r="TMC202" s="661"/>
      <c r="TMD202" s="661"/>
      <c r="TME202" s="661"/>
      <c r="TMF202" s="661"/>
      <c r="TMG202" s="661"/>
      <c r="TMH202" s="661"/>
      <c r="TMI202" s="661"/>
      <c r="TMJ202" s="661"/>
      <c r="TMK202" s="661"/>
      <c r="TML202" s="661"/>
      <c r="TMM202" s="661"/>
      <c r="TMN202" s="661"/>
      <c r="TMO202" s="660" t="s">
        <v>634</v>
      </c>
      <c r="TMP202" s="661"/>
      <c r="TMQ202" s="661"/>
      <c r="TMR202" s="661"/>
      <c r="TMS202" s="661"/>
      <c r="TMT202" s="661"/>
      <c r="TMU202" s="661"/>
      <c r="TMV202" s="661"/>
      <c r="TMW202" s="661"/>
      <c r="TMX202" s="661"/>
      <c r="TMY202" s="661"/>
      <c r="TMZ202" s="661"/>
      <c r="TNA202" s="661"/>
      <c r="TNB202" s="661"/>
      <c r="TNC202" s="661"/>
      <c r="TND202" s="661"/>
      <c r="TNE202" s="660" t="s">
        <v>634</v>
      </c>
      <c r="TNF202" s="661"/>
      <c r="TNG202" s="661"/>
      <c r="TNH202" s="661"/>
      <c r="TNI202" s="661"/>
      <c r="TNJ202" s="661"/>
      <c r="TNK202" s="661"/>
      <c r="TNL202" s="661"/>
      <c r="TNM202" s="661"/>
      <c r="TNN202" s="661"/>
      <c r="TNO202" s="661"/>
      <c r="TNP202" s="661"/>
      <c r="TNQ202" s="661"/>
      <c r="TNR202" s="661"/>
      <c r="TNS202" s="661"/>
      <c r="TNT202" s="661"/>
      <c r="TNU202" s="660" t="s">
        <v>634</v>
      </c>
      <c r="TNV202" s="661"/>
      <c r="TNW202" s="661"/>
      <c r="TNX202" s="661"/>
      <c r="TNY202" s="661"/>
      <c r="TNZ202" s="661"/>
      <c r="TOA202" s="661"/>
      <c r="TOB202" s="661"/>
      <c r="TOC202" s="661"/>
      <c r="TOD202" s="661"/>
      <c r="TOE202" s="661"/>
      <c r="TOF202" s="661"/>
      <c r="TOG202" s="661"/>
      <c r="TOH202" s="661"/>
      <c r="TOI202" s="661"/>
      <c r="TOJ202" s="661"/>
      <c r="TOK202" s="660" t="s">
        <v>634</v>
      </c>
      <c r="TOL202" s="661"/>
      <c r="TOM202" s="661"/>
      <c r="TON202" s="661"/>
      <c r="TOO202" s="661"/>
      <c r="TOP202" s="661"/>
      <c r="TOQ202" s="661"/>
      <c r="TOR202" s="661"/>
      <c r="TOS202" s="661"/>
      <c r="TOT202" s="661"/>
      <c r="TOU202" s="661"/>
      <c r="TOV202" s="661"/>
      <c r="TOW202" s="661"/>
      <c r="TOX202" s="661"/>
      <c r="TOY202" s="661"/>
      <c r="TOZ202" s="661"/>
      <c r="TPA202" s="660" t="s">
        <v>634</v>
      </c>
      <c r="TPB202" s="661"/>
      <c r="TPC202" s="661"/>
      <c r="TPD202" s="661"/>
      <c r="TPE202" s="661"/>
      <c r="TPF202" s="661"/>
      <c r="TPG202" s="661"/>
      <c r="TPH202" s="661"/>
      <c r="TPI202" s="661"/>
      <c r="TPJ202" s="661"/>
      <c r="TPK202" s="661"/>
      <c r="TPL202" s="661"/>
      <c r="TPM202" s="661"/>
      <c r="TPN202" s="661"/>
      <c r="TPO202" s="661"/>
      <c r="TPP202" s="661"/>
      <c r="TPQ202" s="660" t="s">
        <v>634</v>
      </c>
      <c r="TPR202" s="661"/>
      <c r="TPS202" s="661"/>
      <c r="TPT202" s="661"/>
      <c r="TPU202" s="661"/>
      <c r="TPV202" s="661"/>
      <c r="TPW202" s="661"/>
      <c r="TPX202" s="661"/>
      <c r="TPY202" s="661"/>
      <c r="TPZ202" s="661"/>
      <c r="TQA202" s="661"/>
      <c r="TQB202" s="661"/>
      <c r="TQC202" s="661"/>
      <c r="TQD202" s="661"/>
      <c r="TQE202" s="661"/>
      <c r="TQF202" s="661"/>
      <c r="TQG202" s="660" t="s">
        <v>634</v>
      </c>
      <c r="TQH202" s="661"/>
      <c r="TQI202" s="661"/>
      <c r="TQJ202" s="661"/>
      <c r="TQK202" s="661"/>
      <c r="TQL202" s="661"/>
      <c r="TQM202" s="661"/>
      <c r="TQN202" s="661"/>
      <c r="TQO202" s="661"/>
      <c r="TQP202" s="661"/>
      <c r="TQQ202" s="661"/>
      <c r="TQR202" s="661"/>
      <c r="TQS202" s="661"/>
      <c r="TQT202" s="661"/>
      <c r="TQU202" s="661"/>
      <c r="TQV202" s="661"/>
      <c r="TQW202" s="660" t="s">
        <v>634</v>
      </c>
      <c r="TQX202" s="661"/>
      <c r="TQY202" s="661"/>
      <c r="TQZ202" s="661"/>
      <c r="TRA202" s="661"/>
      <c r="TRB202" s="661"/>
      <c r="TRC202" s="661"/>
      <c r="TRD202" s="661"/>
      <c r="TRE202" s="661"/>
      <c r="TRF202" s="661"/>
      <c r="TRG202" s="661"/>
      <c r="TRH202" s="661"/>
      <c r="TRI202" s="661"/>
      <c r="TRJ202" s="661"/>
      <c r="TRK202" s="661"/>
      <c r="TRL202" s="661"/>
      <c r="TRM202" s="660" t="s">
        <v>634</v>
      </c>
      <c r="TRN202" s="661"/>
      <c r="TRO202" s="661"/>
      <c r="TRP202" s="661"/>
      <c r="TRQ202" s="661"/>
      <c r="TRR202" s="661"/>
      <c r="TRS202" s="661"/>
      <c r="TRT202" s="661"/>
      <c r="TRU202" s="661"/>
      <c r="TRV202" s="661"/>
      <c r="TRW202" s="661"/>
      <c r="TRX202" s="661"/>
      <c r="TRY202" s="661"/>
      <c r="TRZ202" s="661"/>
      <c r="TSA202" s="661"/>
      <c r="TSB202" s="661"/>
      <c r="TSC202" s="660" t="s">
        <v>634</v>
      </c>
      <c r="TSD202" s="661"/>
      <c r="TSE202" s="661"/>
      <c r="TSF202" s="661"/>
      <c r="TSG202" s="661"/>
      <c r="TSH202" s="661"/>
      <c r="TSI202" s="661"/>
      <c r="TSJ202" s="661"/>
      <c r="TSK202" s="661"/>
      <c r="TSL202" s="661"/>
      <c r="TSM202" s="661"/>
      <c r="TSN202" s="661"/>
      <c r="TSO202" s="661"/>
      <c r="TSP202" s="661"/>
      <c r="TSQ202" s="661"/>
      <c r="TSR202" s="661"/>
      <c r="TSS202" s="660" t="s">
        <v>634</v>
      </c>
      <c r="TST202" s="661"/>
      <c r="TSU202" s="661"/>
      <c r="TSV202" s="661"/>
      <c r="TSW202" s="661"/>
      <c r="TSX202" s="661"/>
      <c r="TSY202" s="661"/>
      <c r="TSZ202" s="661"/>
      <c r="TTA202" s="661"/>
      <c r="TTB202" s="661"/>
      <c r="TTC202" s="661"/>
      <c r="TTD202" s="661"/>
      <c r="TTE202" s="661"/>
      <c r="TTF202" s="661"/>
      <c r="TTG202" s="661"/>
      <c r="TTH202" s="661"/>
      <c r="TTI202" s="660" t="s">
        <v>634</v>
      </c>
      <c r="TTJ202" s="661"/>
      <c r="TTK202" s="661"/>
      <c r="TTL202" s="661"/>
      <c r="TTM202" s="661"/>
      <c r="TTN202" s="661"/>
      <c r="TTO202" s="661"/>
      <c r="TTP202" s="661"/>
      <c r="TTQ202" s="661"/>
      <c r="TTR202" s="661"/>
      <c r="TTS202" s="661"/>
      <c r="TTT202" s="661"/>
      <c r="TTU202" s="661"/>
      <c r="TTV202" s="661"/>
      <c r="TTW202" s="661"/>
      <c r="TTX202" s="661"/>
      <c r="TTY202" s="660" t="s">
        <v>634</v>
      </c>
      <c r="TTZ202" s="661"/>
      <c r="TUA202" s="661"/>
      <c r="TUB202" s="661"/>
      <c r="TUC202" s="661"/>
      <c r="TUD202" s="661"/>
      <c r="TUE202" s="661"/>
      <c r="TUF202" s="661"/>
      <c r="TUG202" s="661"/>
      <c r="TUH202" s="661"/>
      <c r="TUI202" s="661"/>
      <c r="TUJ202" s="661"/>
      <c r="TUK202" s="661"/>
      <c r="TUL202" s="661"/>
      <c r="TUM202" s="661"/>
      <c r="TUN202" s="661"/>
      <c r="TUO202" s="660" t="s">
        <v>634</v>
      </c>
      <c r="TUP202" s="661"/>
      <c r="TUQ202" s="661"/>
      <c r="TUR202" s="661"/>
      <c r="TUS202" s="661"/>
      <c r="TUT202" s="661"/>
      <c r="TUU202" s="661"/>
      <c r="TUV202" s="661"/>
      <c r="TUW202" s="661"/>
      <c r="TUX202" s="661"/>
      <c r="TUY202" s="661"/>
      <c r="TUZ202" s="661"/>
      <c r="TVA202" s="661"/>
      <c r="TVB202" s="661"/>
      <c r="TVC202" s="661"/>
      <c r="TVD202" s="661"/>
      <c r="TVE202" s="660" t="s">
        <v>634</v>
      </c>
      <c r="TVF202" s="661"/>
      <c r="TVG202" s="661"/>
      <c r="TVH202" s="661"/>
      <c r="TVI202" s="661"/>
      <c r="TVJ202" s="661"/>
      <c r="TVK202" s="661"/>
      <c r="TVL202" s="661"/>
      <c r="TVM202" s="661"/>
      <c r="TVN202" s="661"/>
      <c r="TVO202" s="661"/>
      <c r="TVP202" s="661"/>
      <c r="TVQ202" s="661"/>
      <c r="TVR202" s="661"/>
      <c r="TVS202" s="661"/>
      <c r="TVT202" s="661"/>
      <c r="TVU202" s="660" t="s">
        <v>634</v>
      </c>
      <c r="TVV202" s="661"/>
      <c r="TVW202" s="661"/>
      <c r="TVX202" s="661"/>
      <c r="TVY202" s="661"/>
      <c r="TVZ202" s="661"/>
      <c r="TWA202" s="661"/>
      <c r="TWB202" s="661"/>
      <c r="TWC202" s="661"/>
      <c r="TWD202" s="661"/>
      <c r="TWE202" s="661"/>
      <c r="TWF202" s="661"/>
      <c r="TWG202" s="661"/>
      <c r="TWH202" s="661"/>
      <c r="TWI202" s="661"/>
      <c r="TWJ202" s="661"/>
      <c r="TWK202" s="660" t="s">
        <v>634</v>
      </c>
      <c r="TWL202" s="661"/>
      <c r="TWM202" s="661"/>
      <c r="TWN202" s="661"/>
      <c r="TWO202" s="661"/>
      <c r="TWP202" s="661"/>
      <c r="TWQ202" s="661"/>
      <c r="TWR202" s="661"/>
      <c r="TWS202" s="661"/>
      <c r="TWT202" s="661"/>
      <c r="TWU202" s="661"/>
      <c r="TWV202" s="661"/>
      <c r="TWW202" s="661"/>
      <c r="TWX202" s="661"/>
      <c r="TWY202" s="661"/>
      <c r="TWZ202" s="661"/>
      <c r="TXA202" s="660" t="s">
        <v>634</v>
      </c>
      <c r="TXB202" s="661"/>
      <c r="TXC202" s="661"/>
      <c r="TXD202" s="661"/>
      <c r="TXE202" s="661"/>
      <c r="TXF202" s="661"/>
      <c r="TXG202" s="661"/>
      <c r="TXH202" s="661"/>
      <c r="TXI202" s="661"/>
      <c r="TXJ202" s="661"/>
      <c r="TXK202" s="661"/>
      <c r="TXL202" s="661"/>
      <c r="TXM202" s="661"/>
      <c r="TXN202" s="661"/>
      <c r="TXO202" s="661"/>
      <c r="TXP202" s="661"/>
      <c r="TXQ202" s="660" t="s">
        <v>634</v>
      </c>
      <c r="TXR202" s="661"/>
      <c r="TXS202" s="661"/>
      <c r="TXT202" s="661"/>
      <c r="TXU202" s="661"/>
      <c r="TXV202" s="661"/>
      <c r="TXW202" s="661"/>
      <c r="TXX202" s="661"/>
      <c r="TXY202" s="661"/>
      <c r="TXZ202" s="661"/>
      <c r="TYA202" s="661"/>
      <c r="TYB202" s="661"/>
      <c r="TYC202" s="661"/>
      <c r="TYD202" s="661"/>
      <c r="TYE202" s="661"/>
      <c r="TYF202" s="661"/>
      <c r="TYG202" s="660" t="s">
        <v>634</v>
      </c>
      <c r="TYH202" s="661"/>
      <c r="TYI202" s="661"/>
      <c r="TYJ202" s="661"/>
      <c r="TYK202" s="661"/>
      <c r="TYL202" s="661"/>
      <c r="TYM202" s="661"/>
      <c r="TYN202" s="661"/>
      <c r="TYO202" s="661"/>
      <c r="TYP202" s="661"/>
      <c r="TYQ202" s="661"/>
      <c r="TYR202" s="661"/>
      <c r="TYS202" s="661"/>
      <c r="TYT202" s="661"/>
      <c r="TYU202" s="661"/>
      <c r="TYV202" s="661"/>
      <c r="TYW202" s="660" t="s">
        <v>634</v>
      </c>
      <c r="TYX202" s="661"/>
      <c r="TYY202" s="661"/>
      <c r="TYZ202" s="661"/>
      <c r="TZA202" s="661"/>
      <c r="TZB202" s="661"/>
      <c r="TZC202" s="661"/>
      <c r="TZD202" s="661"/>
      <c r="TZE202" s="661"/>
      <c r="TZF202" s="661"/>
      <c r="TZG202" s="661"/>
      <c r="TZH202" s="661"/>
      <c r="TZI202" s="661"/>
      <c r="TZJ202" s="661"/>
      <c r="TZK202" s="661"/>
      <c r="TZL202" s="661"/>
      <c r="TZM202" s="660" t="s">
        <v>634</v>
      </c>
      <c r="TZN202" s="661"/>
      <c r="TZO202" s="661"/>
      <c r="TZP202" s="661"/>
      <c r="TZQ202" s="661"/>
      <c r="TZR202" s="661"/>
      <c r="TZS202" s="661"/>
      <c r="TZT202" s="661"/>
      <c r="TZU202" s="661"/>
      <c r="TZV202" s="661"/>
      <c r="TZW202" s="661"/>
      <c r="TZX202" s="661"/>
      <c r="TZY202" s="661"/>
      <c r="TZZ202" s="661"/>
      <c r="UAA202" s="661"/>
      <c r="UAB202" s="661"/>
      <c r="UAC202" s="660" t="s">
        <v>634</v>
      </c>
      <c r="UAD202" s="661"/>
      <c r="UAE202" s="661"/>
      <c r="UAF202" s="661"/>
      <c r="UAG202" s="661"/>
      <c r="UAH202" s="661"/>
      <c r="UAI202" s="661"/>
      <c r="UAJ202" s="661"/>
      <c r="UAK202" s="661"/>
      <c r="UAL202" s="661"/>
      <c r="UAM202" s="661"/>
      <c r="UAN202" s="661"/>
      <c r="UAO202" s="661"/>
      <c r="UAP202" s="661"/>
      <c r="UAQ202" s="661"/>
      <c r="UAR202" s="661"/>
      <c r="UAS202" s="660" t="s">
        <v>634</v>
      </c>
      <c r="UAT202" s="661"/>
      <c r="UAU202" s="661"/>
      <c r="UAV202" s="661"/>
      <c r="UAW202" s="661"/>
      <c r="UAX202" s="661"/>
      <c r="UAY202" s="661"/>
      <c r="UAZ202" s="661"/>
      <c r="UBA202" s="661"/>
      <c r="UBB202" s="661"/>
      <c r="UBC202" s="661"/>
      <c r="UBD202" s="661"/>
      <c r="UBE202" s="661"/>
      <c r="UBF202" s="661"/>
      <c r="UBG202" s="661"/>
      <c r="UBH202" s="661"/>
      <c r="UBI202" s="660" t="s">
        <v>634</v>
      </c>
      <c r="UBJ202" s="661"/>
      <c r="UBK202" s="661"/>
      <c r="UBL202" s="661"/>
      <c r="UBM202" s="661"/>
      <c r="UBN202" s="661"/>
      <c r="UBO202" s="661"/>
      <c r="UBP202" s="661"/>
      <c r="UBQ202" s="661"/>
      <c r="UBR202" s="661"/>
      <c r="UBS202" s="661"/>
      <c r="UBT202" s="661"/>
      <c r="UBU202" s="661"/>
      <c r="UBV202" s="661"/>
      <c r="UBW202" s="661"/>
      <c r="UBX202" s="661"/>
      <c r="UBY202" s="660" t="s">
        <v>634</v>
      </c>
      <c r="UBZ202" s="661"/>
      <c r="UCA202" s="661"/>
      <c r="UCB202" s="661"/>
      <c r="UCC202" s="661"/>
      <c r="UCD202" s="661"/>
      <c r="UCE202" s="661"/>
      <c r="UCF202" s="661"/>
      <c r="UCG202" s="661"/>
      <c r="UCH202" s="661"/>
      <c r="UCI202" s="661"/>
      <c r="UCJ202" s="661"/>
      <c r="UCK202" s="661"/>
      <c r="UCL202" s="661"/>
      <c r="UCM202" s="661"/>
      <c r="UCN202" s="661"/>
      <c r="UCO202" s="660" t="s">
        <v>634</v>
      </c>
      <c r="UCP202" s="661"/>
      <c r="UCQ202" s="661"/>
      <c r="UCR202" s="661"/>
      <c r="UCS202" s="661"/>
      <c r="UCT202" s="661"/>
      <c r="UCU202" s="661"/>
      <c r="UCV202" s="661"/>
      <c r="UCW202" s="661"/>
      <c r="UCX202" s="661"/>
      <c r="UCY202" s="661"/>
      <c r="UCZ202" s="661"/>
      <c r="UDA202" s="661"/>
      <c r="UDB202" s="661"/>
      <c r="UDC202" s="661"/>
      <c r="UDD202" s="661"/>
      <c r="UDE202" s="660" t="s">
        <v>634</v>
      </c>
      <c r="UDF202" s="661"/>
      <c r="UDG202" s="661"/>
      <c r="UDH202" s="661"/>
      <c r="UDI202" s="661"/>
      <c r="UDJ202" s="661"/>
      <c r="UDK202" s="661"/>
      <c r="UDL202" s="661"/>
      <c r="UDM202" s="661"/>
      <c r="UDN202" s="661"/>
      <c r="UDO202" s="661"/>
      <c r="UDP202" s="661"/>
      <c r="UDQ202" s="661"/>
      <c r="UDR202" s="661"/>
      <c r="UDS202" s="661"/>
      <c r="UDT202" s="661"/>
      <c r="UDU202" s="660" t="s">
        <v>634</v>
      </c>
      <c r="UDV202" s="661"/>
      <c r="UDW202" s="661"/>
      <c r="UDX202" s="661"/>
      <c r="UDY202" s="661"/>
      <c r="UDZ202" s="661"/>
      <c r="UEA202" s="661"/>
      <c r="UEB202" s="661"/>
      <c r="UEC202" s="661"/>
      <c r="UED202" s="661"/>
      <c r="UEE202" s="661"/>
      <c r="UEF202" s="661"/>
      <c r="UEG202" s="661"/>
      <c r="UEH202" s="661"/>
      <c r="UEI202" s="661"/>
      <c r="UEJ202" s="661"/>
      <c r="UEK202" s="660" t="s">
        <v>634</v>
      </c>
      <c r="UEL202" s="661"/>
      <c r="UEM202" s="661"/>
      <c r="UEN202" s="661"/>
      <c r="UEO202" s="661"/>
      <c r="UEP202" s="661"/>
      <c r="UEQ202" s="661"/>
      <c r="UER202" s="661"/>
      <c r="UES202" s="661"/>
      <c r="UET202" s="661"/>
      <c r="UEU202" s="661"/>
      <c r="UEV202" s="661"/>
      <c r="UEW202" s="661"/>
      <c r="UEX202" s="661"/>
      <c r="UEY202" s="661"/>
      <c r="UEZ202" s="661"/>
      <c r="UFA202" s="660" t="s">
        <v>634</v>
      </c>
      <c r="UFB202" s="661"/>
      <c r="UFC202" s="661"/>
      <c r="UFD202" s="661"/>
      <c r="UFE202" s="661"/>
      <c r="UFF202" s="661"/>
      <c r="UFG202" s="661"/>
      <c r="UFH202" s="661"/>
      <c r="UFI202" s="661"/>
      <c r="UFJ202" s="661"/>
      <c r="UFK202" s="661"/>
      <c r="UFL202" s="661"/>
      <c r="UFM202" s="661"/>
      <c r="UFN202" s="661"/>
      <c r="UFO202" s="661"/>
      <c r="UFP202" s="661"/>
      <c r="UFQ202" s="660" t="s">
        <v>634</v>
      </c>
      <c r="UFR202" s="661"/>
      <c r="UFS202" s="661"/>
      <c r="UFT202" s="661"/>
      <c r="UFU202" s="661"/>
      <c r="UFV202" s="661"/>
      <c r="UFW202" s="661"/>
      <c r="UFX202" s="661"/>
      <c r="UFY202" s="661"/>
      <c r="UFZ202" s="661"/>
      <c r="UGA202" s="661"/>
      <c r="UGB202" s="661"/>
      <c r="UGC202" s="661"/>
      <c r="UGD202" s="661"/>
      <c r="UGE202" s="661"/>
      <c r="UGF202" s="661"/>
      <c r="UGG202" s="660" t="s">
        <v>634</v>
      </c>
      <c r="UGH202" s="661"/>
      <c r="UGI202" s="661"/>
      <c r="UGJ202" s="661"/>
      <c r="UGK202" s="661"/>
      <c r="UGL202" s="661"/>
      <c r="UGM202" s="661"/>
      <c r="UGN202" s="661"/>
      <c r="UGO202" s="661"/>
      <c r="UGP202" s="661"/>
      <c r="UGQ202" s="661"/>
      <c r="UGR202" s="661"/>
      <c r="UGS202" s="661"/>
      <c r="UGT202" s="661"/>
      <c r="UGU202" s="661"/>
      <c r="UGV202" s="661"/>
      <c r="UGW202" s="660" t="s">
        <v>634</v>
      </c>
      <c r="UGX202" s="661"/>
      <c r="UGY202" s="661"/>
      <c r="UGZ202" s="661"/>
      <c r="UHA202" s="661"/>
      <c r="UHB202" s="661"/>
      <c r="UHC202" s="661"/>
      <c r="UHD202" s="661"/>
      <c r="UHE202" s="661"/>
      <c r="UHF202" s="661"/>
      <c r="UHG202" s="661"/>
      <c r="UHH202" s="661"/>
      <c r="UHI202" s="661"/>
      <c r="UHJ202" s="661"/>
      <c r="UHK202" s="661"/>
      <c r="UHL202" s="661"/>
      <c r="UHM202" s="660" t="s">
        <v>634</v>
      </c>
      <c r="UHN202" s="661"/>
      <c r="UHO202" s="661"/>
      <c r="UHP202" s="661"/>
      <c r="UHQ202" s="661"/>
      <c r="UHR202" s="661"/>
      <c r="UHS202" s="661"/>
      <c r="UHT202" s="661"/>
      <c r="UHU202" s="661"/>
      <c r="UHV202" s="661"/>
      <c r="UHW202" s="661"/>
      <c r="UHX202" s="661"/>
      <c r="UHY202" s="661"/>
      <c r="UHZ202" s="661"/>
      <c r="UIA202" s="661"/>
      <c r="UIB202" s="661"/>
      <c r="UIC202" s="660" t="s">
        <v>634</v>
      </c>
      <c r="UID202" s="661"/>
      <c r="UIE202" s="661"/>
      <c r="UIF202" s="661"/>
      <c r="UIG202" s="661"/>
      <c r="UIH202" s="661"/>
      <c r="UII202" s="661"/>
      <c r="UIJ202" s="661"/>
      <c r="UIK202" s="661"/>
      <c r="UIL202" s="661"/>
      <c r="UIM202" s="661"/>
      <c r="UIN202" s="661"/>
      <c r="UIO202" s="661"/>
      <c r="UIP202" s="661"/>
      <c r="UIQ202" s="661"/>
      <c r="UIR202" s="661"/>
      <c r="UIS202" s="660" t="s">
        <v>634</v>
      </c>
      <c r="UIT202" s="661"/>
      <c r="UIU202" s="661"/>
      <c r="UIV202" s="661"/>
      <c r="UIW202" s="661"/>
      <c r="UIX202" s="661"/>
      <c r="UIY202" s="661"/>
      <c r="UIZ202" s="661"/>
      <c r="UJA202" s="661"/>
      <c r="UJB202" s="661"/>
      <c r="UJC202" s="661"/>
      <c r="UJD202" s="661"/>
      <c r="UJE202" s="661"/>
      <c r="UJF202" s="661"/>
      <c r="UJG202" s="661"/>
      <c r="UJH202" s="661"/>
      <c r="UJI202" s="660" t="s">
        <v>634</v>
      </c>
      <c r="UJJ202" s="661"/>
      <c r="UJK202" s="661"/>
      <c r="UJL202" s="661"/>
      <c r="UJM202" s="661"/>
      <c r="UJN202" s="661"/>
      <c r="UJO202" s="661"/>
      <c r="UJP202" s="661"/>
      <c r="UJQ202" s="661"/>
      <c r="UJR202" s="661"/>
      <c r="UJS202" s="661"/>
      <c r="UJT202" s="661"/>
      <c r="UJU202" s="661"/>
      <c r="UJV202" s="661"/>
      <c r="UJW202" s="661"/>
      <c r="UJX202" s="661"/>
      <c r="UJY202" s="660" t="s">
        <v>634</v>
      </c>
      <c r="UJZ202" s="661"/>
      <c r="UKA202" s="661"/>
      <c r="UKB202" s="661"/>
      <c r="UKC202" s="661"/>
      <c r="UKD202" s="661"/>
      <c r="UKE202" s="661"/>
      <c r="UKF202" s="661"/>
      <c r="UKG202" s="661"/>
      <c r="UKH202" s="661"/>
      <c r="UKI202" s="661"/>
      <c r="UKJ202" s="661"/>
      <c r="UKK202" s="661"/>
      <c r="UKL202" s="661"/>
      <c r="UKM202" s="661"/>
      <c r="UKN202" s="661"/>
      <c r="UKO202" s="660" t="s">
        <v>634</v>
      </c>
      <c r="UKP202" s="661"/>
      <c r="UKQ202" s="661"/>
      <c r="UKR202" s="661"/>
      <c r="UKS202" s="661"/>
      <c r="UKT202" s="661"/>
      <c r="UKU202" s="661"/>
      <c r="UKV202" s="661"/>
      <c r="UKW202" s="661"/>
      <c r="UKX202" s="661"/>
      <c r="UKY202" s="661"/>
      <c r="UKZ202" s="661"/>
      <c r="ULA202" s="661"/>
      <c r="ULB202" s="661"/>
      <c r="ULC202" s="661"/>
      <c r="ULD202" s="661"/>
      <c r="ULE202" s="660" t="s">
        <v>634</v>
      </c>
      <c r="ULF202" s="661"/>
      <c r="ULG202" s="661"/>
      <c r="ULH202" s="661"/>
      <c r="ULI202" s="661"/>
      <c r="ULJ202" s="661"/>
      <c r="ULK202" s="661"/>
      <c r="ULL202" s="661"/>
      <c r="ULM202" s="661"/>
      <c r="ULN202" s="661"/>
      <c r="ULO202" s="661"/>
      <c r="ULP202" s="661"/>
      <c r="ULQ202" s="661"/>
      <c r="ULR202" s="661"/>
      <c r="ULS202" s="661"/>
      <c r="ULT202" s="661"/>
      <c r="ULU202" s="660" t="s">
        <v>634</v>
      </c>
      <c r="ULV202" s="661"/>
      <c r="ULW202" s="661"/>
      <c r="ULX202" s="661"/>
      <c r="ULY202" s="661"/>
      <c r="ULZ202" s="661"/>
      <c r="UMA202" s="661"/>
      <c r="UMB202" s="661"/>
      <c r="UMC202" s="661"/>
      <c r="UMD202" s="661"/>
      <c r="UME202" s="661"/>
      <c r="UMF202" s="661"/>
      <c r="UMG202" s="661"/>
      <c r="UMH202" s="661"/>
      <c r="UMI202" s="661"/>
      <c r="UMJ202" s="661"/>
      <c r="UMK202" s="660" t="s">
        <v>634</v>
      </c>
      <c r="UML202" s="661"/>
      <c r="UMM202" s="661"/>
      <c r="UMN202" s="661"/>
      <c r="UMO202" s="661"/>
      <c r="UMP202" s="661"/>
      <c r="UMQ202" s="661"/>
      <c r="UMR202" s="661"/>
      <c r="UMS202" s="661"/>
      <c r="UMT202" s="661"/>
      <c r="UMU202" s="661"/>
      <c r="UMV202" s="661"/>
      <c r="UMW202" s="661"/>
      <c r="UMX202" s="661"/>
      <c r="UMY202" s="661"/>
      <c r="UMZ202" s="661"/>
      <c r="UNA202" s="660" t="s">
        <v>634</v>
      </c>
      <c r="UNB202" s="661"/>
      <c r="UNC202" s="661"/>
      <c r="UND202" s="661"/>
      <c r="UNE202" s="661"/>
      <c r="UNF202" s="661"/>
      <c r="UNG202" s="661"/>
      <c r="UNH202" s="661"/>
      <c r="UNI202" s="661"/>
      <c r="UNJ202" s="661"/>
      <c r="UNK202" s="661"/>
      <c r="UNL202" s="661"/>
      <c r="UNM202" s="661"/>
      <c r="UNN202" s="661"/>
      <c r="UNO202" s="661"/>
      <c r="UNP202" s="661"/>
      <c r="UNQ202" s="660" t="s">
        <v>634</v>
      </c>
      <c r="UNR202" s="661"/>
      <c r="UNS202" s="661"/>
      <c r="UNT202" s="661"/>
      <c r="UNU202" s="661"/>
      <c r="UNV202" s="661"/>
      <c r="UNW202" s="661"/>
      <c r="UNX202" s="661"/>
      <c r="UNY202" s="661"/>
      <c r="UNZ202" s="661"/>
      <c r="UOA202" s="661"/>
      <c r="UOB202" s="661"/>
      <c r="UOC202" s="661"/>
      <c r="UOD202" s="661"/>
      <c r="UOE202" s="661"/>
      <c r="UOF202" s="661"/>
      <c r="UOG202" s="660" t="s">
        <v>634</v>
      </c>
      <c r="UOH202" s="661"/>
      <c r="UOI202" s="661"/>
      <c r="UOJ202" s="661"/>
      <c r="UOK202" s="661"/>
      <c r="UOL202" s="661"/>
      <c r="UOM202" s="661"/>
      <c r="UON202" s="661"/>
      <c r="UOO202" s="661"/>
      <c r="UOP202" s="661"/>
      <c r="UOQ202" s="661"/>
      <c r="UOR202" s="661"/>
      <c r="UOS202" s="661"/>
      <c r="UOT202" s="661"/>
      <c r="UOU202" s="661"/>
      <c r="UOV202" s="661"/>
      <c r="UOW202" s="660" t="s">
        <v>634</v>
      </c>
      <c r="UOX202" s="661"/>
      <c r="UOY202" s="661"/>
      <c r="UOZ202" s="661"/>
      <c r="UPA202" s="661"/>
      <c r="UPB202" s="661"/>
      <c r="UPC202" s="661"/>
      <c r="UPD202" s="661"/>
      <c r="UPE202" s="661"/>
      <c r="UPF202" s="661"/>
      <c r="UPG202" s="661"/>
      <c r="UPH202" s="661"/>
      <c r="UPI202" s="661"/>
      <c r="UPJ202" s="661"/>
      <c r="UPK202" s="661"/>
      <c r="UPL202" s="661"/>
      <c r="UPM202" s="660" t="s">
        <v>634</v>
      </c>
      <c r="UPN202" s="661"/>
      <c r="UPO202" s="661"/>
      <c r="UPP202" s="661"/>
      <c r="UPQ202" s="661"/>
      <c r="UPR202" s="661"/>
      <c r="UPS202" s="661"/>
      <c r="UPT202" s="661"/>
      <c r="UPU202" s="661"/>
      <c r="UPV202" s="661"/>
      <c r="UPW202" s="661"/>
      <c r="UPX202" s="661"/>
      <c r="UPY202" s="661"/>
      <c r="UPZ202" s="661"/>
      <c r="UQA202" s="661"/>
      <c r="UQB202" s="661"/>
      <c r="UQC202" s="660" t="s">
        <v>634</v>
      </c>
      <c r="UQD202" s="661"/>
      <c r="UQE202" s="661"/>
      <c r="UQF202" s="661"/>
      <c r="UQG202" s="661"/>
      <c r="UQH202" s="661"/>
      <c r="UQI202" s="661"/>
      <c r="UQJ202" s="661"/>
      <c r="UQK202" s="661"/>
      <c r="UQL202" s="661"/>
      <c r="UQM202" s="661"/>
      <c r="UQN202" s="661"/>
      <c r="UQO202" s="661"/>
      <c r="UQP202" s="661"/>
      <c r="UQQ202" s="661"/>
      <c r="UQR202" s="661"/>
      <c r="UQS202" s="660" t="s">
        <v>634</v>
      </c>
      <c r="UQT202" s="661"/>
      <c r="UQU202" s="661"/>
      <c r="UQV202" s="661"/>
      <c r="UQW202" s="661"/>
      <c r="UQX202" s="661"/>
      <c r="UQY202" s="661"/>
      <c r="UQZ202" s="661"/>
      <c r="URA202" s="661"/>
      <c r="URB202" s="661"/>
      <c r="URC202" s="661"/>
      <c r="URD202" s="661"/>
      <c r="URE202" s="661"/>
      <c r="URF202" s="661"/>
      <c r="URG202" s="661"/>
      <c r="URH202" s="661"/>
      <c r="URI202" s="660" t="s">
        <v>634</v>
      </c>
      <c r="URJ202" s="661"/>
      <c r="URK202" s="661"/>
      <c r="URL202" s="661"/>
      <c r="URM202" s="661"/>
      <c r="URN202" s="661"/>
      <c r="URO202" s="661"/>
      <c r="URP202" s="661"/>
      <c r="URQ202" s="661"/>
      <c r="URR202" s="661"/>
      <c r="URS202" s="661"/>
      <c r="URT202" s="661"/>
      <c r="URU202" s="661"/>
      <c r="URV202" s="661"/>
      <c r="URW202" s="661"/>
      <c r="URX202" s="661"/>
      <c r="URY202" s="660" t="s">
        <v>634</v>
      </c>
      <c r="URZ202" s="661"/>
      <c r="USA202" s="661"/>
      <c r="USB202" s="661"/>
      <c r="USC202" s="661"/>
      <c r="USD202" s="661"/>
      <c r="USE202" s="661"/>
      <c r="USF202" s="661"/>
      <c r="USG202" s="661"/>
      <c r="USH202" s="661"/>
      <c r="USI202" s="661"/>
      <c r="USJ202" s="661"/>
      <c r="USK202" s="661"/>
      <c r="USL202" s="661"/>
      <c r="USM202" s="661"/>
      <c r="USN202" s="661"/>
      <c r="USO202" s="660" t="s">
        <v>634</v>
      </c>
      <c r="USP202" s="661"/>
      <c r="USQ202" s="661"/>
      <c r="USR202" s="661"/>
      <c r="USS202" s="661"/>
      <c r="UST202" s="661"/>
      <c r="USU202" s="661"/>
      <c r="USV202" s="661"/>
      <c r="USW202" s="661"/>
      <c r="USX202" s="661"/>
      <c r="USY202" s="661"/>
      <c r="USZ202" s="661"/>
      <c r="UTA202" s="661"/>
      <c r="UTB202" s="661"/>
      <c r="UTC202" s="661"/>
      <c r="UTD202" s="661"/>
      <c r="UTE202" s="660" t="s">
        <v>634</v>
      </c>
      <c r="UTF202" s="661"/>
      <c r="UTG202" s="661"/>
      <c r="UTH202" s="661"/>
      <c r="UTI202" s="661"/>
      <c r="UTJ202" s="661"/>
      <c r="UTK202" s="661"/>
      <c r="UTL202" s="661"/>
      <c r="UTM202" s="661"/>
      <c r="UTN202" s="661"/>
      <c r="UTO202" s="661"/>
      <c r="UTP202" s="661"/>
      <c r="UTQ202" s="661"/>
      <c r="UTR202" s="661"/>
      <c r="UTS202" s="661"/>
      <c r="UTT202" s="661"/>
      <c r="UTU202" s="660" t="s">
        <v>634</v>
      </c>
      <c r="UTV202" s="661"/>
      <c r="UTW202" s="661"/>
      <c r="UTX202" s="661"/>
      <c r="UTY202" s="661"/>
      <c r="UTZ202" s="661"/>
      <c r="UUA202" s="661"/>
      <c r="UUB202" s="661"/>
      <c r="UUC202" s="661"/>
      <c r="UUD202" s="661"/>
      <c r="UUE202" s="661"/>
      <c r="UUF202" s="661"/>
      <c r="UUG202" s="661"/>
      <c r="UUH202" s="661"/>
      <c r="UUI202" s="661"/>
      <c r="UUJ202" s="661"/>
      <c r="UUK202" s="660" t="s">
        <v>634</v>
      </c>
      <c r="UUL202" s="661"/>
      <c r="UUM202" s="661"/>
      <c r="UUN202" s="661"/>
      <c r="UUO202" s="661"/>
      <c r="UUP202" s="661"/>
      <c r="UUQ202" s="661"/>
      <c r="UUR202" s="661"/>
      <c r="UUS202" s="661"/>
      <c r="UUT202" s="661"/>
      <c r="UUU202" s="661"/>
      <c r="UUV202" s="661"/>
      <c r="UUW202" s="661"/>
      <c r="UUX202" s="661"/>
      <c r="UUY202" s="661"/>
      <c r="UUZ202" s="661"/>
      <c r="UVA202" s="660" t="s">
        <v>634</v>
      </c>
      <c r="UVB202" s="661"/>
      <c r="UVC202" s="661"/>
      <c r="UVD202" s="661"/>
      <c r="UVE202" s="661"/>
      <c r="UVF202" s="661"/>
      <c r="UVG202" s="661"/>
      <c r="UVH202" s="661"/>
      <c r="UVI202" s="661"/>
      <c r="UVJ202" s="661"/>
      <c r="UVK202" s="661"/>
      <c r="UVL202" s="661"/>
      <c r="UVM202" s="661"/>
      <c r="UVN202" s="661"/>
      <c r="UVO202" s="661"/>
      <c r="UVP202" s="661"/>
      <c r="UVQ202" s="660" t="s">
        <v>634</v>
      </c>
      <c r="UVR202" s="661"/>
      <c r="UVS202" s="661"/>
      <c r="UVT202" s="661"/>
      <c r="UVU202" s="661"/>
      <c r="UVV202" s="661"/>
      <c r="UVW202" s="661"/>
      <c r="UVX202" s="661"/>
      <c r="UVY202" s="661"/>
      <c r="UVZ202" s="661"/>
      <c r="UWA202" s="661"/>
      <c r="UWB202" s="661"/>
      <c r="UWC202" s="661"/>
      <c r="UWD202" s="661"/>
      <c r="UWE202" s="661"/>
      <c r="UWF202" s="661"/>
      <c r="UWG202" s="660" t="s">
        <v>634</v>
      </c>
      <c r="UWH202" s="661"/>
      <c r="UWI202" s="661"/>
      <c r="UWJ202" s="661"/>
      <c r="UWK202" s="661"/>
      <c r="UWL202" s="661"/>
      <c r="UWM202" s="661"/>
      <c r="UWN202" s="661"/>
      <c r="UWO202" s="661"/>
      <c r="UWP202" s="661"/>
      <c r="UWQ202" s="661"/>
      <c r="UWR202" s="661"/>
      <c r="UWS202" s="661"/>
      <c r="UWT202" s="661"/>
      <c r="UWU202" s="661"/>
      <c r="UWV202" s="661"/>
      <c r="UWW202" s="660" t="s">
        <v>634</v>
      </c>
      <c r="UWX202" s="661"/>
      <c r="UWY202" s="661"/>
      <c r="UWZ202" s="661"/>
      <c r="UXA202" s="661"/>
      <c r="UXB202" s="661"/>
      <c r="UXC202" s="661"/>
      <c r="UXD202" s="661"/>
      <c r="UXE202" s="661"/>
      <c r="UXF202" s="661"/>
      <c r="UXG202" s="661"/>
      <c r="UXH202" s="661"/>
      <c r="UXI202" s="661"/>
      <c r="UXJ202" s="661"/>
      <c r="UXK202" s="661"/>
      <c r="UXL202" s="661"/>
      <c r="UXM202" s="660" t="s">
        <v>634</v>
      </c>
      <c r="UXN202" s="661"/>
      <c r="UXO202" s="661"/>
      <c r="UXP202" s="661"/>
      <c r="UXQ202" s="661"/>
      <c r="UXR202" s="661"/>
      <c r="UXS202" s="661"/>
      <c r="UXT202" s="661"/>
      <c r="UXU202" s="661"/>
      <c r="UXV202" s="661"/>
      <c r="UXW202" s="661"/>
      <c r="UXX202" s="661"/>
      <c r="UXY202" s="661"/>
      <c r="UXZ202" s="661"/>
      <c r="UYA202" s="661"/>
      <c r="UYB202" s="661"/>
      <c r="UYC202" s="660" t="s">
        <v>634</v>
      </c>
      <c r="UYD202" s="661"/>
      <c r="UYE202" s="661"/>
      <c r="UYF202" s="661"/>
      <c r="UYG202" s="661"/>
      <c r="UYH202" s="661"/>
      <c r="UYI202" s="661"/>
      <c r="UYJ202" s="661"/>
      <c r="UYK202" s="661"/>
      <c r="UYL202" s="661"/>
      <c r="UYM202" s="661"/>
      <c r="UYN202" s="661"/>
      <c r="UYO202" s="661"/>
      <c r="UYP202" s="661"/>
      <c r="UYQ202" s="661"/>
      <c r="UYR202" s="661"/>
      <c r="UYS202" s="660" t="s">
        <v>634</v>
      </c>
      <c r="UYT202" s="661"/>
      <c r="UYU202" s="661"/>
      <c r="UYV202" s="661"/>
      <c r="UYW202" s="661"/>
      <c r="UYX202" s="661"/>
      <c r="UYY202" s="661"/>
      <c r="UYZ202" s="661"/>
      <c r="UZA202" s="661"/>
      <c r="UZB202" s="661"/>
      <c r="UZC202" s="661"/>
      <c r="UZD202" s="661"/>
      <c r="UZE202" s="661"/>
      <c r="UZF202" s="661"/>
      <c r="UZG202" s="661"/>
      <c r="UZH202" s="661"/>
      <c r="UZI202" s="660" t="s">
        <v>634</v>
      </c>
      <c r="UZJ202" s="661"/>
      <c r="UZK202" s="661"/>
      <c r="UZL202" s="661"/>
      <c r="UZM202" s="661"/>
      <c r="UZN202" s="661"/>
      <c r="UZO202" s="661"/>
      <c r="UZP202" s="661"/>
      <c r="UZQ202" s="661"/>
      <c r="UZR202" s="661"/>
      <c r="UZS202" s="661"/>
      <c r="UZT202" s="661"/>
      <c r="UZU202" s="661"/>
      <c r="UZV202" s="661"/>
      <c r="UZW202" s="661"/>
      <c r="UZX202" s="661"/>
      <c r="UZY202" s="660" t="s">
        <v>634</v>
      </c>
      <c r="UZZ202" s="661"/>
      <c r="VAA202" s="661"/>
      <c r="VAB202" s="661"/>
      <c r="VAC202" s="661"/>
      <c r="VAD202" s="661"/>
      <c r="VAE202" s="661"/>
      <c r="VAF202" s="661"/>
      <c r="VAG202" s="661"/>
      <c r="VAH202" s="661"/>
      <c r="VAI202" s="661"/>
      <c r="VAJ202" s="661"/>
      <c r="VAK202" s="661"/>
      <c r="VAL202" s="661"/>
      <c r="VAM202" s="661"/>
      <c r="VAN202" s="661"/>
      <c r="VAO202" s="660" t="s">
        <v>634</v>
      </c>
      <c r="VAP202" s="661"/>
      <c r="VAQ202" s="661"/>
      <c r="VAR202" s="661"/>
      <c r="VAS202" s="661"/>
      <c r="VAT202" s="661"/>
      <c r="VAU202" s="661"/>
      <c r="VAV202" s="661"/>
      <c r="VAW202" s="661"/>
      <c r="VAX202" s="661"/>
      <c r="VAY202" s="661"/>
      <c r="VAZ202" s="661"/>
      <c r="VBA202" s="661"/>
      <c r="VBB202" s="661"/>
      <c r="VBC202" s="661"/>
      <c r="VBD202" s="661"/>
      <c r="VBE202" s="660" t="s">
        <v>634</v>
      </c>
      <c r="VBF202" s="661"/>
      <c r="VBG202" s="661"/>
      <c r="VBH202" s="661"/>
      <c r="VBI202" s="661"/>
      <c r="VBJ202" s="661"/>
      <c r="VBK202" s="661"/>
      <c r="VBL202" s="661"/>
      <c r="VBM202" s="661"/>
      <c r="VBN202" s="661"/>
      <c r="VBO202" s="661"/>
      <c r="VBP202" s="661"/>
      <c r="VBQ202" s="661"/>
      <c r="VBR202" s="661"/>
      <c r="VBS202" s="661"/>
      <c r="VBT202" s="661"/>
      <c r="VBU202" s="660" t="s">
        <v>634</v>
      </c>
      <c r="VBV202" s="661"/>
      <c r="VBW202" s="661"/>
      <c r="VBX202" s="661"/>
      <c r="VBY202" s="661"/>
      <c r="VBZ202" s="661"/>
      <c r="VCA202" s="661"/>
      <c r="VCB202" s="661"/>
      <c r="VCC202" s="661"/>
      <c r="VCD202" s="661"/>
      <c r="VCE202" s="661"/>
      <c r="VCF202" s="661"/>
      <c r="VCG202" s="661"/>
      <c r="VCH202" s="661"/>
      <c r="VCI202" s="661"/>
      <c r="VCJ202" s="661"/>
      <c r="VCK202" s="660" t="s">
        <v>634</v>
      </c>
      <c r="VCL202" s="661"/>
      <c r="VCM202" s="661"/>
      <c r="VCN202" s="661"/>
      <c r="VCO202" s="661"/>
      <c r="VCP202" s="661"/>
      <c r="VCQ202" s="661"/>
      <c r="VCR202" s="661"/>
      <c r="VCS202" s="661"/>
      <c r="VCT202" s="661"/>
      <c r="VCU202" s="661"/>
      <c r="VCV202" s="661"/>
      <c r="VCW202" s="661"/>
      <c r="VCX202" s="661"/>
      <c r="VCY202" s="661"/>
      <c r="VCZ202" s="661"/>
      <c r="VDA202" s="660" t="s">
        <v>634</v>
      </c>
      <c r="VDB202" s="661"/>
      <c r="VDC202" s="661"/>
      <c r="VDD202" s="661"/>
      <c r="VDE202" s="661"/>
      <c r="VDF202" s="661"/>
      <c r="VDG202" s="661"/>
      <c r="VDH202" s="661"/>
      <c r="VDI202" s="661"/>
      <c r="VDJ202" s="661"/>
      <c r="VDK202" s="661"/>
      <c r="VDL202" s="661"/>
      <c r="VDM202" s="661"/>
      <c r="VDN202" s="661"/>
      <c r="VDO202" s="661"/>
      <c r="VDP202" s="661"/>
      <c r="VDQ202" s="660" t="s">
        <v>634</v>
      </c>
      <c r="VDR202" s="661"/>
      <c r="VDS202" s="661"/>
      <c r="VDT202" s="661"/>
      <c r="VDU202" s="661"/>
      <c r="VDV202" s="661"/>
      <c r="VDW202" s="661"/>
      <c r="VDX202" s="661"/>
      <c r="VDY202" s="661"/>
      <c r="VDZ202" s="661"/>
      <c r="VEA202" s="661"/>
      <c r="VEB202" s="661"/>
      <c r="VEC202" s="661"/>
      <c r="VED202" s="661"/>
      <c r="VEE202" s="661"/>
      <c r="VEF202" s="661"/>
      <c r="VEG202" s="660" t="s">
        <v>634</v>
      </c>
      <c r="VEH202" s="661"/>
      <c r="VEI202" s="661"/>
      <c r="VEJ202" s="661"/>
      <c r="VEK202" s="661"/>
      <c r="VEL202" s="661"/>
      <c r="VEM202" s="661"/>
      <c r="VEN202" s="661"/>
      <c r="VEO202" s="661"/>
      <c r="VEP202" s="661"/>
      <c r="VEQ202" s="661"/>
      <c r="VER202" s="661"/>
      <c r="VES202" s="661"/>
      <c r="VET202" s="661"/>
      <c r="VEU202" s="661"/>
      <c r="VEV202" s="661"/>
      <c r="VEW202" s="660" t="s">
        <v>634</v>
      </c>
      <c r="VEX202" s="661"/>
      <c r="VEY202" s="661"/>
      <c r="VEZ202" s="661"/>
      <c r="VFA202" s="661"/>
      <c r="VFB202" s="661"/>
      <c r="VFC202" s="661"/>
      <c r="VFD202" s="661"/>
      <c r="VFE202" s="661"/>
      <c r="VFF202" s="661"/>
      <c r="VFG202" s="661"/>
      <c r="VFH202" s="661"/>
      <c r="VFI202" s="661"/>
      <c r="VFJ202" s="661"/>
      <c r="VFK202" s="661"/>
      <c r="VFL202" s="661"/>
      <c r="VFM202" s="660" t="s">
        <v>634</v>
      </c>
      <c r="VFN202" s="661"/>
      <c r="VFO202" s="661"/>
      <c r="VFP202" s="661"/>
      <c r="VFQ202" s="661"/>
      <c r="VFR202" s="661"/>
      <c r="VFS202" s="661"/>
      <c r="VFT202" s="661"/>
      <c r="VFU202" s="661"/>
      <c r="VFV202" s="661"/>
      <c r="VFW202" s="661"/>
      <c r="VFX202" s="661"/>
      <c r="VFY202" s="661"/>
      <c r="VFZ202" s="661"/>
      <c r="VGA202" s="661"/>
      <c r="VGB202" s="661"/>
      <c r="VGC202" s="660" t="s">
        <v>634</v>
      </c>
      <c r="VGD202" s="661"/>
      <c r="VGE202" s="661"/>
      <c r="VGF202" s="661"/>
      <c r="VGG202" s="661"/>
      <c r="VGH202" s="661"/>
      <c r="VGI202" s="661"/>
      <c r="VGJ202" s="661"/>
      <c r="VGK202" s="661"/>
      <c r="VGL202" s="661"/>
      <c r="VGM202" s="661"/>
      <c r="VGN202" s="661"/>
      <c r="VGO202" s="661"/>
      <c r="VGP202" s="661"/>
      <c r="VGQ202" s="661"/>
      <c r="VGR202" s="661"/>
      <c r="VGS202" s="660" t="s">
        <v>634</v>
      </c>
      <c r="VGT202" s="661"/>
      <c r="VGU202" s="661"/>
      <c r="VGV202" s="661"/>
      <c r="VGW202" s="661"/>
      <c r="VGX202" s="661"/>
      <c r="VGY202" s="661"/>
      <c r="VGZ202" s="661"/>
      <c r="VHA202" s="661"/>
      <c r="VHB202" s="661"/>
      <c r="VHC202" s="661"/>
      <c r="VHD202" s="661"/>
      <c r="VHE202" s="661"/>
      <c r="VHF202" s="661"/>
      <c r="VHG202" s="661"/>
      <c r="VHH202" s="661"/>
      <c r="VHI202" s="660" t="s">
        <v>634</v>
      </c>
      <c r="VHJ202" s="661"/>
      <c r="VHK202" s="661"/>
      <c r="VHL202" s="661"/>
      <c r="VHM202" s="661"/>
      <c r="VHN202" s="661"/>
      <c r="VHO202" s="661"/>
      <c r="VHP202" s="661"/>
      <c r="VHQ202" s="661"/>
      <c r="VHR202" s="661"/>
      <c r="VHS202" s="661"/>
      <c r="VHT202" s="661"/>
      <c r="VHU202" s="661"/>
      <c r="VHV202" s="661"/>
      <c r="VHW202" s="661"/>
      <c r="VHX202" s="661"/>
      <c r="VHY202" s="660" t="s">
        <v>634</v>
      </c>
      <c r="VHZ202" s="661"/>
      <c r="VIA202" s="661"/>
      <c r="VIB202" s="661"/>
      <c r="VIC202" s="661"/>
      <c r="VID202" s="661"/>
      <c r="VIE202" s="661"/>
      <c r="VIF202" s="661"/>
      <c r="VIG202" s="661"/>
      <c r="VIH202" s="661"/>
      <c r="VII202" s="661"/>
      <c r="VIJ202" s="661"/>
      <c r="VIK202" s="661"/>
      <c r="VIL202" s="661"/>
      <c r="VIM202" s="661"/>
      <c r="VIN202" s="661"/>
      <c r="VIO202" s="660" t="s">
        <v>634</v>
      </c>
      <c r="VIP202" s="661"/>
      <c r="VIQ202" s="661"/>
      <c r="VIR202" s="661"/>
      <c r="VIS202" s="661"/>
      <c r="VIT202" s="661"/>
      <c r="VIU202" s="661"/>
      <c r="VIV202" s="661"/>
      <c r="VIW202" s="661"/>
      <c r="VIX202" s="661"/>
      <c r="VIY202" s="661"/>
      <c r="VIZ202" s="661"/>
      <c r="VJA202" s="661"/>
      <c r="VJB202" s="661"/>
      <c r="VJC202" s="661"/>
      <c r="VJD202" s="661"/>
      <c r="VJE202" s="660" t="s">
        <v>634</v>
      </c>
      <c r="VJF202" s="661"/>
      <c r="VJG202" s="661"/>
      <c r="VJH202" s="661"/>
      <c r="VJI202" s="661"/>
      <c r="VJJ202" s="661"/>
      <c r="VJK202" s="661"/>
      <c r="VJL202" s="661"/>
      <c r="VJM202" s="661"/>
      <c r="VJN202" s="661"/>
      <c r="VJO202" s="661"/>
      <c r="VJP202" s="661"/>
      <c r="VJQ202" s="661"/>
      <c r="VJR202" s="661"/>
      <c r="VJS202" s="661"/>
      <c r="VJT202" s="661"/>
      <c r="VJU202" s="660" t="s">
        <v>634</v>
      </c>
      <c r="VJV202" s="661"/>
      <c r="VJW202" s="661"/>
      <c r="VJX202" s="661"/>
      <c r="VJY202" s="661"/>
      <c r="VJZ202" s="661"/>
      <c r="VKA202" s="661"/>
      <c r="VKB202" s="661"/>
      <c r="VKC202" s="661"/>
      <c r="VKD202" s="661"/>
      <c r="VKE202" s="661"/>
      <c r="VKF202" s="661"/>
      <c r="VKG202" s="661"/>
      <c r="VKH202" s="661"/>
      <c r="VKI202" s="661"/>
      <c r="VKJ202" s="661"/>
      <c r="VKK202" s="660" t="s">
        <v>634</v>
      </c>
      <c r="VKL202" s="661"/>
      <c r="VKM202" s="661"/>
      <c r="VKN202" s="661"/>
      <c r="VKO202" s="661"/>
      <c r="VKP202" s="661"/>
      <c r="VKQ202" s="661"/>
      <c r="VKR202" s="661"/>
      <c r="VKS202" s="661"/>
      <c r="VKT202" s="661"/>
      <c r="VKU202" s="661"/>
      <c r="VKV202" s="661"/>
      <c r="VKW202" s="661"/>
      <c r="VKX202" s="661"/>
      <c r="VKY202" s="661"/>
      <c r="VKZ202" s="661"/>
      <c r="VLA202" s="660" t="s">
        <v>634</v>
      </c>
      <c r="VLB202" s="661"/>
      <c r="VLC202" s="661"/>
      <c r="VLD202" s="661"/>
      <c r="VLE202" s="661"/>
      <c r="VLF202" s="661"/>
      <c r="VLG202" s="661"/>
      <c r="VLH202" s="661"/>
      <c r="VLI202" s="661"/>
      <c r="VLJ202" s="661"/>
      <c r="VLK202" s="661"/>
      <c r="VLL202" s="661"/>
      <c r="VLM202" s="661"/>
      <c r="VLN202" s="661"/>
      <c r="VLO202" s="661"/>
      <c r="VLP202" s="661"/>
      <c r="VLQ202" s="660" t="s">
        <v>634</v>
      </c>
      <c r="VLR202" s="661"/>
      <c r="VLS202" s="661"/>
      <c r="VLT202" s="661"/>
      <c r="VLU202" s="661"/>
      <c r="VLV202" s="661"/>
      <c r="VLW202" s="661"/>
      <c r="VLX202" s="661"/>
      <c r="VLY202" s="661"/>
      <c r="VLZ202" s="661"/>
      <c r="VMA202" s="661"/>
      <c r="VMB202" s="661"/>
      <c r="VMC202" s="661"/>
      <c r="VMD202" s="661"/>
      <c r="VME202" s="661"/>
      <c r="VMF202" s="661"/>
      <c r="VMG202" s="660" t="s">
        <v>634</v>
      </c>
      <c r="VMH202" s="661"/>
      <c r="VMI202" s="661"/>
      <c r="VMJ202" s="661"/>
      <c r="VMK202" s="661"/>
      <c r="VML202" s="661"/>
      <c r="VMM202" s="661"/>
      <c r="VMN202" s="661"/>
      <c r="VMO202" s="661"/>
      <c r="VMP202" s="661"/>
      <c r="VMQ202" s="661"/>
      <c r="VMR202" s="661"/>
      <c r="VMS202" s="661"/>
      <c r="VMT202" s="661"/>
      <c r="VMU202" s="661"/>
      <c r="VMV202" s="661"/>
      <c r="VMW202" s="660" t="s">
        <v>634</v>
      </c>
      <c r="VMX202" s="661"/>
      <c r="VMY202" s="661"/>
      <c r="VMZ202" s="661"/>
      <c r="VNA202" s="661"/>
      <c r="VNB202" s="661"/>
      <c r="VNC202" s="661"/>
      <c r="VND202" s="661"/>
      <c r="VNE202" s="661"/>
      <c r="VNF202" s="661"/>
      <c r="VNG202" s="661"/>
      <c r="VNH202" s="661"/>
      <c r="VNI202" s="661"/>
      <c r="VNJ202" s="661"/>
      <c r="VNK202" s="661"/>
      <c r="VNL202" s="661"/>
      <c r="VNM202" s="660" t="s">
        <v>634</v>
      </c>
      <c r="VNN202" s="661"/>
      <c r="VNO202" s="661"/>
      <c r="VNP202" s="661"/>
      <c r="VNQ202" s="661"/>
      <c r="VNR202" s="661"/>
      <c r="VNS202" s="661"/>
      <c r="VNT202" s="661"/>
      <c r="VNU202" s="661"/>
      <c r="VNV202" s="661"/>
      <c r="VNW202" s="661"/>
      <c r="VNX202" s="661"/>
      <c r="VNY202" s="661"/>
      <c r="VNZ202" s="661"/>
      <c r="VOA202" s="661"/>
      <c r="VOB202" s="661"/>
      <c r="VOC202" s="660" t="s">
        <v>634</v>
      </c>
      <c r="VOD202" s="661"/>
      <c r="VOE202" s="661"/>
      <c r="VOF202" s="661"/>
      <c r="VOG202" s="661"/>
      <c r="VOH202" s="661"/>
      <c r="VOI202" s="661"/>
      <c r="VOJ202" s="661"/>
      <c r="VOK202" s="661"/>
      <c r="VOL202" s="661"/>
      <c r="VOM202" s="661"/>
      <c r="VON202" s="661"/>
      <c r="VOO202" s="661"/>
      <c r="VOP202" s="661"/>
      <c r="VOQ202" s="661"/>
      <c r="VOR202" s="661"/>
      <c r="VOS202" s="660" t="s">
        <v>634</v>
      </c>
      <c r="VOT202" s="661"/>
      <c r="VOU202" s="661"/>
      <c r="VOV202" s="661"/>
      <c r="VOW202" s="661"/>
      <c r="VOX202" s="661"/>
      <c r="VOY202" s="661"/>
      <c r="VOZ202" s="661"/>
      <c r="VPA202" s="661"/>
      <c r="VPB202" s="661"/>
      <c r="VPC202" s="661"/>
      <c r="VPD202" s="661"/>
      <c r="VPE202" s="661"/>
      <c r="VPF202" s="661"/>
      <c r="VPG202" s="661"/>
      <c r="VPH202" s="661"/>
      <c r="VPI202" s="660" t="s">
        <v>634</v>
      </c>
      <c r="VPJ202" s="661"/>
      <c r="VPK202" s="661"/>
      <c r="VPL202" s="661"/>
      <c r="VPM202" s="661"/>
      <c r="VPN202" s="661"/>
      <c r="VPO202" s="661"/>
      <c r="VPP202" s="661"/>
      <c r="VPQ202" s="661"/>
      <c r="VPR202" s="661"/>
      <c r="VPS202" s="661"/>
      <c r="VPT202" s="661"/>
      <c r="VPU202" s="661"/>
      <c r="VPV202" s="661"/>
      <c r="VPW202" s="661"/>
      <c r="VPX202" s="661"/>
      <c r="VPY202" s="660" t="s">
        <v>634</v>
      </c>
      <c r="VPZ202" s="661"/>
      <c r="VQA202" s="661"/>
      <c r="VQB202" s="661"/>
      <c r="VQC202" s="661"/>
      <c r="VQD202" s="661"/>
      <c r="VQE202" s="661"/>
      <c r="VQF202" s="661"/>
      <c r="VQG202" s="661"/>
      <c r="VQH202" s="661"/>
      <c r="VQI202" s="661"/>
      <c r="VQJ202" s="661"/>
      <c r="VQK202" s="661"/>
      <c r="VQL202" s="661"/>
      <c r="VQM202" s="661"/>
      <c r="VQN202" s="661"/>
      <c r="VQO202" s="660" t="s">
        <v>634</v>
      </c>
      <c r="VQP202" s="661"/>
      <c r="VQQ202" s="661"/>
      <c r="VQR202" s="661"/>
      <c r="VQS202" s="661"/>
      <c r="VQT202" s="661"/>
      <c r="VQU202" s="661"/>
      <c r="VQV202" s="661"/>
      <c r="VQW202" s="661"/>
      <c r="VQX202" s="661"/>
      <c r="VQY202" s="661"/>
      <c r="VQZ202" s="661"/>
      <c r="VRA202" s="661"/>
      <c r="VRB202" s="661"/>
      <c r="VRC202" s="661"/>
      <c r="VRD202" s="661"/>
      <c r="VRE202" s="660" t="s">
        <v>634</v>
      </c>
      <c r="VRF202" s="661"/>
      <c r="VRG202" s="661"/>
      <c r="VRH202" s="661"/>
      <c r="VRI202" s="661"/>
      <c r="VRJ202" s="661"/>
      <c r="VRK202" s="661"/>
      <c r="VRL202" s="661"/>
      <c r="VRM202" s="661"/>
      <c r="VRN202" s="661"/>
      <c r="VRO202" s="661"/>
      <c r="VRP202" s="661"/>
      <c r="VRQ202" s="661"/>
      <c r="VRR202" s="661"/>
      <c r="VRS202" s="661"/>
      <c r="VRT202" s="661"/>
      <c r="VRU202" s="660" t="s">
        <v>634</v>
      </c>
      <c r="VRV202" s="661"/>
      <c r="VRW202" s="661"/>
      <c r="VRX202" s="661"/>
      <c r="VRY202" s="661"/>
      <c r="VRZ202" s="661"/>
      <c r="VSA202" s="661"/>
      <c r="VSB202" s="661"/>
      <c r="VSC202" s="661"/>
      <c r="VSD202" s="661"/>
      <c r="VSE202" s="661"/>
      <c r="VSF202" s="661"/>
      <c r="VSG202" s="661"/>
      <c r="VSH202" s="661"/>
      <c r="VSI202" s="661"/>
      <c r="VSJ202" s="661"/>
      <c r="VSK202" s="660" t="s">
        <v>634</v>
      </c>
      <c r="VSL202" s="661"/>
      <c r="VSM202" s="661"/>
      <c r="VSN202" s="661"/>
      <c r="VSO202" s="661"/>
      <c r="VSP202" s="661"/>
      <c r="VSQ202" s="661"/>
      <c r="VSR202" s="661"/>
      <c r="VSS202" s="661"/>
      <c r="VST202" s="661"/>
      <c r="VSU202" s="661"/>
      <c r="VSV202" s="661"/>
      <c r="VSW202" s="661"/>
      <c r="VSX202" s="661"/>
      <c r="VSY202" s="661"/>
      <c r="VSZ202" s="661"/>
      <c r="VTA202" s="660" t="s">
        <v>634</v>
      </c>
      <c r="VTB202" s="661"/>
      <c r="VTC202" s="661"/>
      <c r="VTD202" s="661"/>
      <c r="VTE202" s="661"/>
      <c r="VTF202" s="661"/>
      <c r="VTG202" s="661"/>
      <c r="VTH202" s="661"/>
      <c r="VTI202" s="661"/>
      <c r="VTJ202" s="661"/>
      <c r="VTK202" s="661"/>
      <c r="VTL202" s="661"/>
      <c r="VTM202" s="661"/>
      <c r="VTN202" s="661"/>
      <c r="VTO202" s="661"/>
      <c r="VTP202" s="661"/>
      <c r="VTQ202" s="660" t="s">
        <v>634</v>
      </c>
      <c r="VTR202" s="661"/>
      <c r="VTS202" s="661"/>
      <c r="VTT202" s="661"/>
      <c r="VTU202" s="661"/>
      <c r="VTV202" s="661"/>
      <c r="VTW202" s="661"/>
      <c r="VTX202" s="661"/>
      <c r="VTY202" s="661"/>
      <c r="VTZ202" s="661"/>
      <c r="VUA202" s="661"/>
      <c r="VUB202" s="661"/>
      <c r="VUC202" s="661"/>
      <c r="VUD202" s="661"/>
      <c r="VUE202" s="661"/>
      <c r="VUF202" s="661"/>
      <c r="VUG202" s="660" t="s">
        <v>634</v>
      </c>
      <c r="VUH202" s="661"/>
      <c r="VUI202" s="661"/>
      <c r="VUJ202" s="661"/>
      <c r="VUK202" s="661"/>
      <c r="VUL202" s="661"/>
      <c r="VUM202" s="661"/>
      <c r="VUN202" s="661"/>
      <c r="VUO202" s="661"/>
      <c r="VUP202" s="661"/>
      <c r="VUQ202" s="661"/>
      <c r="VUR202" s="661"/>
      <c r="VUS202" s="661"/>
      <c r="VUT202" s="661"/>
      <c r="VUU202" s="661"/>
      <c r="VUV202" s="661"/>
      <c r="VUW202" s="660" t="s">
        <v>634</v>
      </c>
      <c r="VUX202" s="661"/>
      <c r="VUY202" s="661"/>
      <c r="VUZ202" s="661"/>
      <c r="VVA202" s="661"/>
      <c r="VVB202" s="661"/>
      <c r="VVC202" s="661"/>
      <c r="VVD202" s="661"/>
      <c r="VVE202" s="661"/>
      <c r="VVF202" s="661"/>
      <c r="VVG202" s="661"/>
      <c r="VVH202" s="661"/>
      <c r="VVI202" s="661"/>
      <c r="VVJ202" s="661"/>
      <c r="VVK202" s="661"/>
      <c r="VVL202" s="661"/>
      <c r="VVM202" s="660" t="s">
        <v>634</v>
      </c>
      <c r="VVN202" s="661"/>
      <c r="VVO202" s="661"/>
      <c r="VVP202" s="661"/>
      <c r="VVQ202" s="661"/>
      <c r="VVR202" s="661"/>
      <c r="VVS202" s="661"/>
      <c r="VVT202" s="661"/>
      <c r="VVU202" s="661"/>
      <c r="VVV202" s="661"/>
      <c r="VVW202" s="661"/>
      <c r="VVX202" s="661"/>
      <c r="VVY202" s="661"/>
      <c r="VVZ202" s="661"/>
      <c r="VWA202" s="661"/>
      <c r="VWB202" s="661"/>
      <c r="VWC202" s="660" t="s">
        <v>634</v>
      </c>
      <c r="VWD202" s="661"/>
      <c r="VWE202" s="661"/>
      <c r="VWF202" s="661"/>
      <c r="VWG202" s="661"/>
      <c r="VWH202" s="661"/>
      <c r="VWI202" s="661"/>
      <c r="VWJ202" s="661"/>
      <c r="VWK202" s="661"/>
      <c r="VWL202" s="661"/>
      <c r="VWM202" s="661"/>
      <c r="VWN202" s="661"/>
      <c r="VWO202" s="661"/>
      <c r="VWP202" s="661"/>
      <c r="VWQ202" s="661"/>
      <c r="VWR202" s="661"/>
      <c r="VWS202" s="660" t="s">
        <v>634</v>
      </c>
      <c r="VWT202" s="661"/>
      <c r="VWU202" s="661"/>
      <c r="VWV202" s="661"/>
      <c r="VWW202" s="661"/>
      <c r="VWX202" s="661"/>
      <c r="VWY202" s="661"/>
      <c r="VWZ202" s="661"/>
      <c r="VXA202" s="661"/>
      <c r="VXB202" s="661"/>
      <c r="VXC202" s="661"/>
      <c r="VXD202" s="661"/>
      <c r="VXE202" s="661"/>
      <c r="VXF202" s="661"/>
      <c r="VXG202" s="661"/>
      <c r="VXH202" s="661"/>
      <c r="VXI202" s="660" t="s">
        <v>634</v>
      </c>
      <c r="VXJ202" s="661"/>
      <c r="VXK202" s="661"/>
      <c r="VXL202" s="661"/>
      <c r="VXM202" s="661"/>
      <c r="VXN202" s="661"/>
      <c r="VXO202" s="661"/>
      <c r="VXP202" s="661"/>
      <c r="VXQ202" s="661"/>
      <c r="VXR202" s="661"/>
      <c r="VXS202" s="661"/>
      <c r="VXT202" s="661"/>
      <c r="VXU202" s="661"/>
      <c r="VXV202" s="661"/>
      <c r="VXW202" s="661"/>
      <c r="VXX202" s="661"/>
      <c r="VXY202" s="660" t="s">
        <v>634</v>
      </c>
      <c r="VXZ202" s="661"/>
      <c r="VYA202" s="661"/>
      <c r="VYB202" s="661"/>
      <c r="VYC202" s="661"/>
      <c r="VYD202" s="661"/>
      <c r="VYE202" s="661"/>
      <c r="VYF202" s="661"/>
      <c r="VYG202" s="661"/>
      <c r="VYH202" s="661"/>
      <c r="VYI202" s="661"/>
      <c r="VYJ202" s="661"/>
      <c r="VYK202" s="661"/>
      <c r="VYL202" s="661"/>
      <c r="VYM202" s="661"/>
      <c r="VYN202" s="661"/>
      <c r="VYO202" s="660" t="s">
        <v>634</v>
      </c>
      <c r="VYP202" s="661"/>
      <c r="VYQ202" s="661"/>
      <c r="VYR202" s="661"/>
      <c r="VYS202" s="661"/>
      <c r="VYT202" s="661"/>
      <c r="VYU202" s="661"/>
      <c r="VYV202" s="661"/>
      <c r="VYW202" s="661"/>
      <c r="VYX202" s="661"/>
      <c r="VYY202" s="661"/>
      <c r="VYZ202" s="661"/>
      <c r="VZA202" s="661"/>
      <c r="VZB202" s="661"/>
      <c r="VZC202" s="661"/>
      <c r="VZD202" s="661"/>
      <c r="VZE202" s="660" t="s">
        <v>634</v>
      </c>
      <c r="VZF202" s="661"/>
      <c r="VZG202" s="661"/>
      <c r="VZH202" s="661"/>
      <c r="VZI202" s="661"/>
      <c r="VZJ202" s="661"/>
      <c r="VZK202" s="661"/>
      <c r="VZL202" s="661"/>
      <c r="VZM202" s="661"/>
      <c r="VZN202" s="661"/>
      <c r="VZO202" s="661"/>
      <c r="VZP202" s="661"/>
      <c r="VZQ202" s="661"/>
      <c r="VZR202" s="661"/>
      <c r="VZS202" s="661"/>
      <c r="VZT202" s="661"/>
      <c r="VZU202" s="660" t="s">
        <v>634</v>
      </c>
      <c r="VZV202" s="661"/>
      <c r="VZW202" s="661"/>
      <c r="VZX202" s="661"/>
      <c r="VZY202" s="661"/>
      <c r="VZZ202" s="661"/>
      <c r="WAA202" s="661"/>
      <c r="WAB202" s="661"/>
      <c r="WAC202" s="661"/>
      <c r="WAD202" s="661"/>
      <c r="WAE202" s="661"/>
      <c r="WAF202" s="661"/>
      <c r="WAG202" s="661"/>
      <c r="WAH202" s="661"/>
      <c r="WAI202" s="661"/>
      <c r="WAJ202" s="661"/>
      <c r="WAK202" s="660" t="s">
        <v>634</v>
      </c>
      <c r="WAL202" s="661"/>
      <c r="WAM202" s="661"/>
      <c r="WAN202" s="661"/>
      <c r="WAO202" s="661"/>
      <c r="WAP202" s="661"/>
      <c r="WAQ202" s="661"/>
      <c r="WAR202" s="661"/>
      <c r="WAS202" s="661"/>
      <c r="WAT202" s="661"/>
      <c r="WAU202" s="661"/>
      <c r="WAV202" s="661"/>
      <c r="WAW202" s="661"/>
      <c r="WAX202" s="661"/>
      <c r="WAY202" s="661"/>
      <c r="WAZ202" s="661"/>
      <c r="WBA202" s="660" t="s">
        <v>634</v>
      </c>
      <c r="WBB202" s="661"/>
      <c r="WBC202" s="661"/>
      <c r="WBD202" s="661"/>
      <c r="WBE202" s="661"/>
      <c r="WBF202" s="661"/>
      <c r="WBG202" s="661"/>
      <c r="WBH202" s="661"/>
      <c r="WBI202" s="661"/>
      <c r="WBJ202" s="661"/>
      <c r="WBK202" s="661"/>
      <c r="WBL202" s="661"/>
      <c r="WBM202" s="661"/>
      <c r="WBN202" s="661"/>
      <c r="WBO202" s="661"/>
      <c r="WBP202" s="661"/>
      <c r="WBQ202" s="660" t="s">
        <v>634</v>
      </c>
      <c r="WBR202" s="661"/>
      <c r="WBS202" s="661"/>
      <c r="WBT202" s="661"/>
      <c r="WBU202" s="661"/>
      <c r="WBV202" s="661"/>
      <c r="WBW202" s="661"/>
      <c r="WBX202" s="661"/>
      <c r="WBY202" s="661"/>
      <c r="WBZ202" s="661"/>
      <c r="WCA202" s="661"/>
      <c r="WCB202" s="661"/>
      <c r="WCC202" s="661"/>
      <c r="WCD202" s="661"/>
      <c r="WCE202" s="661"/>
      <c r="WCF202" s="661"/>
      <c r="WCG202" s="660" t="s">
        <v>634</v>
      </c>
      <c r="WCH202" s="661"/>
      <c r="WCI202" s="661"/>
      <c r="WCJ202" s="661"/>
      <c r="WCK202" s="661"/>
      <c r="WCL202" s="661"/>
      <c r="WCM202" s="661"/>
      <c r="WCN202" s="661"/>
      <c r="WCO202" s="661"/>
      <c r="WCP202" s="661"/>
      <c r="WCQ202" s="661"/>
      <c r="WCR202" s="661"/>
      <c r="WCS202" s="661"/>
      <c r="WCT202" s="661"/>
      <c r="WCU202" s="661"/>
      <c r="WCV202" s="661"/>
      <c r="WCW202" s="660" t="s">
        <v>634</v>
      </c>
      <c r="WCX202" s="661"/>
      <c r="WCY202" s="661"/>
      <c r="WCZ202" s="661"/>
      <c r="WDA202" s="661"/>
      <c r="WDB202" s="661"/>
      <c r="WDC202" s="661"/>
      <c r="WDD202" s="661"/>
      <c r="WDE202" s="661"/>
      <c r="WDF202" s="661"/>
      <c r="WDG202" s="661"/>
      <c r="WDH202" s="661"/>
      <c r="WDI202" s="661"/>
      <c r="WDJ202" s="661"/>
      <c r="WDK202" s="661"/>
      <c r="WDL202" s="661"/>
      <c r="WDM202" s="660" t="s">
        <v>634</v>
      </c>
      <c r="WDN202" s="661"/>
      <c r="WDO202" s="661"/>
      <c r="WDP202" s="661"/>
      <c r="WDQ202" s="661"/>
      <c r="WDR202" s="661"/>
      <c r="WDS202" s="661"/>
      <c r="WDT202" s="661"/>
      <c r="WDU202" s="661"/>
      <c r="WDV202" s="661"/>
      <c r="WDW202" s="661"/>
      <c r="WDX202" s="661"/>
      <c r="WDY202" s="661"/>
      <c r="WDZ202" s="661"/>
      <c r="WEA202" s="661"/>
      <c r="WEB202" s="661"/>
      <c r="WEC202" s="660" t="s">
        <v>634</v>
      </c>
      <c r="WED202" s="661"/>
      <c r="WEE202" s="661"/>
      <c r="WEF202" s="661"/>
      <c r="WEG202" s="661"/>
      <c r="WEH202" s="661"/>
      <c r="WEI202" s="661"/>
      <c r="WEJ202" s="661"/>
      <c r="WEK202" s="661"/>
      <c r="WEL202" s="661"/>
      <c r="WEM202" s="661"/>
      <c r="WEN202" s="661"/>
      <c r="WEO202" s="661"/>
      <c r="WEP202" s="661"/>
      <c r="WEQ202" s="661"/>
      <c r="WER202" s="661"/>
      <c r="WES202" s="660" t="s">
        <v>634</v>
      </c>
      <c r="WET202" s="661"/>
      <c r="WEU202" s="661"/>
      <c r="WEV202" s="661"/>
      <c r="WEW202" s="661"/>
      <c r="WEX202" s="661"/>
      <c r="WEY202" s="661"/>
      <c r="WEZ202" s="661"/>
      <c r="WFA202" s="661"/>
      <c r="WFB202" s="661"/>
      <c r="WFC202" s="661"/>
      <c r="WFD202" s="661"/>
      <c r="WFE202" s="661"/>
      <c r="WFF202" s="661"/>
      <c r="WFG202" s="661"/>
      <c r="WFH202" s="661"/>
      <c r="WFI202" s="660" t="s">
        <v>634</v>
      </c>
      <c r="WFJ202" s="661"/>
      <c r="WFK202" s="661"/>
      <c r="WFL202" s="661"/>
      <c r="WFM202" s="661"/>
      <c r="WFN202" s="661"/>
      <c r="WFO202" s="661"/>
      <c r="WFP202" s="661"/>
      <c r="WFQ202" s="661"/>
      <c r="WFR202" s="661"/>
      <c r="WFS202" s="661"/>
      <c r="WFT202" s="661"/>
      <c r="WFU202" s="661"/>
      <c r="WFV202" s="661"/>
      <c r="WFW202" s="661"/>
      <c r="WFX202" s="661"/>
      <c r="WFY202" s="660" t="s">
        <v>634</v>
      </c>
      <c r="WFZ202" s="661"/>
      <c r="WGA202" s="661"/>
      <c r="WGB202" s="661"/>
      <c r="WGC202" s="661"/>
      <c r="WGD202" s="661"/>
      <c r="WGE202" s="661"/>
      <c r="WGF202" s="661"/>
      <c r="WGG202" s="661"/>
      <c r="WGH202" s="661"/>
      <c r="WGI202" s="661"/>
      <c r="WGJ202" s="661"/>
      <c r="WGK202" s="661"/>
      <c r="WGL202" s="661"/>
      <c r="WGM202" s="661"/>
      <c r="WGN202" s="661"/>
      <c r="WGO202" s="660" t="s">
        <v>634</v>
      </c>
      <c r="WGP202" s="661"/>
      <c r="WGQ202" s="661"/>
      <c r="WGR202" s="661"/>
      <c r="WGS202" s="661"/>
      <c r="WGT202" s="661"/>
      <c r="WGU202" s="661"/>
      <c r="WGV202" s="661"/>
      <c r="WGW202" s="661"/>
      <c r="WGX202" s="661"/>
      <c r="WGY202" s="661"/>
      <c r="WGZ202" s="661"/>
      <c r="WHA202" s="661"/>
      <c r="WHB202" s="661"/>
      <c r="WHC202" s="661"/>
      <c r="WHD202" s="661"/>
      <c r="WHE202" s="660" t="s">
        <v>634</v>
      </c>
      <c r="WHF202" s="661"/>
      <c r="WHG202" s="661"/>
      <c r="WHH202" s="661"/>
      <c r="WHI202" s="661"/>
      <c r="WHJ202" s="661"/>
      <c r="WHK202" s="661"/>
      <c r="WHL202" s="661"/>
      <c r="WHM202" s="661"/>
      <c r="WHN202" s="661"/>
      <c r="WHO202" s="661"/>
      <c r="WHP202" s="661"/>
      <c r="WHQ202" s="661"/>
      <c r="WHR202" s="661"/>
      <c r="WHS202" s="661"/>
      <c r="WHT202" s="661"/>
      <c r="WHU202" s="660" t="s">
        <v>634</v>
      </c>
      <c r="WHV202" s="661"/>
      <c r="WHW202" s="661"/>
      <c r="WHX202" s="661"/>
      <c r="WHY202" s="661"/>
      <c r="WHZ202" s="661"/>
      <c r="WIA202" s="661"/>
      <c r="WIB202" s="661"/>
      <c r="WIC202" s="661"/>
      <c r="WID202" s="661"/>
      <c r="WIE202" s="661"/>
      <c r="WIF202" s="661"/>
      <c r="WIG202" s="661"/>
      <c r="WIH202" s="661"/>
      <c r="WII202" s="661"/>
      <c r="WIJ202" s="661"/>
      <c r="WIK202" s="660" t="s">
        <v>634</v>
      </c>
      <c r="WIL202" s="661"/>
      <c r="WIM202" s="661"/>
      <c r="WIN202" s="661"/>
      <c r="WIO202" s="661"/>
      <c r="WIP202" s="661"/>
      <c r="WIQ202" s="661"/>
      <c r="WIR202" s="661"/>
      <c r="WIS202" s="661"/>
      <c r="WIT202" s="661"/>
      <c r="WIU202" s="661"/>
      <c r="WIV202" s="661"/>
      <c r="WIW202" s="661"/>
      <c r="WIX202" s="661"/>
      <c r="WIY202" s="661"/>
      <c r="WIZ202" s="661"/>
      <c r="WJA202" s="660" t="s">
        <v>634</v>
      </c>
      <c r="WJB202" s="661"/>
      <c r="WJC202" s="661"/>
      <c r="WJD202" s="661"/>
      <c r="WJE202" s="661"/>
      <c r="WJF202" s="661"/>
      <c r="WJG202" s="661"/>
      <c r="WJH202" s="661"/>
      <c r="WJI202" s="661"/>
      <c r="WJJ202" s="661"/>
      <c r="WJK202" s="661"/>
      <c r="WJL202" s="661"/>
      <c r="WJM202" s="661"/>
      <c r="WJN202" s="661"/>
      <c r="WJO202" s="661"/>
      <c r="WJP202" s="661"/>
      <c r="WJQ202" s="660" t="s">
        <v>634</v>
      </c>
      <c r="WJR202" s="661"/>
      <c r="WJS202" s="661"/>
      <c r="WJT202" s="661"/>
      <c r="WJU202" s="661"/>
      <c r="WJV202" s="661"/>
      <c r="WJW202" s="661"/>
      <c r="WJX202" s="661"/>
      <c r="WJY202" s="661"/>
      <c r="WJZ202" s="661"/>
      <c r="WKA202" s="661"/>
      <c r="WKB202" s="661"/>
      <c r="WKC202" s="661"/>
      <c r="WKD202" s="661"/>
      <c r="WKE202" s="661"/>
      <c r="WKF202" s="661"/>
      <c r="WKG202" s="660" t="s">
        <v>634</v>
      </c>
      <c r="WKH202" s="661"/>
      <c r="WKI202" s="661"/>
      <c r="WKJ202" s="661"/>
      <c r="WKK202" s="661"/>
      <c r="WKL202" s="661"/>
      <c r="WKM202" s="661"/>
      <c r="WKN202" s="661"/>
      <c r="WKO202" s="661"/>
      <c r="WKP202" s="661"/>
      <c r="WKQ202" s="661"/>
      <c r="WKR202" s="661"/>
      <c r="WKS202" s="661"/>
      <c r="WKT202" s="661"/>
      <c r="WKU202" s="661"/>
      <c r="WKV202" s="661"/>
      <c r="WKW202" s="660" t="s">
        <v>634</v>
      </c>
      <c r="WKX202" s="661"/>
      <c r="WKY202" s="661"/>
      <c r="WKZ202" s="661"/>
      <c r="WLA202" s="661"/>
      <c r="WLB202" s="661"/>
      <c r="WLC202" s="661"/>
      <c r="WLD202" s="661"/>
      <c r="WLE202" s="661"/>
      <c r="WLF202" s="661"/>
      <c r="WLG202" s="661"/>
      <c r="WLH202" s="661"/>
      <c r="WLI202" s="661"/>
      <c r="WLJ202" s="661"/>
      <c r="WLK202" s="661"/>
      <c r="WLL202" s="661"/>
      <c r="WLM202" s="660" t="s">
        <v>634</v>
      </c>
      <c r="WLN202" s="661"/>
      <c r="WLO202" s="661"/>
      <c r="WLP202" s="661"/>
      <c r="WLQ202" s="661"/>
      <c r="WLR202" s="661"/>
      <c r="WLS202" s="661"/>
      <c r="WLT202" s="661"/>
      <c r="WLU202" s="661"/>
      <c r="WLV202" s="661"/>
      <c r="WLW202" s="661"/>
      <c r="WLX202" s="661"/>
      <c r="WLY202" s="661"/>
      <c r="WLZ202" s="661"/>
      <c r="WMA202" s="661"/>
      <c r="WMB202" s="661"/>
      <c r="WMC202" s="660" t="s">
        <v>634</v>
      </c>
      <c r="WMD202" s="661"/>
      <c r="WME202" s="661"/>
      <c r="WMF202" s="661"/>
      <c r="WMG202" s="661"/>
      <c r="WMH202" s="661"/>
      <c r="WMI202" s="661"/>
      <c r="WMJ202" s="661"/>
      <c r="WMK202" s="661"/>
      <c r="WML202" s="661"/>
      <c r="WMM202" s="661"/>
      <c r="WMN202" s="661"/>
      <c r="WMO202" s="661"/>
      <c r="WMP202" s="661"/>
      <c r="WMQ202" s="661"/>
      <c r="WMR202" s="661"/>
      <c r="WMS202" s="660" t="s">
        <v>634</v>
      </c>
      <c r="WMT202" s="661"/>
      <c r="WMU202" s="661"/>
      <c r="WMV202" s="661"/>
      <c r="WMW202" s="661"/>
      <c r="WMX202" s="661"/>
      <c r="WMY202" s="661"/>
      <c r="WMZ202" s="661"/>
      <c r="WNA202" s="661"/>
      <c r="WNB202" s="661"/>
      <c r="WNC202" s="661"/>
      <c r="WND202" s="661"/>
      <c r="WNE202" s="661"/>
      <c r="WNF202" s="661"/>
      <c r="WNG202" s="661"/>
      <c r="WNH202" s="661"/>
      <c r="WNI202" s="660" t="s">
        <v>634</v>
      </c>
      <c r="WNJ202" s="661"/>
      <c r="WNK202" s="661"/>
      <c r="WNL202" s="661"/>
      <c r="WNM202" s="661"/>
      <c r="WNN202" s="661"/>
      <c r="WNO202" s="661"/>
      <c r="WNP202" s="661"/>
      <c r="WNQ202" s="661"/>
      <c r="WNR202" s="661"/>
      <c r="WNS202" s="661"/>
      <c r="WNT202" s="661"/>
      <c r="WNU202" s="661"/>
      <c r="WNV202" s="661"/>
      <c r="WNW202" s="661"/>
      <c r="WNX202" s="661"/>
      <c r="WNY202" s="660" t="s">
        <v>634</v>
      </c>
      <c r="WNZ202" s="661"/>
      <c r="WOA202" s="661"/>
      <c r="WOB202" s="661"/>
      <c r="WOC202" s="661"/>
      <c r="WOD202" s="661"/>
      <c r="WOE202" s="661"/>
      <c r="WOF202" s="661"/>
      <c r="WOG202" s="661"/>
      <c r="WOH202" s="661"/>
      <c r="WOI202" s="661"/>
      <c r="WOJ202" s="661"/>
      <c r="WOK202" s="661"/>
      <c r="WOL202" s="661"/>
      <c r="WOM202" s="661"/>
      <c r="WON202" s="661"/>
      <c r="WOO202" s="660" t="s">
        <v>634</v>
      </c>
      <c r="WOP202" s="661"/>
      <c r="WOQ202" s="661"/>
      <c r="WOR202" s="661"/>
      <c r="WOS202" s="661"/>
      <c r="WOT202" s="661"/>
      <c r="WOU202" s="661"/>
      <c r="WOV202" s="661"/>
      <c r="WOW202" s="661"/>
      <c r="WOX202" s="661"/>
      <c r="WOY202" s="661"/>
      <c r="WOZ202" s="661"/>
      <c r="WPA202" s="661"/>
      <c r="WPB202" s="661"/>
      <c r="WPC202" s="661"/>
      <c r="WPD202" s="661"/>
      <c r="WPE202" s="660" t="s">
        <v>634</v>
      </c>
      <c r="WPF202" s="661"/>
      <c r="WPG202" s="661"/>
      <c r="WPH202" s="661"/>
      <c r="WPI202" s="661"/>
      <c r="WPJ202" s="661"/>
      <c r="WPK202" s="661"/>
      <c r="WPL202" s="661"/>
      <c r="WPM202" s="661"/>
      <c r="WPN202" s="661"/>
      <c r="WPO202" s="661"/>
      <c r="WPP202" s="661"/>
      <c r="WPQ202" s="661"/>
      <c r="WPR202" s="661"/>
      <c r="WPS202" s="661"/>
      <c r="WPT202" s="661"/>
      <c r="WPU202" s="660" t="s">
        <v>634</v>
      </c>
      <c r="WPV202" s="661"/>
      <c r="WPW202" s="661"/>
      <c r="WPX202" s="661"/>
      <c r="WPY202" s="661"/>
      <c r="WPZ202" s="661"/>
      <c r="WQA202" s="661"/>
      <c r="WQB202" s="661"/>
      <c r="WQC202" s="661"/>
      <c r="WQD202" s="661"/>
      <c r="WQE202" s="661"/>
      <c r="WQF202" s="661"/>
      <c r="WQG202" s="661"/>
      <c r="WQH202" s="661"/>
      <c r="WQI202" s="661"/>
      <c r="WQJ202" s="661"/>
      <c r="WQK202" s="660" t="s">
        <v>634</v>
      </c>
      <c r="WQL202" s="661"/>
      <c r="WQM202" s="661"/>
      <c r="WQN202" s="661"/>
      <c r="WQO202" s="661"/>
      <c r="WQP202" s="661"/>
      <c r="WQQ202" s="661"/>
      <c r="WQR202" s="661"/>
      <c r="WQS202" s="661"/>
      <c r="WQT202" s="661"/>
      <c r="WQU202" s="661"/>
      <c r="WQV202" s="661"/>
      <c r="WQW202" s="661"/>
      <c r="WQX202" s="661"/>
      <c r="WQY202" s="661"/>
      <c r="WQZ202" s="661"/>
      <c r="WRA202" s="660" t="s">
        <v>634</v>
      </c>
      <c r="WRB202" s="661"/>
      <c r="WRC202" s="661"/>
      <c r="WRD202" s="661"/>
      <c r="WRE202" s="661"/>
      <c r="WRF202" s="661"/>
      <c r="WRG202" s="661"/>
      <c r="WRH202" s="661"/>
      <c r="WRI202" s="661"/>
      <c r="WRJ202" s="661"/>
      <c r="WRK202" s="661"/>
      <c r="WRL202" s="661"/>
      <c r="WRM202" s="661"/>
      <c r="WRN202" s="661"/>
      <c r="WRO202" s="661"/>
      <c r="WRP202" s="661"/>
      <c r="WRQ202" s="660" t="s">
        <v>634</v>
      </c>
      <c r="WRR202" s="661"/>
      <c r="WRS202" s="661"/>
      <c r="WRT202" s="661"/>
      <c r="WRU202" s="661"/>
      <c r="WRV202" s="661"/>
      <c r="WRW202" s="661"/>
      <c r="WRX202" s="661"/>
      <c r="WRY202" s="661"/>
      <c r="WRZ202" s="661"/>
      <c r="WSA202" s="661"/>
      <c r="WSB202" s="661"/>
      <c r="WSC202" s="661"/>
      <c r="WSD202" s="661"/>
      <c r="WSE202" s="661"/>
      <c r="WSF202" s="661"/>
      <c r="WSG202" s="660" t="s">
        <v>634</v>
      </c>
      <c r="WSH202" s="661"/>
      <c r="WSI202" s="661"/>
      <c r="WSJ202" s="661"/>
      <c r="WSK202" s="661"/>
      <c r="WSL202" s="661"/>
      <c r="WSM202" s="661"/>
      <c r="WSN202" s="661"/>
      <c r="WSO202" s="661"/>
      <c r="WSP202" s="661"/>
      <c r="WSQ202" s="661"/>
      <c r="WSR202" s="661"/>
      <c r="WSS202" s="661"/>
      <c r="WST202" s="661"/>
      <c r="WSU202" s="661"/>
      <c r="WSV202" s="661"/>
      <c r="WSW202" s="660" t="s">
        <v>634</v>
      </c>
      <c r="WSX202" s="661"/>
      <c r="WSY202" s="661"/>
      <c r="WSZ202" s="661"/>
      <c r="WTA202" s="661"/>
      <c r="WTB202" s="661"/>
      <c r="WTC202" s="661"/>
      <c r="WTD202" s="661"/>
      <c r="WTE202" s="661"/>
      <c r="WTF202" s="661"/>
      <c r="WTG202" s="661"/>
      <c r="WTH202" s="661"/>
      <c r="WTI202" s="661"/>
      <c r="WTJ202" s="661"/>
      <c r="WTK202" s="661"/>
      <c r="WTL202" s="661"/>
      <c r="WTM202" s="660" t="s">
        <v>634</v>
      </c>
      <c r="WTN202" s="661"/>
      <c r="WTO202" s="661"/>
      <c r="WTP202" s="661"/>
      <c r="WTQ202" s="661"/>
      <c r="WTR202" s="661"/>
      <c r="WTS202" s="661"/>
      <c r="WTT202" s="661"/>
      <c r="WTU202" s="661"/>
      <c r="WTV202" s="661"/>
      <c r="WTW202" s="661"/>
      <c r="WTX202" s="661"/>
      <c r="WTY202" s="661"/>
      <c r="WTZ202" s="661"/>
      <c r="WUA202" s="661"/>
      <c r="WUB202" s="661"/>
      <c r="WUC202" s="660" t="s">
        <v>634</v>
      </c>
      <c r="WUD202" s="661"/>
      <c r="WUE202" s="661"/>
      <c r="WUF202" s="661"/>
      <c r="WUG202" s="661"/>
      <c r="WUH202" s="661"/>
      <c r="WUI202" s="661"/>
      <c r="WUJ202" s="661"/>
      <c r="WUK202" s="661"/>
      <c r="WUL202" s="661"/>
      <c r="WUM202" s="661"/>
      <c r="WUN202" s="661"/>
      <c r="WUO202" s="661"/>
      <c r="WUP202" s="661"/>
      <c r="WUQ202" s="661"/>
      <c r="WUR202" s="661"/>
      <c r="WUS202" s="660" t="s">
        <v>634</v>
      </c>
      <c r="WUT202" s="661"/>
      <c r="WUU202" s="661"/>
      <c r="WUV202" s="661"/>
      <c r="WUW202" s="661"/>
      <c r="WUX202" s="661"/>
      <c r="WUY202" s="661"/>
      <c r="WUZ202" s="661"/>
      <c r="WVA202" s="661"/>
      <c r="WVB202" s="661"/>
      <c r="WVC202" s="661"/>
      <c r="WVD202" s="661"/>
      <c r="WVE202" s="661"/>
      <c r="WVF202" s="661"/>
      <c r="WVG202" s="661"/>
      <c r="WVH202" s="661"/>
      <c r="WVI202" s="660" t="s">
        <v>634</v>
      </c>
      <c r="WVJ202" s="661"/>
      <c r="WVK202" s="661"/>
      <c r="WVL202" s="661"/>
      <c r="WVM202" s="661"/>
      <c r="WVN202" s="661"/>
      <c r="WVO202" s="661"/>
      <c r="WVP202" s="661"/>
      <c r="WVQ202" s="661"/>
      <c r="WVR202" s="661"/>
      <c r="WVS202" s="661"/>
      <c r="WVT202" s="661"/>
      <c r="WVU202" s="661"/>
      <c r="WVV202" s="661"/>
      <c r="WVW202" s="661"/>
      <c r="WVX202" s="661"/>
      <c r="WVY202" s="660" t="s">
        <v>634</v>
      </c>
      <c r="WVZ202" s="661"/>
      <c r="WWA202" s="661"/>
      <c r="WWB202" s="661"/>
      <c r="WWC202" s="661"/>
      <c r="WWD202" s="661"/>
      <c r="WWE202" s="661"/>
      <c r="WWF202" s="661"/>
      <c r="WWG202" s="661"/>
      <c r="WWH202" s="661"/>
      <c r="WWI202" s="661"/>
      <c r="WWJ202" s="661"/>
      <c r="WWK202" s="661"/>
      <c r="WWL202" s="661"/>
      <c r="WWM202" s="661"/>
      <c r="WWN202" s="661"/>
      <c r="WWO202" s="660" t="s">
        <v>634</v>
      </c>
      <c r="WWP202" s="661"/>
      <c r="WWQ202" s="661"/>
      <c r="WWR202" s="661"/>
      <c r="WWS202" s="661"/>
      <c r="WWT202" s="661"/>
      <c r="WWU202" s="661"/>
      <c r="WWV202" s="661"/>
      <c r="WWW202" s="661"/>
      <c r="WWX202" s="661"/>
      <c r="WWY202" s="661"/>
      <c r="WWZ202" s="661"/>
      <c r="WXA202" s="661"/>
      <c r="WXB202" s="661"/>
      <c r="WXC202" s="661"/>
      <c r="WXD202" s="661"/>
      <c r="WXE202" s="660" t="s">
        <v>634</v>
      </c>
      <c r="WXF202" s="661"/>
      <c r="WXG202" s="661"/>
      <c r="WXH202" s="661"/>
      <c r="WXI202" s="661"/>
      <c r="WXJ202" s="661"/>
      <c r="WXK202" s="661"/>
      <c r="WXL202" s="661"/>
      <c r="WXM202" s="661"/>
      <c r="WXN202" s="661"/>
      <c r="WXO202" s="661"/>
      <c r="WXP202" s="661"/>
      <c r="WXQ202" s="661"/>
      <c r="WXR202" s="661"/>
      <c r="WXS202" s="661"/>
      <c r="WXT202" s="661"/>
      <c r="WXU202" s="660" t="s">
        <v>634</v>
      </c>
      <c r="WXV202" s="661"/>
      <c r="WXW202" s="661"/>
      <c r="WXX202" s="661"/>
      <c r="WXY202" s="661"/>
      <c r="WXZ202" s="661"/>
      <c r="WYA202" s="661"/>
      <c r="WYB202" s="661"/>
      <c r="WYC202" s="661"/>
      <c r="WYD202" s="661"/>
      <c r="WYE202" s="661"/>
      <c r="WYF202" s="661"/>
      <c r="WYG202" s="661"/>
      <c r="WYH202" s="661"/>
      <c r="WYI202" s="661"/>
      <c r="WYJ202" s="661"/>
      <c r="WYK202" s="660" t="s">
        <v>634</v>
      </c>
      <c r="WYL202" s="661"/>
      <c r="WYM202" s="661"/>
      <c r="WYN202" s="661"/>
      <c r="WYO202" s="661"/>
      <c r="WYP202" s="661"/>
      <c r="WYQ202" s="661"/>
      <c r="WYR202" s="661"/>
      <c r="WYS202" s="661"/>
      <c r="WYT202" s="661"/>
      <c r="WYU202" s="661"/>
      <c r="WYV202" s="661"/>
      <c r="WYW202" s="661"/>
      <c r="WYX202" s="661"/>
      <c r="WYY202" s="661"/>
      <c r="WYZ202" s="661"/>
      <c r="WZA202" s="660" t="s">
        <v>634</v>
      </c>
      <c r="WZB202" s="661"/>
      <c r="WZC202" s="661"/>
      <c r="WZD202" s="661"/>
      <c r="WZE202" s="661"/>
      <c r="WZF202" s="661"/>
      <c r="WZG202" s="661"/>
      <c r="WZH202" s="661"/>
      <c r="WZI202" s="661"/>
      <c r="WZJ202" s="661"/>
      <c r="WZK202" s="661"/>
      <c r="WZL202" s="661"/>
      <c r="WZM202" s="661"/>
      <c r="WZN202" s="661"/>
      <c r="WZO202" s="661"/>
      <c r="WZP202" s="661"/>
      <c r="WZQ202" s="660" t="s">
        <v>634</v>
      </c>
      <c r="WZR202" s="661"/>
      <c r="WZS202" s="661"/>
      <c r="WZT202" s="661"/>
      <c r="WZU202" s="661"/>
      <c r="WZV202" s="661"/>
      <c r="WZW202" s="661"/>
      <c r="WZX202" s="661"/>
      <c r="WZY202" s="661"/>
      <c r="WZZ202" s="661"/>
      <c r="XAA202" s="661"/>
      <c r="XAB202" s="661"/>
      <c r="XAC202" s="661"/>
      <c r="XAD202" s="661"/>
      <c r="XAE202" s="661"/>
      <c r="XAF202" s="661"/>
      <c r="XAG202" s="660" t="s">
        <v>634</v>
      </c>
      <c r="XAH202" s="661"/>
      <c r="XAI202" s="661"/>
      <c r="XAJ202" s="661"/>
      <c r="XAK202" s="661"/>
      <c r="XAL202" s="661"/>
      <c r="XAM202" s="661"/>
      <c r="XAN202" s="661"/>
      <c r="XAO202" s="661"/>
      <c r="XAP202" s="661"/>
      <c r="XAQ202" s="661"/>
      <c r="XAR202" s="661"/>
      <c r="XAS202" s="661"/>
      <c r="XAT202" s="661"/>
      <c r="XAU202" s="661"/>
      <c r="XAV202" s="661"/>
      <c r="XAW202" s="660" t="s">
        <v>634</v>
      </c>
      <c r="XAX202" s="661"/>
      <c r="XAY202" s="661"/>
      <c r="XAZ202" s="661"/>
      <c r="XBA202" s="661"/>
      <c r="XBB202" s="661"/>
      <c r="XBC202" s="661"/>
      <c r="XBD202" s="661"/>
      <c r="XBE202" s="661"/>
      <c r="XBF202" s="661"/>
      <c r="XBG202" s="661"/>
      <c r="XBH202" s="661"/>
      <c r="XBI202" s="661"/>
      <c r="XBJ202" s="661"/>
      <c r="XBK202" s="661"/>
      <c r="XBL202" s="661"/>
      <c r="XBM202" s="660" t="s">
        <v>634</v>
      </c>
      <c r="XBN202" s="661"/>
      <c r="XBO202" s="661"/>
      <c r="XBP202" s="661"/>
      <c r="XBQ202" s="661"/>
      <c r="XBR202" s="661"/>
      <c r="XBS202" s="661"/>
      <c r="XBT202" s="661"/>
      <c r="XBU202" s="661"/>
      <c r="XBV202" s="661"/>
      <c r="XBW202" s="661"/>
      <c r="XBX202" s="661"/>
      <c r="XBY202" s="661"/>
      <c r="XBZ202" s="661"/>
      <c r="XCA202" s="661"/>
      <c r="XCB202" s="661"/>
      <c r="XCC202" s="660" t="s">
        <v>634</v>
      </c>
      <c r="XCD202" s="661"/>
      <c r="XCE202" s="661"/>
      <c r="XCF202" s="661"/>
      <c r="XCG202" s="661"/>
      <c r="XCH202" s="661"/>
      <c r="XCI202" s="661"/>
      <c r="XCJ202" s="661"/>
      <c r="XCK202" s="661"/>
      <c r="XCL202" s="661"/>
      <c r="XCM202" s="661"/>
      <c r="XCN202" s="661"/>
      <c r="XCO202" s="661"/>
      <c r="XCP202" s="661"/>
      <c r="XCQ202" s="661"/>
      <c r="XCR202" s="661"/>
      <c r="XCS202" s="660" t="s">
        <v>634</v>
      </c>
      <c r="XCT202" s="661"/>
      <c r="XCU202" s="661"/>
      <c r="XCV202" s="661"/>
      <c r="XCW202" s="661"/>
      <c r="XCX202" s="661"/>
      <c r="XCY202" s="661"/>
      <c r="XCZ202" s="661"/>
      <c r="XDA202" s="661"/>
      <c r="XDB202" s="661"/>
      <c r="XDC202" s="661"/>
      <c r="XDD202" s="661"/>
      <c r="XDE202" s="661"/>
      <c r="XDF202" s="661"/>
      <c r="XDG202" s="661"/>
      <c r="XDH202" s="661"/>
      <c r="XDI202" s="660" t="s">
        <v>634</v>
      </c>
      <c r="XDJ202" s="661"/>
      <c r="XDK202" s="661"/>
      <c r="XDL202" s="661"/>
      <c r="XDM202" s="661"/>
      <c r="XDN202" s="661"/>
      <c r="XDO202" s="661"/>
      <c r="XDP202" s="661"/>
      <c r="XDQ202" s="661"/>
      <c r="XDR202" s="661"/>
      <c r="XDS202" s="661"/>
      <c r="XDT202" s="661"/>
      <c r="XDU202" s="661"/>
      <c r="XDV202" s="661"/>
      <c r="XDW202" s="661"/>
      <c r="XDX202" s="661"/>
      <c r="XDY202" s="660" t="s">
        <v>634</v>
      </c>
      <c r="XDZ202" s="661"/>
      <c r="XEA202" s="661"/>
      <c r="XEB202" s="661"/>
      <c r="XEC202" s="661"/>
      <c r="XED202" s="661"/>
      <c r="XEE202" s="661"/>
      <c r="XEF202" s="661"/>
      <c r="XEG202" s="661"/>
      <c r="XEH202" s="661"/>
      <c r="XEI202" s="661"/>
      <c r="XEJ202" s="661"/>
      <c r="XEK202" s="661"/>
      <c r="XEL202" s="661"/>
      <c r="XEM202" s="661"/>
      <c r="XEN202" s="661"/>
      <c r="XEO202" s="660" t="s">
        <v>634</v>
      </c>
      <c r="XEP202" s="661"/>
      <c r="XEQ202" s="661"/>
      <c r="XER202" s="661"/>
      <c r="XES202" s="661"/>
      <c r="XET202" s="661"/>
      <c r="XEU202" s="661"/>
      <c r="XEV202" s="661"/>
      <c r="XEW202" s="661"/>
      <c r="XEX202" s="661"/>
      <c r="XEY202" s="661"/>
      <c r="XEZ202" s="661"/>
      <c r="XFA202" s="661"/>
      <c r="XFB202" s="661"/>
      <c r="XFC202" s="661"/>
      <c r="XFD202" s="661"/>
    </row>
    <row r="203" spans="1:16384" ht="18.75" x14ac:dyDescent="0.3">
      <c r="A203" s="30"/>
      <c r="B203" s="697"/>
      <c r="C203" s="697"/>
      <c r="D203" s="697"/>
      <c r="E203" s="697"/>
      <c r="F203" s="697"/>
      <c r="G203" s="697"/>
      <c r="H203" s="697"/>
      <c r="I203" s="697"/>
      <c r="J203" s="697"/>
      <c r="K203" s="697"/>
      <c r="L203" s="697"/>
      <c r="M203" s="697"/>
      <c r="N203" s="697"/>
      <c r="AW203" s="215"/>
      <c r="AX203" s="215"/>
      <c r="AY203" s="215"/>
      <c r="AZ203" s="215"/>
      <c r="BA203" s="215"/>
      <c r="BB203" s="215"/>
      <c r="BC203" s="215"/>
      <c r="BD203" s="215"/>
      <c r="BE203" s="215"/>
      <c r="BF203" s="215"/>
      <c r="BG203" s="215"/>
      <c r="BH203" s="215"/>
      <c r="BI203" s="215"/>
      <c r="BJ203" s="215"/>
      <c r="BK203" s="215"/>
      <c r="BL203" s="215"/>
      <c r="BM203" s="215"/>
      <c r="BN203" s="215"/>
      <c r="BO203" s="215"/>
      <c r="BP203" s="215"/>
      <c r="BQ203" s="215"/>
      <c r="BR203" s="215"/>
      <c r="BS203" s="215"/>
      <c r="BT203" s="215"/>
      <c r="BU203" s="215"/>
      <c r="BV203" s="215"/>
      <c r="BW203" s="215"/>
      <c r="BX203" s="215"/>
      <c r="BY203" s="215"/>
      <c r="BZ203" s="215"/>
      <c r="CA203" s="215"/>
      <c r="CB203" s="215"/>
      <c r="CC203" s="215"/>
      <c r="CD203" s="215"/>
      <c r="CE203" s="215"/>
      <c r="CF203" s="215"/>
      <c r="CG203" s="215"/>
      <c r="CH203" s="215"/>
      <c r="CI203" s="215"/>
      <c r="CJ203" s="215"/>
      <c r="CK203" s="215"/>
      <c r="CL203" s="215"/>
      <c r="CM203" s="215"/>
      <c r="CN203" s="215"/>
      <c r="CO203" s="215"/>
      <c r="CP203" s="215"/>
      <c r="CQ203" s="215"/>
      <c r="CR203" s="215"/>
      <c r="CS203" s="215"/>
      <c r="CT203" s="215"/>
      <c r="CU203" s="215"/>
      <c r="CV203" s="215"/>
      <c r="CW203" s="215"/>
      <c r="CX203" s="215"/>
      <c r="CY203" s="215"/>
      <c r="CZ203" s="215"/>
      <c r="DA203" s="215"/>
      <c r="DB203" s="215"/>
      <c r="DC203" s="215"/>
      <c r="DD203" s="215"/>
      <c r="DE203" s="215"/>
      <c r="DF203" s="215"/>
      <c r="DG203" s="215"/>
      <c r="DH203" s="215"/>
      <c r="DI203" s="215"/>
      <c r="DJ203" s="215"/>
      <c r="DK203" s="215"/>
      <c r="DL203" s="215"/>
      <c r="DM203" s="215"/>
      <c r="DN203" s="215"/>
      <c r="DO203" s="215"/>
      <c r="DP203" s="215"/>
      <c r="DQ203" s="215"/>
      <c r="DR203" s="215"/>
      <c r="DS203" s="215"/>
      <c r="DT203" s="215"/>
      <c r="DU203" s="215"/>
      <c r="DV203" s="215"/>
      <c r="DW203" s="215"/>
      <c r="DX203" s="215"/>
      <c r="DY203" s="215"/>
      <c r="DZ203" s="215"/>
      <c r="EA203" s="215"/>
      <c r="EB203" s="215"/>
      <c r="EC203" s="215"/>
      <c r="ED203" s="215"/>
      <c r="EE203" s="215"/>
      <c r="EF203" s="215"/>
      <c r="EG203" s="215"/>
      <c r="EH203" s="215"/>
      <c r="EI203" s="215"/>
      <c r="EJ203" s="215"/>
      <c r="EK203" s="215"/>
      <c r="EL203" s="215"/>
      <c r="EM203" s="215"/>
      <c r="EN203" s="215"/>
      <c r="EO203" s="215"/>
      <c r="EP203" s="215"/>
      <c r="EQ203" s="215"/>
      <c r="ER203" s="215"/>
      <c r="ES203" s="215"/>
      <c r="ET203" s="215"/>
      <c r="EU203" s="215"/>
      <c r="EV203" s="215"/>
      <c r="EW203" s="215"/>
      <c r="EX203" s="215"/>
      <c r="EY203" s="215"/>
      <c r="EZ203" s="215"/>
      <c r="FA203" s="215"/>
      <c r="FB203" s="215"/>
      <c r="FC203" s="215"/>
      <c r="FD203" s="215"/>
      <c r="FE203" s="215"/>
      <c r="FF203" s="215"/>
      <c r="FG203" s="215"/>
      <c r="FH203" s="215"/>
      <c r="FI203" s="215"/>
      <c r="FJ203" s="215"/>
      <c r="FK203" s="215"/>
      <c r="FL203" s="215"/>
      <c r="FM203" s="215"/>
      <c r="FN203" s="215"/>
      <c r="FO203" s="215"/>
      <c r="FP203" s="215"/>
      <c r="FQ203" s="215"/>
      <c r="FR203" s="215"/>
      <c r="FS203" s="215"/>
      <c r="FT203" s="215"/>
      <c r="FU203" s="215"/>
      <c r="FV203" s="215"/>
      <c r="FW203" s="215"/>
      <c r="FX203" s="215"/>
      <c r="FY203" s="215"/>
      <c r="FZ203" s="215"/>
      <c r="GA203" s="215"/>
      <c r="GB203" s="215"/>
      <c r="GC203" s="215"/>
      <c r="GD203" s="215"/>
      <c r="GE203" s="215"/>
      <c r="GF203" s="215"/>
      <c r="GG203" s="215"/>
      <c r="GH203" s="215"/>
      <c r="GI203" s="215"/>
      <c r="GJ203" s="215"/>
    </row>
    <row r="204" spans="1:16384" ht="15" x14ac:dyDescent="0.25">
      <c r="C204" s="646" t="s">
        <v>1035</v>
      </c>
      <c r="D204" s="646"/>
      <c r="E204" s="646"/>
      <c r="F204" s="646"/>
      <c r="G204" s="646"/>
      <c r="H204" s="646"/>
      <c r="I204" s="646"/>
      <c r="J204" s="646"/>
      <c r="K204" s="646"/>
      <c r="L204" s="646"/>
      <c r="M204" s="646"/>
      <c r="N204" s="646"/>
      <c r="O204" s="646"/>
      <c r="AW204" s="215"/>
      <c r="AX204" s="215"/>
      <c r="AY204" s="215"/>
      <c r="AZ204" s="215"/>
      <c r="BA204" s="215"/>
      <c r="BB204" s="215"/>
      <c r="BC204" s="215"/>
      <c r="BD204" s="215"/>
      <c r="BE204" s="215"/>
      <c r="BF204" s="215"/>
      <c r="BG204" s="215"/>
      <c r="BH204" s="215"/>
      <c r="BI204" s="215"/>
      <c r="BJ204" s="215"/>
      <c r="BK204" s="215"/>
      <c r="BL204" s="215"/>
      <c r="BM204" s="215"/>
      <c r="BN204" s="215"/>
      <c r="BO204" s="215"/>
      <c r="BP204" s="215"/>
      <c r="BQ204" s="215"/>
      <c r="BR204" s="215"/>
      <c r="BS204" s="215"/>
      <c r="BT204" s="215"/>
      <c r="BU204" s="215"/>
      <c r="BV204" s="215"/>
      <c r="BW204" s="215"/>
      <c r="BX204" s="215"/>
      <c r="BY204" s="215"/>
      <c r="BZ204" s="215"/>
      <c r="CA204" s="215"/>
      <c r="CB204" s="215"/>
      <c r="CC204" s="215"/>
      <c r="CD204" s="215"/>
      <c r="CE204" s="215"/>
      <c r="CF204" s="215"/>
      <c r="CG204" s="215"/>
      <c r="CH204" s="215"/>
      <c r="CI204" s="215"/>
      <c r="CJ204" s="215"/>
      <c r="CK204" s="215"/>
      <c r="CL204" s="215"/>
      <c r="CM204" s="215"/>
      <c r="CN204" s="215"/>
      <c r="CO204" s="215"/>
      <c r="CP204" s="215"/>
      <c r="CQ204" s="215"/>
      <c r="CR204" s="215"/>
      <c r="CS204" s="215"/>
      <c r="CT204" s="215"/>
      <c r="CU204" s="215"/>
      <c r="CV204" s="215"/>
      <c r="CW204" s="215"/>
      <c r="CX204" s="215"/>
      <c r="CY204" s="215"/>
      <c r="CZ204" s="215"/>
      <c r="DA204" s="215"/>
      <c r="DB204" s="215"/>
      <c r="DC204" s="215"/>
      <c r="DD204" s="215"/>
      <c r="DE204" s="215"/>
      <c r="DF204" s="215"/>
      <c r="DG204" s="215"/>
      <c r="DH204" s="215"/>
      <c r="DI204" s="215"/>
      <c r="DJ204" s="215"/>
      <c r="DK204" s="215"/>
      <c r="DL204" s="215"/>
      <c r="DM204" s="215"/>
      <c r="DN204" s="215"/>
      <c r="DO204" s="215"/>
      <c r="DP204" s="215"/>
      <c r="DQ204" s="215"/>
      <c r="DR204" s="215"/>
      <c r="DS204" s="215"/>
      <c r="DT204" s="215"/>
      <c r="DU204" s="215"/>
      <c r="DV204" s="215"/>
      <c r="DW204" s="215"/>
      <c r="DX204" s="215"/>
      <c r="DY204" s="215"/>
      <c r="DZ204" s="215"/>
      <c r="EA204" s="215"/>
      <c r="EB204" s="215"/>
      <c r="EC204" s="215"/>
      <c r="ED204" s="215"/>
      <c r="EE204" s="215"/>
      <c r="EF204" s="215"/>
      <c r="EG204" s="215"/>
      <c r="EH204" s="215"/>
      <c r="EI204" s="215"/>
      <c r="EJ204" s="215"/>
      <c r="EK204" s="215"/>
      <c r="EL204" s="215"/>
      <c r="EM204" s="215"/>
      <c r="EN204" s="215"/>
      <c r="EO204" s="215"/>
      <c r="EP204" s="215"/>
      <c r="EQ204" s="215"/>
      <c r="ER204" s="215"/>
      <c r="ES204" s="215"/>
      <c r="ET204" s="215"/>
      <c r="EU204" s="215"/>
      <c r="EV204" s="215"/>
      <c r="EW204" s="215"/>
      <c r="EX204" s="215"/>
      <c r="EY204" s="215"/>
      <c r="EZ204" s="215"/>
      <c r="FA204" s="215"/>
      <c r="FB204" s="215"/>
      <c r="FC204" s="215"/>
      <c r="FD204" s="215"/>
      <c r="FE204" s="215"/>
      <c r="FF204" s="215"/>
      <c r="FG204" s="215"/>
      <c r="FH204" s="215"/>
      <c r="FI204" s="215"/>
      <c r="FJ204" s="215"/>
      <c r="FK204" s="215"/>
      <c r="FL204" s="215"/>
      <c r="FM204" s="215"/>
      <c r="FN204" s="215"/>
      <c r="FO204" s="215"/>
      <c r="FP204" s="215"/>
      <c r="FQ204" s="215"/>
      <c r="FR204" s="215"/>
      <c r="FS204" s="215"/>
      <c r="FT204" s="215"/>
      <c r="FU204" s="215"/>
      <c r="FV204" s="215"/>
      <c r="FW204" s="215"/>
      <c r="FX204" s="215"/>
      <c r="FY204" s="215"/>
      <c r="FZ204" s="215"/>
      <c r="GA204" s="215"/>
      <c r="GB204" s="215"/>
      <c r="GC204" s="215"/>
      <c r="GD204" s="215"/>
      <c r="GE204" s="215"/>
      <c r="GF204" s="215"/>
      <c r="GG204" s="215"/>
      <c r="GH204" s="215"/>
      <c r="GI204" s="215"/>
      <c r="GJ204" s="215"/>
    </row>
    <row r="205" spans="1:16384" ht="15" x14ac:dyDescent="0.2">
      <c r="C205" s="600"/>
      <c r="D205" s="601"/>
      <c r="E205" s="602"/>
      <c r="F205" s="600"/>
      <c r="G205" s="600"/>
      <c r="H205" s="603"/>
      <c r="I205" s="604"/>
      <c r="J205" s="603"/>
      <c r="K205" s="600"/>
      <c r="L205" s="600"/>
      <c r="M205" s="602"/>
      <c r="N205" s="605"/>
      <c r="O205" s="601"/>
      <c r="AW205" s="215"/>
      <c r="AX205" s="215"/>
      <c r="AY205" s="215"/>
      <c r="AZ205" s="215"/>
      <c r="BA205" s="215"/>
      <c r="BB205" s="215"/>
      <c r="BC205" s="215"/>
      <c r="BD205" s="215"/>
      <c r="BE205" s="215"/>
      <c r="BF205" s="215"/>
      <c r="BG205" s="215"/>
      <c r="BH205" s="215"/>
      <c r="BI205" s="215"/>
      <c r="BJ205" s="215"/>
      <c r="BK205" s="215"/>
      <c r="BL205" s="215"/>
      <c r="BM205" s="215"/>
      <c r="BN205" s="215"/>
      <c r="BO205" s="215"/>
      <c r="BP205" s="215"/>
      <c r="BQ205" s="215"/>
      <c r="BR205" s="215"/>
      <c r="BS205" s="215"/>
      <c r="BT205" s="215"/>
      <c r="BU205" s="215"/>
      <c r="BV205" s="215"/>
      <c r="BW205" s="215"/>
      <c r="BX205" s="215"/>
      <c r="BY205" s="215"/>
      <c r="BZ205" s="215"/>
      <c r="CA205" s="215"/>
      <c r="CB205" s="215"/>
      <c r="CC205" s="215"/>
      <c r="CD205" s="215"/>
      <c r="CE205" s="215"/>
      <c r="CF205" s="215"/>
      <c r="CG205" s="215"/>
      <c r="CH205" s="215"/>
      <c r="CI205" s="215"/>
      <c r="CJ205" s="215"/>
      <c r="CK205" s="215"/>
      <c r="CL205" s="215"/>
      <c r="CM205" s="215"/>
      <c r="CN205" s="215"/>
      <c r="CO205" s="215"/>
      <c r="CP205" s="215"/>
      <c r="CQ205" s="215"/>
      <c r="CR205" s="215"/>
      <c r="CS205" s="215"/>
      <c r="CT205" s="215"/>
      <c r="CU205" s="215"/>
      <c r="CV205" s="215"/>
      <c r="CW205" s="215"/>
      <c r="CX205" s="215"/>
      <c r="CY205" s="215"/>
      <c r="CZ205" s="215"/>
      <c r="DA205" s="215"/>
      <c r="DB205" s="215"/>
      <c r="DC205" s="215"/>
      <c r="DD205" s="215"/>
      <c r="DE205" s="215"/>
      <c r="DF205" s="215"/>
      <c r="DG205" s="215"/>
      <c r="DH205" s="215"/>
      <c r="DI205" s="215"/>
      <c r="DJ205" s="215"/>
      <c r="DK205" s="215"/>
      <c r="DL205" s="215"/>
      <c r="DM205" s="215"/>
      <c r="DN205" s="215"/>
      <c r="DO205" s="215"/>
      <c r="DP205" s="215"/>
      <c r="DQ205" s="215"/>
      <c r="DR205" s="215"/>
      <c r="DS205" s="215"/>
      <c r="DT205" s="215"/>
      <c r="DU205" s="215"/>
      <c r="DV205" s="215"/>
      <c r="DW205" s="215"/>
      <c r="DX205" s="215"/>
      <c r="DY205" s="215"/>
      <c r="DZ205" s="215"/>
      <c r="EA205" s="215"/>
      <c r="EB205" s="215"/>
      <c r="EC205" s="215"/>
      <c r="ED205" s="215"/>
      <c r="EE205" s="215"/>
      <c r="EF205" s="215"/>
      <c r="EG205" s="215"/>
      <c r="EH205" s="215"/>
      <c r="EI205" s="215"/>
      <c r="EJ205" s="215"/>
      <c r="EK205" s="215"/>
      <c r="EL205" s="215"/>
      <c r="EM205" s="215"/>
      <c r="EN205" s="215"/>
      <c r="EO205" s="215"/>
      <c r="EP205" s="215"/>
      <c r="EQ205" s="215"/>
      <c r="ER205" s="215"/>
      <c r="ES205" s="215"/>
      <c r="ET205" s="215"/>
      <c r="EU205" s="215"/>
      <c r="EV205" s="215"/>
      <c r="EW205" s="215"/>
      <c r="EX205" s="215"/>
      <c r="EY205" s="215"/>
      <c r="EZ205" s="215"/>
      <c r="FA205" s="215"/>
      <c r="FB205" s="215"/>
      <c r="FC205" s="215"/>
      <c r="FD205" s="215"/>
      <c r="FE205" s="215"/>
      <c r="FF205" s="215"/>
      <c r="FG205" s="215"/>
      <c r="FH205" s="215"/>
      <c r="FI205" s="215"/>
      <c r="FJ205" s="215"/>
      <c r="FK205" s="215"/>
      <c r="FL205" s="215"/>
      <c r="FM205" s="215"/>
      <c r="FN205" s="215"/>
      <c r="FO205" s="215"/>
      <c r="FP205" s="215"/>
      <c r="FQ205" s="215"/>
      <c r="FR205" s="215"/>
      <c r="FS205" s="215"/>
      <c r="FT205" s="215"/>
      <c r="FU205" s="215"/>
      <c r="FV205" s="215"/>
      <c r="FW205" s="215"/>
      <c r="FX205" s="215"/>
      <c r="FY205" s="215"/>
      <c r="FZ205" s="215"/>
      <c r="GA205" s="215"/>
      <c r="GB205" s="215"/>
      <c r="GC205" s="215"/>
      <c r="GD205" s="215"/>
      <c r="GE205" s="215"/>
      <c r="GF205" s="215"/>
      <c r="GG205" s="215"/>
      <c r="GH205" s="215"/>
      <c r="GI205" s="215"/>
      <c r="GJ205" s="215"/>
    </row>
    <row r="206" spans="1:16384" ht="15" x14ac:dyDescent="0.25">
      <c r="C206" s="646" t="s">
        <v>1037</v>
      </c>
      <c r="D206" s="646"/>
      <c r="E206" s="646"/>
      <c r="F206" s="646"/>
      <c r="G206" s="646"/>
      <c r="H206" s="646"/>
      <c r="I206" s="646"/>
      <c r="J206" s="646"/>
      <c r="K206" s="646"/>
      <c r="L206" s="646"/>
      <c r="M206" s="646"/>
      <c r="N206" s="646"/>
      <c r="O206" s="646"/>
      <c r="AW206" s="215"/>
      <c r="AX206" s="215"/>
      <c r="AY206" s="215"/>
      <c r="AZ206" s="215"/>
      <c r="BA206" s="215"/>
      <c r="BB206" s="215"/>
      <c r="BC206" s="215"/>
      <c r="BD206" s="215"/>
      <c r="BE206" s="215"/>
      <c r="BF206" s="215"/>
      <c r="BG206" s="215"/>
      <c r="BH206" s="215"/>
      <c r="BI206" s="215"/>
      <c r="BJ206" s="215"/>
      <c r="BK206" s="215"/>
      <c r="BL206" s="215"/>
      <c r="BM206" s="215"/>
      <c r="BN206" s="215"/>
      <c r="BO206" s="215"/>
      <c r="BP206" s="215"/>
      <c r="BQ206" s="215"/>
      <c r="BR206" s="215"/>
      <c r="BS206" s="215"/>
      <c r="BT206" s="215"/>
      <c r="BU206" s="215"/>
      <c r="BV206" s="215"/>
      <c r="BW206" s="215"/>
      <c r="BX206" s="215"/>
      <c r="BY206" s="215"/>
      <c r="BZ206" s="215"/>
      <c r="CA206" s="215"/>
      <c r="CB206" s="215"/>
      <c r="CC206" s="215"/>
      <c r="CD206" s="215"/>
      <c r="CE206" s="215"/>
      <c r="CF206" s="215"/>
      <c r="CG206" s="215"/>
      <c r="CH206" s="215"/>
      <c r="CI206" s="215"/>
      <c r="CJ206" s="215"/>
      <c r="CK206" s="215"/>
      <c r="CL206" s="215"/>
      <c r="CM206" s="215"/>
      <c r="CN206" s="215"/>
      <c r="CO206" s="215"/>
      <c r="CP206" s="215"/>
      <c r="CQ206" s="215"/>
      <c r="CR206" s="215"/>
      <c r="CS206" s="215"/>
      <c r="CT206" s="215"/>
      <c r="CU206" s="215"/>
      <c r="CV206" s="215"/>
      <c r="CW206" s="215"/>
      <c r="CX206" s="215"/>
      <c r="CY206" s="215"/>
      <c r="CZ206" s="215"/>
      <c r="DA206" s="215"/>
      <c r="DB206" s="215"/>
      <c r="DC206" s="215"/>
      <c r="DD206" s="215"/>
      <c r="DE206" s="215"/>
      <c r="DF206" s="215"/>
      <c r="DG206" s="215"/>
      <c r="DH206" s="215"/>
      <c r="DI206" s="215"/>
      <c r="DJ206" s="215"/>
      <c r="DK206" s="215"/>
      <c r="DL206" s="215"/>
      <c r="DM206" s="215"/>
      <c r="DN206" s="215"/>
      <c r="DO206" s="215"/>
      <c r="DP206" s="215"/>
      <c r="DQ206" s="215"/>
      <c r="DR206" s="215"/>
      <c r="DS206" s="215"/>
      <c r="DT206" s="215"/>
      <c r="DU206" s="215"/>
      <c r="DV206" s="215"/>
      <c r="DW206" s="215"/>
      <c r="DX206" s="215"/>
      <c r="DY206" s="215"/>
      <c r="DZ206" s="215"/>
      <c r="EA206" s="215"/>
      <c r="EB206" s="215"/>
      <c r="EC206" s="215"/>
      <c r="ED206" s="215"/>
      <c r="EE206" s="215"/>
      <c r="EF206" s="215"/>
      <c r="EG206" s="215"/>
      <c r="EH206" s="215"/>
      <c r="EI206" s="215"/>
      <c r="EJ206" s="215"/>
      <c r="EK206" s="215"/>
      <c r="EL206" s="215"/>
      <c r="EM206" s="215"/>
      <c r="EN206" s="215"/>
      <c r="EO206" s="215"/>
      <c r="EP206" s="215"/>
      <c r="EQ206" s="215"/>
      <c r="ER206" s="215"/>
      <c r="ES206" s="215"/>
      <c r="ET206" s="215"/>
      <c r="EU206" s="215"/>
      <c r="EV206" s="215"/>
      <c r="EW206" s="215"/>
      <c r="EX206" s="215"/>
      <c r="EY206" s="215"/>
      <c r="EZ206" s="215"/>
      <c r="FA206" s="215"/>
      <c r="FB206" s="215"/>
      <c r="FC206" s="215"/>
      <c r="FD206" s="215"/>
      <c r="FE206" s="215"/>
      <c r="FF206" s="215"/>
      <c r="FG206" s="215"/>
      <c r="FH206" s="215"/>
      <c r="FI206" s="215"/>
      <c r="FJ206" s="215"/>
      <c r="FK206" s="215"/>
      <c r="FL206" s="215"/>
      <c r="FM206" s="215"/>
      <c r="FN206" s="215"/>
      <c r="FO206" s="215"/>
      <c r="FP206" s="215"/>
      <c r="FQ206" s="215"/>
      <c r="FR206" s="215"/>
      <c r="FS206" s="215"/>
      <c r="FT206" s="215"/>
      <c r="FU206" s="215"/>
      <c r="FV206" s="215"/>
      <c r="FW206" s="215"/>
      <c r="FX206" s="215"/>
      <c r="FY206" s="215"/>
      <c r="FZ206" s="215"/>
      <c r="GA206" s="215"/>
      <c r="GB206" s="215"/>
      <c r="GC206" s="215"/>
      <c r="GD206" s="215"/>
      <c r="GE206" s="215"/>
      <c r="GF206" s="215"/>
      <c r="GG206" s="215"/>
      <c r="GH206" s="215"/>
      <c r="GI206" s="215"/>
      <c r="GJ206" s="215"/>
    </row>
    <row r="207" spans="1:16384" ht="15" x14ac:dyDescent="0.2">
      <c r="C207" s="600"/>
      <c r="D207" s="601"/>
      <c r="E207" s="602"/>
      <c r="F207" s="600"/>
      <c r="G207" s="600"/>
      <c r="H207" s="603"/>
      <c r="I207" s="601"/>
      <c r="J207" s="603"/>
      <c r="K207" s="600"/>
      <c r="L207" s="600"/>
      <c r="M207" s="603"/>
      <c r="N207" s="605"/>
      <c r="O207" s="606"/>
      <c r="AW207" s="215"/>
      <c r="AX207" s="215"/>
      <c r="AY207" s="215"/>
      <c r="AZ207" s="215"/>
      <c r="BA207" s="215"/>
      <c r="BB207" s="215"/>
      <c r="BC207" s="215"/>
      <c r="BD207" s="215"/>
      <c r="BE207" s="215"/>
      <c r="BF207" s="215"/>
      <c r="BG207" s="215"/>
      <c r="BH207" s="215"/>
      <c r="BI207" s="215"/>
      <c r="BJ207" s="215"/>
      <c r="BK207" s="215"/>
      <c r="BL207" s="215"/>
      <c r="BM207" s="215"/>
      <c r="BN207" s="215"/>
      <c r="BO207" s="215"/>
      <c r="BP207" s="215"/>
      <c r="BQ207" s="215"/>
      <c r="BR207" s="215"/>
      <c r="BS207" s="215"/>
      <c r="BT207" s="215"/>
      <c r="BU207" s="215"/>
      <c r="BV207" s="215"/>
      <c r="BW207" s="215"/>
      <c r="BX207" s="215"/>
      <c r="BY207" s="215"/>
      <c r="BZ207" s="215"/>
      <c r="CA207" s="215"/>
      <c r="CB207" s="215"/>
      <c r="CC207" s="215"/>
      <c r="CD207" s="215"/>
      <c r="CE207" s="215"/>
      <c r="CF207" s="215"/>
      <c r="CG207" s="215"/>
      <c r="CH207" s="215"/>
      <c r="CI207" s="215"/>
      <c r="CJ207" s="215"/>
      <c r="CK207" s="215"/>
      <c r="CL207" s="215"/>
      <c r="CM207" s="215"/>
      <c r="CN207" s="215"/>
      <c r="CO207" s="215"/>
      <c r="CP207" s="215"/>
      <c r="CQ207" s="215"/>
      <c r="CR207" s="215"/>
      <c r="CS207" s="215"/>
      <c r="CT207" s="215"/>
      <c r="CU207" s="215"/>
      <c r="CV207" s="215"/>
      <c r="CW207" s="215"/>
      <c r="CX207" s="215"/>
      <c r="CY207" s="215"/>
      <c r="CZ207" s="215"/>
      <c r="DA207" s="215"/>
      <c r="DB207" s="215"/>
      <c r="DC207" s="215"/>
      <c r="DD207" s="215"/>
      <c r="DE207" s="215"/>
      <c r="DF207" s="215"/>
      <c r="DG207" s="215"/>
      <c r="DH207" s="215"/>
      <c r="DI207" s="215"/>
      <c r="DJ207" s="215"/>
      <c r="DK207" s="215"/>
      <c r="DL207" s="215"/>
      <c r="DM207" s="215"/>
      <c r="DN207" s="215"/>
      <c r="DO207" s="215"/>
      <c r="DP207" s="215"/>
      <c r="DQ207" s="215"/>
      <c r="DR207" s="215"/>
      <c r="DS207" s="215"/>
      <c r="DT207" s="215"/>
      <c r="DU207" s="215"/>
      <c r="DV207" s="215"/>
      <c r="DW207" s="215"/>
      <c r="DX207" s="215"/>
      <c r="DY207" s="215"/>
      <c r="DZ207" s="215"/>
      <c r="EA207" s="215"/>
      <c r="EB207" s="215"/>
      <c r="EC207" s="215"/>
      <c r="ED207" s="215"/>
      <c r="EE207" s="215"/>
      <c r="EF207" s="215"/>
      <c r="EG207" s="215"/>
      <c r="EH207" s="215"/>
      <c r="EI207" s="215"/>
      <c r="EJ207" s="215"/>
      <c r="EK207" s="215"/>
      <c r="EL207" s="215"/>
      <c r="EM207" s="215"/>
      <c r="EN207" s="215"/>
      <c r="EO207" s="215"/>
      <c r="EP207" s="215"/>
      <c r="EQ207" s="215"/>
      <c r="ER207" s="215"/>
      <c r="ES207" s="215"/>
      <c r="ET207" s="215"/>
      <c r="EU207" s="215"/>
      <c r="EV207" s="215"/>
      <c r="EW207" s="215"/>
      <c r="EX207" s="215"/>
      <c r="EY207" s="215"/>
      <c r="EZ207" s="215"/>
      <c r="FA207" s="215"/>
      <c r="FB207" s="215"/>
      <c r="FC207" s="215"/>
      <c r="FD207" s="215"/>
      <c r="FE207" s="215"/>
      <c r="FF207" s="215"/>
      <c r="FG207" s="215"/>
      <c r="FH207" s="215"/>
      <c r="FI207" s="215"/>
      <c r="FJ207" s="215"/>
      <c r="FK207" s="215"/>
      <c r="FL207" s="215"/>
      <c r="FM207" s="215"/>
      <c r="FN207" s="215"/>
      <c r="FO207" s="215"/>
      <c r="FP207" s="215"/>
      <c r="FQ207" s="215"/>
      <c r="FR207" s="215"/>
      <c r="FS207" s="215"/>
      <c r="FT207" s="215"/>
      <c r="FU207" s="215"/>
      <c r="FV207" s="215"/>
      <c r="FW207" s="215"/>
      <c r="FX207" s="215"/>
      <c r="FY207" s="215"/>
      <c r="FZ207" s="215"/>
      <c r="GA207" s="215"/>
      <c r="GB207" s="215"/>
      <c r="GC207" s="215"/>
      <c r="GD207" s="215"/>
      <c r="GE207" s="215"/>
      <c r="GF207" s="215"/>
      <c r="GG207" s="215"/>
      <c r="GH207" s="215"/>
      <c r="GI207" s="215"/>
      <c r="GJ207" s="215"/>
    </row>
    <row r="208" spans="1:16384" x14ac:dyDescent="0.2">
      <c r="AW208" s="215"/>
      <c r="AX208" s="215"/>
      <c r="AY208" s="215"/>
      <c r="AZ208" s="215"/>
      <c r="BA208" s="215"/>
      <c r="BB208" s="215"/>
      <c r="BC208" s="215"/>
      <c r="BD208" s="215"/>
      <c r="BE208" s="215"/>
      <c r="BF208" s="215"/>
      <c r="BG208" s="215"/>
      <c r="BH208" s="215"/>
      <c r="BI208" s="215"/>
      <c r="BJ208" s="215"/>
      <c r="BK208" s="215"/>
      <c r="BL208" s="215"/>
      <c r="BM208" s="215"/>
      <c r="BN208" s="215"/>
      <c r="BO208" s="215"/>
      <c r="BP208" s="215"/>
      <c r="BQ208" s="215"/>
      <c r="BR208" s="215"/>
      <c r="BS208" s="215"/>
      <c r="BT208" s="215"/>
      <c r="BU208" s="215"/>
      <c r="BV208" s="215"/>
      <c r="BW208" s="215"/>
      <c r="BX208" s="215"/>
      <c r="BY208" s="215"/>
      <c r="BZ208" s="215"/>
      <c r="CA208" s="215"/>
      <c r="CB208" s="215"/>
      <c r="CC208" s="215"/>
      <c r="CD208" s="215"/>
      <c r="CE208" s="215"/>
      <c r="CF208" s="215"/>
      <c r="CG208" s="215"/>
      <c r="CH208" s="215"/>
      <c r="CI208" s="215"/>
      <c r="CJ208" s="215"/>
      <c r="CK208" s="215"/>
      <c r="CL208" s="215"/>
      <c r="CM208" s="215"/>
      <c r="CN208" s="215"/>
      <c r="CO208" s="215"/>
      <c r="CP208" s="215"/>
      <c r="CQ208" s="215"/>
      <c r="CR208" s="215"/>
      <c r="CS208" s="215"/>
      <c r="CT208" s="215"/>
      <c r="CU208" s="215"/>
      <c r="CV208" s="215"/>
      <c r="CW208" s="215"/>
      <c r="CX208" s="215"/>
      <c r="CY208" s="215"/>
      <c r="CZ208" s="215"/>
      <c r="DA208" s="215"/>
      <c r="DB208" s="215"/>
      <c r="DC208" s="215"/>
      <c r="DD208" s="215"/>
      <c r="DE208" s="215"/>
      <c r="DF208" s="215"/>
      <c r="DG208" s="215"/>
      <c r="DH208" s="215"/>
      <c r="DI208" s="215"/>
      <c r="DJ208" s="215"/>
      <c r="DK208" s="215"/>
      <c r="DL208" s="215"/>
      <c r="DM208" s="215"/>
      <c r="DN208" s="215"/>
      <c r="DO208" s="215"/>
      <c r="DP208" s="215"/>
      <c r="DQ208" s="215"/>
      <c r="DR208" s="215"/>
      <c r="DS208" s="215"/>
      <c r="DT208" s="215"/>
      <c r="DU208" s="215"/>
      <c r="DV208" s="215"/>
      <c r="DW208" s="215"/>
      <c r="DX208" s="215"/>
      <c r="DY208" s="215"/>
      <c r="DZ208" s="215"/>
      <c r="EA208" s="215"/>
      <c r="EB208" s="215"/>
      <c r="EC208" s="215"/>
      <c r="ED208" s="215"/>
      <c r="EE208" s="215"/>
      <c r="EF208" s="215"/>
      <c r="EG208" s="215"/>
      <c r="EH208" s="215"/>
      <c r="EI208" s="215"/>
      <c r="EJ208" s="215"/>
      <c r="EK208" s="215"/>
      <c r="EL208" s="215"/>
      <c r="EM208" s="215"/>
      <c r="EN208" s="215"/>
      <c r="EO208" s="215"/>
      <c r="EP208" s="215"/>
      <c r="EQ208" s="215"/>
      <c r="ER208" s="215"/>
      <c r="ES208" s="215"/>
      <c r="ET208" s="215"/>
      <c r="EU208" s="215"/>
      <c r="EV208" s="215"/>
      <c r="EW208" s="215"/>
      <c r="EX208" s="215"/>
      <c r="EY208" s="215"/>
      <c r="EZ208" s="215"/>
      <c r="FA208" s="215"/>
      <c r="FB208" s="215"/>
      <c r="FC208" s="215"/>
      <c r="FD208" s="215"/>
      <c r="FE208" s="215"/>
      <c r="FF208" s="215"/>
      <c r="FG208" s="215"/>
      <c r="FH208" s="215"/>
      <c r="FI208" s="215"/>
      <c r="FJ208" s="215"/>
      <c r="FK208" s="215"/>
      <c r="FL208" s="215"/>
      <c r="FM208" s="215"/>
      <c r="FN208" s="215"/>
      <c r="FO208" s="215"/>
      <c r="FP208" s="215"/>
      <c r="FQ208" s="215"/>
      <c r="FR208" s="215"/>
      <c r="FS208" s="215"/>
      <c r="FT208" s="215"/>
      <c r="FU208" s="215"/>
      <c r="FV208" s="215"/>
      <c r="FW208" s="215"/>
      <c r="FX208" s="215"/>
      <c r="FY208" s="215"/>
      <c r="FZ208" s="215"/>
      <c r="GA208" s="215"/>
      <c r="GB208" s="215"/>
      <c r="GC208" s="215"/>
      <c r="GD208" s="215"/>
      <c r="GE208" s="215"/>
      <c r="GF208" s="215"/>
      <c r="GG208" s="215"/>
      <c r="GH208" s="215"/>
      <c r="GI208" s="215"/>
      <c r="GJ208" s="215"/>
    </row>
    <row r="209" spans="49:192" x14ac:dyDescent="0.2">
      <c r="AW209" s="215"/>
      <c r="AX209" s="215"/>
      <c r="AY209" s="215"/>
      <c r="AZ209" s="215"/>
      <c r="BA209" s="215"/>
      <c r="BB209" s="215"/>
      <c r="BC209" s="215"/>
      <c r="BD209" s="215"/>
      <c r="BE209" s="215"/>
      <c r="BF209" s="215"/>
      <c r="BG209" s="215"/>
      <c r="BH209" s="215"/>
      <c r="BI209" s="215"/>
      <c r="BJ209" s="215"/>
      <c r="BK209" s="215"/>
      <c r="BL209" s="215"/>
      <c r="BM209" s="215"/>
      <c r="BN209" s="215"/>
      <c r="BO209" s="215"/>
      <c r="BP209" s="215"/>
      <c r="BQ209" s="215"/>
      <c r="BR209" s="215"/>
      <c r="BS209" s="215"/>
      <c r="BT209" s="215"/>
      <c r="BU209" s="215"/>
      <c r="BV209" s="215"/>
      <c r="BW209" s="215"/>
      <c r="BX209" s="215"/>
      <c r="BY209" s="215"/>
      <c r="BZ209" s="215"/>
      <c r="CA209" s="215"/>
      <c r="CB209" s="215"/>
      <c r="CC209" s="215"/>
      <c r="CD209" s="215"/>
      <c r="CE209" s="215"/>
      <c r="CF209" s="215"/>
      <c r="CG209" s="215"/>
      <c r="CH209" s="215"/>
      <c r="CI209" s="215"/>
      <c r="CJ209" s="215"/>
      <c r="CK209" s="215"/>
      <c r="CL209" s="215"/>
      <c r="CM209" s="215"/>
      <c r="CN209" s="215"/>
      <c r="CO209" s="215"/>
      <c r="CP209" s="215"/>
      <c r="CQ209" s="215"/>
      <c r="CR209" s="215"/>
      <c r="CS209" s="215"/>
      <c r="CT209" s="215"/>
      <c r="CU209" s="215"/>
      <c r="CV209" s="215"/>
      <c r="CW209" s="215"/>
      <c r="CX209" s="215"/>
      <c r="CY209" s="215"/>
      <c r="CZ209" s="215"/>
      <c r="DA209" s="215"/>
      <c r="DB209" s="215"/>
      <c r="DC209" s="215"/>
      <c r="DD209" s="215"/>
      <c r="DE209" s="215"/>
      <c r="DF209" s="215"/>
      <c r="DG209" s="215"/>
      <c r="DH209" s="215"/>
      <c r="DI209" s="215"/>
      <c r="DJ209" s="215"/>
      <c r="DK209" s="215"/>
      <c r="DL209" s="215"/>
      <c r="DM209" s="215"/>
      <c r="DN209" s="215"/>
      <c r="DO209" s="215"/>
      <c r="DP209" s="215"/>
      <c r="DQ209" s="215"/>
      <c r="DR209" s="215"/>
      <c r="DS209" s="215"/>
      <c r="DT209" s="215"/>
      <c r="DU209" s="215"/>
      <c r="DV209" s="215"/>
      <c r="DW209" s="215"/>
      <c r="DX209" s="215"/>
      <c r="DY209" s="215"/>
      <c r="DZ209" s="215"/>
      <c r="EA209" s="215"/>
      <c r="EB209" s="215"/>
      <c r="EC209" s="215"/>
      <c r="ED209" s="215"/>
      <c r="EE209" s="215"/>
      <c r="EF209" s="215"/>
      <c r="EG209" s="215"/>
      <c r="EH209" s="215"/>
      <c r="EI209" s="215"/>
      <c r="EJ209" s="215"/>
      <c r="EK209" s="215"/>
      <c r="EL209" s="215"/>
      <c r="EM209" s="215"/>
      <c r="EN209" s="215"/>
      <c r="EO209" s="215"/>
      <c r="EP209" s="215"/>
      <c r="EQ209" s="215"/>
      <c r="ER209" s="215"/>
      <c r="ES209" s="215"/>
      <c r="ET209" s="215"/>
      <c r="EU209" s="215"/>
      <c r="EV209" s="215"/>
      <c r="EW209" s="215"/>
      <c r="EX209" s="215"/>
      <c r="EY209" s="215"/>
      <c r="EZ209" s="215"/>
      <c r="FA209" s="215"/>
      <c r="FB209" s="215"/>
      <c r="FC209" s="215"/>
      <c r="FD209" s="215"/>
      <c r="FE209" s="215"/>
      <c r="FF209" s="215"/>
      <c r="FG209" s="215"/>
      <c r="FH209" s="215"/>
      <c r="FI209" s="215"/>
      <c r="FJ209" s="215"/>
      <c r="FK209" s="215"/>
      <c r="FL209" s="215"/>
      <c r="FM209" s="215"/>
      <c r="FN209" s="215"/>
      <c r="FO209" s="215"/>
      <c r="FP209" s="215"/>
      <c r="FQ209" s="215"/>
      <c r="FR209" s="215"/>
      <c r="FS209" s="215"/>
      <c r="FT209" s="215"/>
      <c r="FU209" s="215"/>
      <c r="FV209" s="215"/>
      <c r="FW209" s="215"/>
      <c r="FX209" s="215"/>
      <c r="FY209" s="215"/>
      <c r="FZ209" s="215"/>
      <c r="GA209" s="215"/>
      <c r="GB209" s="215"/>
      <c r="GC209" s="215"/>
      <c r="GD209" s="215"/>
      <c r="GE209" s="215"/>
      <c r="GF209" s="215"/>
      <c r="GG209" s="215"/>
      <c r="GH209" s="215"/>
      <c r="GI209" s="215"/>
      <c r="GJ209" s="215"/>
    </row>
    <row r="210" spans="49:192" x14ac:dyDescent="0.2">
      <c r="AW210" s="215"/>
      <c r="AX210" s="215"/>
      <c r="AY210" s="215"/>
      <c r="AZ210" s="215"/>
      <c r="BA210" s="215"/>
      <c r="BB210" s="215"/>
      <c r="BC210" s="215"/>
      <c r="BD210" s="215"/>
      <c r="BE210" s="215"/>
      <c r="BF210" s="215"/>
      <c r="BG210" s="215"/>
      <c r="BH210" s="215"/>
      <c r="BI210" s="215"/>
      <c r="BJ210" s="215"/>
      <c r="BK210" s="215"/>
      <c r="BL210" s="215"/>
      <c r="BM210" s="215"/>
      <c r="BN210" s="215"/>
      <c r="BO210" s="215"/>
      <c r="BP210" s="215"/>
      <c r="BQ210" s="215"/>
      <c r="BR210" s="215"/>
      <c r="BS210" s="215"/>
      <c r="BT210" s="215"/>
      <c r="BU210" s="215"/>
      <c r="BV210" s="215"/>
      <c r="BW210" s="215"/>
      <c r="BX210" s="215"/>
      <c r="BY210" s="215"/>
      <c r="BZ210" s="215"/>
      <c r="CA210" s="215"/>
      <c r="CB210" s="215"/>
      <c r="CC210" s="215"/>
      <c r="CD210" s="215"/>
      <c r="CE210" s="215"/>
      <c r="CF210" s="215"/>
      <c r="CG210" s="215"/>
      <c r="CH210" s="215"/>
      <c r="CI210" s="215"/>
      <c r="CJ210" s="215"/>
      <c r="CK210" s="215"/>
      <c r="CL210" s="215"/>
      <c r="CM210" s="215"/>
      <c r="CN210" s="215"/>
      <c r="CO210" s="215"/>
      <c r="CP210" s="215"/>
      <c r="CQ210" s="215"/>
      <c r="CR210" s="215"/>
      <c r="CS210" s="215"/>
      <c r="CT210" s="215"/>
      <c r="CU210" s="215"/>
      <c r="CV210" s="215"/>
      <c r="CW210" s="215"/>
      <c r="CX210" s="215"/>
      <c r="CY210" s="215"/>
      <c r="CZ210" s="215"/>
      <c r="DA210" s="215"/>
      <c r="DB210" s="215"/>
      <c r="DC210" s="215"/>
      <c r="DD210" s="215"/>
      <c r="DE210" s="215"/>
      <c r="DF210" s="215"/>
      <c r="DG210" s="215"/>
      <c r="DH210" s="215"/>
      <c r="DI210" s="215"/>
      <c r="DJ210" s="215"/>
      <c r="DK210" s="215"/>
      <c r="DL210" s="215"/>
      <c r="DM210" s="215"/>
      <c r="DN210" s="215"/>
      <c r="DO210" s="215"/>
      <c r="DP210" s="215"/>
      <c r="DQ210" s="215"/>
      <c r="DR210" s="215"/>
      <c r="DS210" s="215"/>
      <c r="DT210" s="215"/>
      <c r="DU210" s="215"/>
      <c r="DV210" s="215"/>
      <c r="DW210" s="215"/>
      <c r="DX210" s="215"/>
      <c r="DY210" s="215"/>
      <c r="DZ210" s="215"/>
      <c r="EA210" s="215"/>
      <c r="EB210" s="215"/>
      <c r="EC210" s="215"/>
      <c r="ED210" s="215"/>
      <c r="EE210" s="215"/>
      <c r="EF210" s="215"/>
      <c r="EG210" s="215"/>
      <c r="EH210" s="215"/>
      <c r="EI210" s="215"/>
      <c r="EJ210" s="215"/>
      <c r="EK210" s="215"/>
      <c r="EL210" s="215"/>
      <c r="EM210" s="215"/>
      <c r="EN210" s="215"/>
      <c r="EO210" s="215"/>
      <c r="EP210" s="215"/>
      <c r="EQ210" s="215"/>
      <c r="ER210" s="215"/>
      <c r="ES210" s="215"/>
      <c r="ET210" s="215"/>
      <c r="EU210" s="215"/>
      <c r="EV210" s="215"/>
      <c r="EW210" s="215"/>
      <c r="EX210" s="215"/>
      <c r="EY210" s="215"/>
      <c r="EZ210" s="215"/>
      <c r="FA210" s="215"/>
      <c r="FB210" s="215"/>
      <c r="FC210" s="215"/>
      <c r="FD210" s="215"/>
      <c r="FE210" s="215"/>
      <c r="FF210" s="215"/>
      <c r="FG210" s="215"/>
      <c r="FH210" s="215"/>
      <c r="FI210" s="215"/>
      <c r="FJ210" s="215"/>
      <c r="FK210" s="215"/>
      <c r="FL210" s="215"/>
      <c r="FM210" s="215"/>
      <c r="FN210" s="215"/>
      <c r="FO210" s="215"/>
      <c r="FP210" s="215"/>
      <c r="FQ210" s="215"/>
      <c r="FR210" s="215"/>
      <c r="FS210" s="215"/>
      <c r="FT210" s="215"/>
      <c r="FU210" s="215"/>
      <c r="FV210" s="215"/>
      <c r="FW210" s="215"/>
      <c r="FX210" s="215"/>
      <c r="FY210" s="215"/>
      <c r="FZ210" s="215"/>
      <c r="GA210" s="215"/>
      <c r="GB210" s="215"/>
      <c r="GC210" s="215"/>
      <c r="GD210" s="215"/>
      <c r="GE210" s="215"/>
      <c r="GF210" s="215"/>
      <c r="GG210" s="215"/>
      <c r="GH210" s="215"/>
      <c r="GI210" s="215"/>
      <c r="GJ210" s="215"/>
    </row>
    <row r="211" spans="49:192" x14ac:dyDescent="0.2">
      <c r="AW211" s="215"/>
      <c r="AX211" s="215"/>
      <c r="AY211" s="215"/>
      <c r="AZ211" s="215"/>
      <c r="BA211" s="215"/>
      <c r="BB211" s="215"/>
      <c r="BC211" s="215"/>
      <c r="BD211" s="215"/>
      <c r="BE211" s="215"/>
      <c r="BF211" s="215"/>
      <c r="BG211" s="215"/>
      <c r="BH211" s="215"/>
      <c r="BI211" s="215"/>
      <c r="BJ211" s="215"/>
      <c r="BK211" s="215"/>
      <c r="BL211" s="215"/>
      <c r="BM211" s="215"/>
      <c r="BN211" s="215"/>
      <c r="BO211" s="215"/>
      <c r="BP211" s="215"/>
      <c r="BQ211" s="215"/>
      <c r="BR211" s="215"/>
      <c r="BS211" s="215"/>
      <c r="BT211" s="215"/>
      <c r="BU211" s="215"/>
      <c r="BV211" s="215"/>
      <c r="BW211" s="215"/>
      <c r="BX211" s="215"/>
      <c r="BY211" s="215"/>
      <c r="BZ211" s="215"/>
      <c r="CA211" s="215"/>
      <c r="CB211" s="215"/>
      <c r="CC211" s="215"/>
      <c r="CD211" s="215"/>
      <c r="CE211" s="215"/>
      <c r="CF211" s="215"/>
      <c r="CG211" s="215"/>
      <c r="CH211" s="215"/>
      <c r="CI211" s="215"/>
      <c r="CJ211" s="215"/>
      <c r="CK211" s="215"/>
      <c r="CL211" s="215"/>
      <c r="CM211" s="215"/>
      <c r="CN211" s="215"/>
      <c r="CO211" s="215"/>
      <c r="CP211" s="215"/>
      <c r="CQ211" s="215"/>
      <c r="CR211" s="215"/>
      <c r="CS211" s="215"/>
      <c r="CT211" s="215"/>
      <c r="CU211" s="215"/>
      <c r="CV211" s="215"/>
      <c r="CW211" s="215"/>
      <c r="CX211" s="215"/>
      <c r="CY211" s="215"/>
      <c r="CZ211" s="215"/>
      <c r="DA211" s="215"/>
      <c r="DB211" s="215"/>
      <c r="DC211" s="215"/>
      <c r="DD211" s="215"/>
      <c r="DE211" s="215"/>
      <c r="DF211" s="215"/>
      <c r="DG211" s="215"/>
      <c r="DH211" s="215"/>
      <c r="DI211" s="215"/>
      <c r="DJ211" s="215"/>
      <c r="DK211" s="215"/>
      <c r="DL211" s="215"/>
      <c r="DM211" s="215"/>
      <c r="DN211" s="215"/>
      <c r="DO211" s="215"/>
      <c r="DP211" s="215"/>
      <c r="DQ211" s="215"/>
      <c r="DR211" s="215"/>
      <c r="DS211" s="215"/>
      <c r="DT211" s="215"/>
      <c r="DU211" s="215"/>
      <c r="DV211" s="215"/>
      <c r="DW211" s="215"/>
      <c r="DX211" s="215"/>
      <c r="DY211" s="215"/>
      <c r="DZ211" s="215"/>
      <c r="EA211" s="215"/>
      <c r="EB211" s="215"/>
      <c r="EC211" s="215"/>
      <c r="ED211" s="215"/>
      <c r="EE211" s="215"/>
      <c r="EF211" s="215"/>
      <c r="EG211" s="215"/>
      <c r="EH211" s="215"/>
      <c r="EI211" s="215"/>
      <c r="EJ211" s="215"/>
      <c r="EK211" s="215"/>
      <c r="EL211" s="215"/>
      <c r="EM211" s="215"/>
      <c r="EN211" s="215"/>
      <c r="EO211" s="215"/>
      <c r="EP211" s="215"/>
      <c r="EQ211" s="215"/>
      <c r="ER211" s="215"/>
      <c r="ES211" s="215"/>
      <c r="ET211" s="215"/>
      <c r="EU211" s="215"/>
      <c r="EV211" s="215"/>
      <c r="EW211" s="215"/>
      <c r="EX211" s="215"/>
      <c r="EY211" s="215"/>
      <c r="EZ211" s="215"/>
      <c r="FA211" s="215"/>
      <c r="FB211" s="215"/>
      <c r="FC211" s="215"/>
      <c r="FD211" s="215"/>
      <c r="FE211" s="215"/>
      <c r="FF211" s="215"/>
      <c r="FG211" s="215"/>
      <c r="FH211" s="215"/>
      <c r="FI211" s="215"/>
      <c r="FJ211" s="215"/>
      <c r="FK211" s="215"/>
      <c r="FL211" s="215"/>
      <c r="FM211" s="215"/>
      <c r="FN211" s="215"/>
      <c r="FO211" s="215"/>
      <c r="FP211" s="215"/>
      <c r="FQ211" s="215"/>
      <c r="FR211" s="215"/>
      <c r="FS211" s="215"/>
      <c r="FT211" s="215"/>
      <c r="FU211" s="215"/>
      <c r="FV211" s="215"/>
      <c r="FW211" s="215"/>
      <c r="FX211" s="215"/>
      <c r="FY211" s="215"/>
      <c r="FZ211" s="215"/>
      <c r="GA211" s="215"/>
      <c r="GB211" s="215"/>
      <c r="GC211" s="215"/>
      <c r="GD211" s="215"/>
      <c r="GE211" s="215"/>
      <c r="GF211" s="215"/>
      <c r="GG211" s="215"/>
      <c r="GH211" s="215"/>
      <c r="GI211" s="215"/>
      <c r="GJ211" s="215"/>
    </row>
    <row r="212" spans="49:192" x14ac:dyDescent="0.2">
      <c r="AW212" s="215"/>
      <c r="AX212" s="215"/>
      <c r="AY212" s="215"/>
      <c r="AZ212" s="215"/>
      <c r="BA212" s="215"/>
      <c r="BB212" s="215"/>
      <c r="BC212" s="215"/>
      <c r="BD212" s="215"/>
      <c r="BE212" s="215"/>
      <c r="BF212" s="215"/>
      <c r="BG212" s="215"/>
      <c r="BH212" s="215"/>
      <c r="BI212" s="215"/>
      <c r="BJ212" s="215"/>
      <c r="BK212" s="215"/>
      <c r="BL212" s="215"/>
      <c r="BM212" s="215"/>
      <c r="BN212" s="215"/>
      <c r="BO212" s="215"/>
      <c r="BP212" s="215"/>
      <c r="BQ212" s="215"/>
      <c r="BR212" s="215"/>
      <c r="BS212" s="215"/>
      <c r="BT212" s="215"/>
      <c r="BU212" s="215"/>
      <c r="BV212" s="215"/>
      <c r="BW212" s="215"/>
      <c r="BX212" s="215"/>
      <c r="BY212" s="215"/>
      <c r="BZ212" s="215"/>
      <c r="CA212" s="215"/>
      <c r="CB212" s="215"/>
      <c r="CC212" s="215"/>
      <c r="CD212" s="215"/>
      <c r="CE212" s="215"/>
      <c r="CF212" s="215"/>
      <c r="CG212" s="215"/>
      <c r="CH212" s="215"/>
      <c r="CI212" s="215"/>
      <c r="CJ212" s="215"/>
      <c r="CK212" s="215"/>
      <c r="CL212" s="215"/>
      <c r="CM212" s="215"/>
      <c r="CN212" s="215"/>
      <c r="CO212" s="215"/>
      <c r="CP212" s="215"/>
      <c r="CQ212" s="215"/>
      <c r="CR212" s="215"/>
      <c r="CS212" s="215"/>
      <c r="CT212" s="215"/>
      <c r="CU212" s="215"/>
      <c r="CV212" s="215"/>
      <c r="CW212" s="215"/>
      <c r="CX212" s="215"/>
      <c r="CY212" s="215"/>
      <c r="CZ212" s="215"/>
      <c r="DA212" s="215"/>
      <c r="DB212" s="215"/>
      <c r="DC212" s="215"/>
      <c r="DD212" s="215"/>
      <c r="DE212" s="215"/>
      <c r="DF212" s="215"/>
      <c r="DG212" s="215"/>
      <c r="DH212" s="215"/>
      <c r="DI212" s="215"/>
      <c r="DJ212" s="215"/>
      <c r="DK212" s="215"/>
      <c r="DL212" s="215"/>
      <c r="DM212" s="215"/>
      <c r="DN212" s="215"/>
      <c r="DO212" s="215"/>
      <c r="DP212" s="215"/>
      <c r="DQ212" s="215"/>
      <c r="DR212" s="215"/>
      <c r="DS212" s="215"/>
      <c r="DT212" s="215"/>
      <c r="DU212" s="215"/>
      <c r="DV212" s="215"/>
      <c r="DW212" s="215"/>
      <c r="DX212" s="215"/>
      <c r="DY212" s="215"/>
      <c r="DZ212" s="215"/>
      <c r="EA212" s="215"/>
      <c r="EB212" s="215"/>
      <c r="EC212" s="215"/>
      <c r="ED212" s="215"/>
      <c r="EE212" s="215"/>
      <c r="EF212" s="215"/>
      <c r="EG212" s="215"/>
      <c r="EH212" s="215"/>
      <c r="EI212" s="215"/>
      <c r="EJ212" s="215"/>
      <c r="EK212" s="215"/>
      <c r="EL212" s="215"/>
      <c r="EM212" s="215"/>
      <c r="EN212" s="215"/>
      <c r="EO212" s="215"/>
      <c r="EP212" s="215"/>
      <c r="EQ212" s="215"/>
      <c r="ER212" s="215"/>
      <c r="ES212" s="215"/>
      <c r="ET212" s="215"/>
      <c r="EU212" s="215"/>
      <c r="EV212" s="215"/>
      <c r="EW212" s="215"/>
      <c r="EX212" s="215"/>
      <c r="EY212" s="215"/>
      <c r="EZ212" s="215"/>
      <c r="FA212" s="215"/>
      <c r="FB212" s="215"/>
      <c r="FC212" s="215"/>
      <c r="FD212" s="215"/>
      <c r="FE212" s="215"/>
      <c r="FF212" s="215"/>
      <c r="FG212" s="215"/>
      <c r="FH212" s="215"/>
      <c r="FI212" s="215"/>
      <c r="FJ212" s="215"/>
      <c r="FK212" s="215"/>
      <c r="FL212" s="215"/>
      <c r="FM212" s="215"/>
      <c r="FN212" s="215"/>
      <c r="FO212" s="215"/>
      <c r="FP212" s="215"/>
      <c r="FQ212" s="215"/>
      <c r="FR212" s="215"/>
      <c r="FS212" s="215"/>
      <c r="FT212" s="215"/>
      <c r="FU212" s="215"/>
      <c r="FV212" s="215"/>
      <c r="FW212" s="215"/>
      <c r="FX212" s="215"/>
      <c r="FY212" s="215"/>
      <c r="FZ212" s="215"/>
      <c r="GA212" s="215"/>
      <c r="GB212" s="215"/>
      <c r="GC212" s="215"/>
      <c r="GD212" s="215"/>
      <c r="GE212" s="215"/>
      <c r="GF212" s="215"/>
      <c r="GG212" s="215"/>
      <c r="GH212" s="215"/>
      <c r="GI212" s="215"/>
      <c r="GJ212" s="215"/>
    </row>
    <row r="213" spans="49:192" x14ac:dyDescent="0.2">
      <c r="AW213" s="215"/>
      <c r="AX213" s="215"/>
      <c r="AY213" s="215"/>
      <c r="AZ213" s="215"/>
      <c r="BA213" s="215"/>
      <c r="BB213" s="215"/>
      <c r="BC213" s="215"/>
      <c r="BD213" s="215"/>
      <c r="BE213" s="215"/>
      <c r="BF213" s="215"/>
      <c r="BG213" s="215"/>
      <c r="BH213" s="215"/>
      <c r="BI213" s="215"/>
      <c r="BJ213" s="215"/>
      <c r="BK213" s="215"/>
      <c r="BL213" s="215"/>
      <c r="BM213" s="215"/>
      <c r="BN213" s="215"/>
      <c r="BO213" s="215"/>
      <c r="BP213" s="215"/>
      <c r="BQ213" s="215"/>
      <c r="BR213" s="215"/>
      <c r="BS213" s="215"/>
      <c r="BT213" s="215"/>
      <c r="BU213" s="215"/>
      <c r="BV213" s="215"/>
      <c r="BW213" s="215"/>
      <c r="BX213" s="215"/>
      <c r="BY213" s="215"/>
      <c r="BZ213" s="215"/>
      <c r="CA213" s="215"/>
      <c r="CB213" s="215"/>
      <c r="CC213" s="215"/>
      <c r="CD213" s="215"/>
      <c r="CE213" s="215"/>
      <c r="CF213" s="215"/>
      <c r="CG213" s="215"/>
      <c r="CH213" s="215"/>
      <c r="CI213" s="215"/>
      <c r="CJ213" s="215"/>
      <c r="CK213" s="215"/>
      <c r="CL213" s="215"/>
      <c r="CM213" s="215"/>
      <c r="CN213" s="215"/>
      <c r="CO213" s="215"/>
      <c r="CP213" s="215"/>
      <c r="CQ213" s="215"/>
      <c r="CR213" s="215"/>
      <c r="CS213" s="215"/>
      <c r="CT213" s="215"/>
      <c r="CU213" s="215"/>
      <c r="CV213" s="215"/>
      <c r="CW213" s="215"/>
      <c r="CX213" s="215"/>
      <c r="CY213" s="215"/>
      <c r="CZ213" s="215"/>
      <c r="DA213" s="215"/>
      <c r="DB213" s="215"/>
      <c r="DC213" s="215"/>
      <c r="DD213" s="215"/>
      <c r="DE213" s="215"/>
      <c r="DF213" s="215"/>
      <c r="DG213" s="215"/>
      <c r="DH213" s="215"/>
      <c r="DI213" s="215"/>
      <c r="DJ213" s="215"/>
      <c r="DK213" s="215"/>
      <c r="DL213" s="215"/>
      <c r="DM213" s="215"/>
      <c r="DN213" s="215"/>
      <c r="DO213" s="215"/>
      <c r="DP213" s="215"/>
      <c r="DQ213" s="215"/>
      <c r="DR213" s="215"/>
      <c r="DS213" s="215"/>
      <c r="DT213" s="215"/>
      <c r="DU213" s="215"/>
      <c r="DV213" s="215"/>
      <c r="DW213" s="215"/>
      <c r="DX213" s="215"/>
      <c r="DY213" s="215"/>
      <c r="DZ213" s="215"/>
      <c r="EA213" s="215"/>
      <c r="EB213" s="215"/>
      <c r="EC213" s="215"/>
      <c r="ED213" s="215"/>
      <c r="EE213" s="215"/>
      <c r="EF213" s="215"/>
      <c r="EG213" s="215"/>
      <c r="EH213" s="215"/>
      <c r="EI213" s="215"/>
      <c r="EJ213" s="215"/>
      <c r="EK213" s="215"/>
      <c r="EL213" s="215"/>
      <c r="EM213" s="215"/>
      <c r="EN213" s="215"/>
      <c r="EO213" s="215"/>
      <c r="EP213" s="215"/>
      <c r="EQ213" s="215"/>
      <c r="ER213" s="215"/>
      <c r="ES213" s="215"/>
      <c r="ET213" s="215"/>
      <c r="EU213" s="215"/>
      <c r="EV213" s="215"/>
      <c r="EW213" s="215"/>
      <c r="EX213" s="215"/>
      <c r="EY213" s="215"/>
      <c r="EZ213" s="215"/>
      <c r="FA213" s="215"/>
      <c r="FB213" s="215"/>
      <c r="FC213" s="215"/>
      <c r="FD213" s="215"/>
      <c r="FE213" s="215"/>
      <c r="FF213" s="215"/>
      <c r="FG213" s="215"/>
      <c r="FH213" s="215"/>
      <c r="FI213" s="215"/>
      <c r="FJ213" s="215"/>
      <c r="FK213" s="215"/>
      <c r="FL213" s="215"/>
      <c r="FM213" s="215"/>
      <c r="FN213" s="215"/>
      <c r="FO213" s="215"/>
      <c r="FP213" s="215"/>
      <c r="FQ213" s="215"/>
      <c r="FR213" s="215"/>
      <c r="FS213" s="215"/>
      <c r="FT213" s="215"/>
      <c r="FU213" s="215"/>
      <c r="FV213" s="215"/>
      <c r="FW213" s="215"/>
      <c r="FX213" s="215"/>
      <c r="FY213" s="215"/>
      <c r="FZ213" s="215"/>
      <c r="GA213" s="215"/>
      <c r="GB213" s="215"/>
      <c r="GC213" s="215"/>
      <c r="GD213" s="215"/>
      <c r="GE213" s="215"/>
      <c r="GF213" s="215"/>
      <c r="GG213" s="215"/>
      <c r="GH213" s="215"/>
      <c r="GI213" s="215"/>
      <c r="GJ213" s="215"/>
    </row>
    <row r="214" spans="49:192" x14ac:dyDescent="0.2">
      <c r="AW214" s="215"/>
      <c r="AX214" s="215"/>
      <c r="AY214" s="215"/>
      <c r="AZ214" s="215"/>
      <c r="BA214" s="215"/>
      <c r="BB214" s="215"/>
      <c r="BC214" s="215"/>
      <c r="BD214" s="215"/>
      <c r="BE214" s="215"/>
      <c r="BF214" s="215"/>
      <c r="BG214" s="215"/>
      <c r="BH214" s="215"/>
      <c r="BI214" s="215"/>
      <c r="BJ214" s="215"/>
      <c r="BK214" s="215"/>
      <c r="BL214" s="215"/>
      <c r="BM214" s="215"/>
      <c r="BN214" s="215"/>
      <c r="BO214" s="215"/>
      <c r="BP214" s="215"/>
      <c r="BQ214" s="215"/>
      <c r="BR214" s="215"/>
      <c r="BS214" s="215"/>
      <c r="BT214" s="215"/>
      <c r="BU214" s="215"/>
      <c r="BV214" s="215"/>
      <c r="BW214" s="215"/>
      <c r="BX214" s="215"/>
      <c r="BY214" s="215"/>
      <c r="BZ214" s="215"/>
      <c r="CA214" s="215"/>
      <c r="CB214" s="215"/>
      <c r="CC214" s="215"/>
      <c r="CD214" s="215"/>
      <c r="CE214" s="215"/>
      <c r="CF214" s="215"/>
      <c r="CG214" s="215"/>
      <c r="CH214" s="215"/>
      <c r="CI214" s="215"/>
      <c r="CJ214" s="215"/>
      <c r="CK214" s="215"/>
      <c r="CL214" s="215"/>
      <c r="CM214" s="215"/>
      <c r="CN214" s="215"/>
      <c r="CO214" s="215"/>
      <c r="CP214" s="215"/>
      <c r="CQ214" s="215"/>
      <c r="CR214" s="215"/>
      <c r="CS214" s="215"/>
      <c r="CT214" s="215"/>
      <c r="CU214" s="215"/>
      <c r="CV214" s="215"/>
      <c r="CW214" s="215"/>
      <c r="CX214" s="215"/>
      <c r="CY214" s="215"/>
      <c r="CZ214" s="215"/>
      <c r="DA214" s="215"/>
      <c r="DB214" s="215"/>
      <c r="DC214" s="215"/>
      <c r="DD214" s="215"/>
      <c r="DE214" s="215"/>
      <c r="DF214" s="215"/>
      <c r="DG214" s="215"/>
      <c r="DH214" s="215"/>
      <c r="DI214" s="215"/>
      <c r="DJ214" s="215"/>
      <c r="DK214" s="215"/>
      <c r="DL214" s="215"/>
      <c r="DM214" s="215"/>
      <c r="DN214" s="215"/>
      <c r="DO214" s="215"/>
      <c r="DP214" s="215"/>
      <c r="DQ214" s="215"/>
      <c r="DR214" s="215"/>
      <c r="DS214" s="215"/>
      <c r="DT214" s="215"/>
      <c r="DU214" s="215"/>
      <c r="DV214" s="215"/>
      <c r="DW214" s="215"/>
      <c r="DX214" s="215"/>
      <c r="DY214" s="215"/>
      <c r="DZ214" s="215"/>
      <c r="EA214" s="215"/>
      <c r="EB214" s="215"/>
      <c r="EC214" s="215"/>
      <c r="ED214" s="215"/>
      <c r="EE214" s="215"/>
      <c r="EF214" s="215"/>
      <c r="EG214" s="215"/>
      <c r="EH214" s="215"/>
      <c r="EI214" s="215"/>
      <c r="EJ214" s="215"/>
      <c r="EK214" s="215"/>
      <c r="EL214" s="215"/>
      <c r="EM214" s="215"/>
      <c r="EN214" s="215"/>
      <c r="EO214" s="215"/>
      <c r="EP214" s="215"/>
      <c r="EQ214" s="215"/>
      <c r="ER214" s="215"/>
      <c r="ES214" s="215"/>
      <c r="ET214" s="215"/>
      <c r="EU214" s="215"/>
      <c r="EV214" s="215"/>
      <c r="EW214" s="215"/>
      <c r="EX214" s="215"/>
      <c r="EY214" s="215"/>
      <c r="EZ214" s="215"/>
      <c r="FA214" s="215"/>
      <c r="FB214" s="215"/>
      <c r="FC214" s="215"/>
      <c r="FD214" s="215"/>
      <c r="FE214" s="215"/>
      <c r="FF214" s="215"/>
      <c r="FG214" s="215"/>
      <c r="FH214" s="215"/>
      <c r="FI214" s="215"/>
      <c r="FJ214" s="215"/>
      <c r="FK214" s="215"/>
      <c r="FL214" s="215"/>
      <c r="FM214" s="215"/>
      <c r="FN214" s="215"/>
      <c r="FO214" s="215"/>
      <c r="FP214" s="215"/>
      <c r="FQ214" s="215"/>
      <c r="FR214" s="215"/>
      <c r="FS214" s="215"/>
      <c r="FT214" s="215"/>
      <c r="FU214" s="215"/>
      <c r="FV214" s="215"/>
      <c r="FW214" s="215"/>
      <c r="FX214" s="215"/>
      <c r="FY214" s="215"/>
      <c r="FZ214" s="215"/>
      <c r="GA214" s="215"/>
      <c r="GB214" s="215"/>
      <c r="GC214" s="215"/>
      <c r="GD214" s="215"/>
      <c r="GE214" s="215"/>
      <c r="GF214" s="215"/>
      <c r="GG214" s="215"/>
      <c r="GH214" s="215"/>
      <c r="GI214" s="215"/>
      <c r="GJ214" s="215"/>
    </row>
    <row r="215" spans="49:192" x14ac:dyDescent="0.2">
      <c r="AW215" s="215"/>
      <c r="AX215" s="215"/>
      <c r="AY215" s="215"/>
      <c r="AZ215" s="215"/>
      <c r="BA215" s="215"/>
      <c r="BB215" s="215"/>
      <c r="BC215" s="215"/>
      <c r="BD215" s="215"/>
      <c r="BE215" s="215"/>
      <c r="BF215" s="215"/>
      <c r="BG215" s="215"/>
      <c r="BH215" s="215"/>
      <c r="BI215" s="215"/>
      <c r="BJ215" s="215"/>
      <c r="BK215" s="215"/>
      <c r="BL215" s="215"/>
      <c r="BM215" s="215"/>
      <c r="BN215" s="215"/>
      <c r="BO215" s="215"/>
      <c r="BP215" s="215"/>
      <c r="BQ215" s="215"/>
      <c r="BR215" s="215"/>
      <c r="BS215" s="215"/>
      <c r="BT215" s="215"/>
      <c r="BU215" s="215"/>
      <c r="BV215" s="215"/>
      <c r="BW215" s="215"/>
      <c r="BX215" s="215"/>
      <c r="BY215" s="215"/>
      <c r="BZ215" s="215"/>
      <c r="CA215" s="215"/>
      <c r="CB215" s="215"/>
      <c r="CC215" s="215"/>
      <c r="CD215" s="215"/>
      <c r="CE215" s="215"/>
      <c r="CF215" s="215"/>
      <c r="CG215" s="215"/>
      <c r="CH215" s="215"/>
      <c r="CI215" s="215"/>
      <c r="CJ215" s="215"/>
      <c r="CK215" s="215"/>
      <c r="CL215" s="215"/>
      <c r="CM215" s="215"/>
      <c r="CN215" s="215"/>
      <c r="CO215" s="215"/>
      <c r="CP215" s="215"/>
      <c r="CQ215" s="215"/>
      <c r="CR215" s="215"/>
      <c r="CS215" s="215"/>
      <c r="CT215" s="215"/>
      <c r="CU215" s="215"/>
      <c r="CV215" s="215"/>
      <c r="CW215" s="215"/>
      <c r="CX215" s="215"/>
      <c r="CY215" s="215"/>
      <c r="CZ215" s="215"/>
      <c r="DA215" s="215"/>
      <c r="DB215" s="215"/>
      <c r="DC215" s="215"/>
      <c r="DD215" s="215"/>
      <c r="DE215" s="215"/>
      <c r="DF215" s="215"/>
      <c r="DG215" s="215"/>
      <c r="DH215" s="215"/>
      <c r="DI215" s="215"/>
      <c r="DJ215" s="215"/>
      <c r="DK215" s="215"/>
      <c r="DL215" s="215"/>
      <c r="DM215" s="215"/>
      <c r="DN215" s="215"/>
      <c r="DO215" s="215"/>
      <c r="DP215" s="215"/>
      <c r="DQ215" s="215"/>
      <c r="DR215" s="215"/>
      <c r="DS215" s="215"/>
      <c r="DT215" s="215"/>
      <c r="DU215" s="215"/>
      <c r="DV215" s="215"/>
      <c r="DW215" s="215"/>
      <c r="DX215" s="215"/>
      <c r="DY215" s="215"/>
      <c r="DZ215" s="215"/>
      <c r="EA215" s="215"/>
      <c r="EB215" s="215"/>
      <c r="EC215" s="215"/>
      <c r="ED215" s="215"/>
      <c r="EE215" s="215"/>
      <c r="EF215" s="215"/>
      <c r="EG215" s="215"/>
      <c r="EH215" s="215"/>
      <c r="EI215" s="215"/>
      <c r="EJ215" s="215"/>
      <c r="EK215" s="215"/>
      <c r="EL215" s="215"/>
      <c r="EM215" s="215"/>
      <c r="EN215" s="215"/>
      <c r="EO215" s="215"/>
      <c r="EP215" s="215"/>
      <c r="EQ215" s="215"/>
      <c r="ER215" s="215"/>
      <c r="ES215" s="215"/>
      <c r="ET215" s="215"/>
      <c r="EU215" s="215"/>
      <c r="EV215" s="215"/>
      <c r="EW215" s="215"/>
      <c r="EX215" s="215"/>
      <c r="EY215" s="215"/>
      <c r="EZ215" s="215"/>
      <c r="FA215" s="215"/>
      <c r="FB215" s="215"/>
      <c r="FC215" s="215"/>
      <c r="FD215" s="215"/>
      <c r="FE215" s="215"/>
      <c r="FF215" s="215"/>
      <c r="FG215" s="215"/>
      <c r="FH215" s="215"/>
      <c r="FI215" s="215"/>
      <c r="FJ215" s="215"/>
      <c r="FK215" s="215"/>
      <c r="FL215" s="215"/>
      <c r="FM215" s="215"/>
      <c r="FN215" s="215"/>
      <c r="FO215" s="215"/>
      <c r="FP215" s="215"/>
      <c r="FQ215" s="215"/>
      <c r="FR215" s="215"/>
      <c r="FS215" s="215"/>
      <c r="FT215" s="215"/>
      <c r="FU215" s="215"/>
      <c r="FV215" s="215"/>
      <c r="FW215" s="215"/>
      <c r="FX215" s="215"/>
      <c r="FY215" s="215"/>
      <c r="FZ215" s="215"/>
      <c r="GA215" s="215"/>
      <c r="GB215" s="215"/>
      <c r="GC215" s="215"/>
      <c r="GD215" s="215"/>
      <c r="GE215" s="215"/>
      <c r="GF215" s="215"/>
      <c r="GG215" s="215"/>
      <c r="GH215" s="215"/>
      <c r="GI215" s="215"/>
      <c r="GJ215" s="215"/>
    </row>
    <row r="216" spans="49:192" x14ac:dyDescent="0.2">
      <c r="AW216" s="215"/>
      <c r="AX216" s="215"/>
      <c r="AY216" s="215"/>
      <c r="AZ216" s="215"/>
      <c r="BA216" s="215"/>
      <c r="BB216" s="215"/>
      <c r="BC216" s="215"/>
      <c r="BD216" s="215"/>
      <c r="BE216" s="215"/>
      <c r="BF216" s="215"/>
      <c r="BG216" s="215"/>
      <c r="BH216" s="215"/>
      <c r="BI216" s="215"/>
      <c r="BJ216" s="215"/>
      <c r="BK216" s="215"/>
      <c r="BL216" s="215"/>
      <c r="BM216" s="215"/>
      <c r="BN216" s="215"/>
      <c r="BO216" s="215"/>
      <c r="BP216" s="215"/>
      <c r="BQ216" s="215"/>
      <c r="BR216" s="215"/>
      <c r="BS216" s="215"/>
      <c r="BT216" s="215"/>
      <c r="BU216" s="215"/>
      <c r="BV216" s="215"/>
      <c r="BW216" s="215"/>
      <c r="BX216" s="215"/>
      <c r="BY216" s="215"/>
      <c r="BZ216" s="215"/>
      <c r="CA216" s="215"/>
      <c r="CB216" s="215"/>
      <c r="CC216" s="215"/>
      <c r="CD216" s="215"/>
      <c r="CE216" s="215"/>
      <c r="CF216" s="215"/>
      <c r="CG216" s="215"/>
      <c r="CH216" s="215"/>
      <c r="CI216" s="215"/>
      <c r="CJ216" s="215"/>
      <c r="CK216" s="215"/>
      <c r="CL216" s="215"/>
      <c r="CM216" s="215"/>
      <c r="CN216" s="215"/>
      <c r="CO216" s="215"/>
      <c r="CP216" s="215"/>
      <c r="CQ216" s="215"/>
      <c r="CR216" s="215"/>
      <c r="CS216" s="215"/>
      <c r="CT216" s="215"/>
      <c r="CU216" s="215"/>
      <c r="CV216" s="215"/>
      <c r="CW216" s="215"/>
      <c r="CX216" s="215"/>
      <c r="CY216" s="215"/>
      <c r="CZ216" s="215"/>
      <c r="DA216" s="215"/>
      <c r="DB216" s="215"/>
      <c r="DC216" s="215"/>
      <c r="DD216" s="215"/>
      <c r="DE216" s="215"/>
      <c r="DF216" s="215"/>
      <c r="DG216" s="215"/>
      <c r="DH216" s="215"/>
      <c r="DI216" s="215"/>
      <c r="DJ216" s="215"/>
      <c r="DK216" s="215"/>
      <c r="DL216" s="215"/>
      <c r="DM216" s="215"/>
      <c r="DN216" s="215"/>
      <c r="DO216" s="215"/>
      <c r="DP216" s="215"/>
      <c r="DQ216" s="215"/>
      <c r="DR216" s="215"/>
      <c r="DS216" s="215"/>
      <c r="DT216" s="215"/>
      <c r="DU216" s="215"/>
      <c r="DV216" s="215"/>
      <c r="DW216" s="215"/>
      <c r="DX216" s="215"/>
      <c r="DY216" s="215"/>
      <c r="DZ216" s="215"/>
      <c r="EA216" s="215"/>
      <c r="EB216" s="215"/>
      <c r="EC216" s="215"/>
      <c r="ED216" s="215"/>
      <c r="EE216" s="215"/>
      <c r="EF216" s="215"/>
      <c r="EG216" s="215"/>
      <c r="EH216" s="215"/>
      <c r="EI216" s="215"/>
      <c r="EJ216" s="215"/>
      <c r="EK216" s="215"/>
      <c r="EL216" s="215"/>
      <c r="EM216" s="215"/>
      <c r="EN216" s="215"/>
      <c r="EO216" s="215"/>
      <c r="EP216" s="215"/>
      <c r="EQ216" s="215"/>
      <c r="ER216" s="215"/>
      <c r="ES216" s="215"/>
      <c r="ET216" s="215"/>
      <c r="EU216" s="215"/>
      <c r="EV216" s="215"/>
      <c r="EW216" s="215"/>
      <c r="EX216" s="215"/>
      <c r="EY216" s="215"/>
      <c r="EZ216" s="215"/>
      <c r="FA216" s="215"/>
      <c r="FB216" s="215"/>
      <c r="FC216" s="215"/>
      <c r="FD216" s="215"/>
      <c r="FE216" s="215"/>
      <c r="FF216" s="215"/>
      <c r="FG216" s="215"/>
      <c r="FH216" s="215"/>
      <c r="FI216" s="215"/>
      <c r="FJ216" s="215"/>
      <c r="FK216" s="215"/>
      <c r="FL216" s="215"/>
      <c r="FM216" s="215"/>
      <c r="FN216" s="215"/>
      <c r="FO216" s="215"/>
      <c r="FP216" s="215"/>
      <c r="FQ216" s="215"/>
      <c r="FR216" s="215"/>
      <c r="FS216" s="215"/>
      <c r="FT216" s="215"/>
      <c r="FU216" s="215"/>
      <c r="FV216" s="215"/>
      <c r="FW216" s="215"/>
      <c r="FX216" s="215"/>
      <c r="FY216" s="215"/>
      <c r="FZ216" s="215"/>
      <c r="GA216" s="215"/>
      <c r="GB216" s="215"/>
      <c r="GC216" s="215"/>
      <c r="GD216" s="215"/>
      <c r="GE216" s="215"/>
      <c r="GF216" s="215"/>
      <c r="GG216" s="215"/>
      <c r="GH216" s="215"/>
      <c r="GI216" s="215"/>
      <c r="GJ216" s="215"/>
    </row>
    <row r="217" spans="49:192" x14ac:dyDescent="0.2">
      <c r="AW217" s="215"/>
      <c r="AX217" s="215"/>
      <c r="AY217" s="215"/>
      <c r="AZ217" s="215"/>
      <c r="BA217" s="215"/>
      <c r="BB217" s="215"/>
      <c r="BC217" s="215"/>
      <c r="BD217" s="215"/>
      <c r="BE217" s="215"/>
      <c r="BF217" s="215"/>
      <c r="BG217" s="215"/>
      <c r="BH217" s="215"/>
      <c r="BI217" s="215"/>
      <c r="BJ217" s="215"/>
      <c r="BK217" s="215"/>
      <c r="BL217" s="215"/>
      <c r="BM217" s="215"/>
      <c r="BN217" s="215"/>
      <c r="BO217" s="215"/>
      <c r="BP217" s="215"/>
      <c r="BQ217" s="215"/>
      <c r="BR217" s="215"/>
      <c r="BS217" s="215"/>
      <c r="BT217" s="215"/>
      <c r="BU217" s="215"/>
      <c r="BV217" s="215"/>
      <c r="BW217" s="215"/>
      <c r="BX217" s="215"/>
      <c r="BY217" s="215"/>
      <c r="BZ217" s="215"/>
      <c r="CA217" s="215"/>
      <c r="CB217" s="215"/>
      <c r="CC217" s="215"/>
      <c r="CD217" s="215"/>
      <c r="CE217" s="215"/>
      <c r="CF217" s="215"/>
      <c r="CG217" s="215"/>
      <c r="CH217" s="215"/>
      <c r="CI217" s="215"/>
      <c r="CJ217" s="215"/>
      <c r="CK217" s="215"/>
      <c r="CL217" s="215"/>
      <c r="CM217" s="215"/>
      <c r="CN217" s="215"/>
      <c r="CO217" s="215"/>
      <c r="CP217" s="215"/>
      <c r="CQ217" s="215"/>
      <c r="CR217" s="215"/>
      <c r="CS217" s="215"/>
      <c r="CT217" s="215"/>
      <c r="CU217" s="215"/>
      <c r="CV217" s="215"/>
      <c r="CW217" s="215"/>
      <c r="CX217" s="215"/>
      <c r="CY217" s="215"/>
      <c r="CZ217" s="215"/>
      <c r="DA217" s="215"/>
      <c r="DB217" s="215"/>
      <c r="DC217" s="215"/>
      <c r="DD217" s="215"/>
      <c r="DE217" s="215"/>
      <c r="DF217" s="215"/>
      <c r="DG217" s="215"/>
      <c r="DH217" s="215"/>
      <c r="DI217" s="215"/>
      <c r="DJ217" s="215"/>
      <c r="DK217" s="215"/>
      <c r="DL217" s="215"/>
      <c r="DM217" s="215"/>
      <c r="DN217" s="215"/>
      <c r="DO217" s="215"/>
      <c r="DP217" s="215"/>
      <c r="DQ217" s="215"/>
      <c r="DR217" s="215"/>
      <c r="DS217" s="215"/>
      <c r="DT217" s="215"/>
      <c r="DU217" s="215"/>
      <c r="DV217" s="215"/>
      <c r="DW217" s="215"/>
      <c r="DX217" s="215"/>
      <c r="DY217" s="215"/>
      <c r="DZ217" s="215"/>
      <c r="EA217" s="215"/>
      <c r="EB217" s="215"/>
      <c r="EC217" s="215"/>
      <c r="ED217" s="215"/>
      <c r="EE217" s="215"/>
      <c r="EF217" s="215"/>
      <c r="EG217" s="215"/>
      <c r="EH217" s="215"/>
      <c r="EI217" s="215"/>
      <c r="EJ217" s="215"/>
      <c r="EK217" s="215"/>
      <c r="EL217" s="215"/>
      <c r="EM217" s="215"/>
      <c r="EN217" s="215"/>
      <c r="EO217" s="215"/>
      <c r="EP217" s="215"/>
      <c r="EQ217" s="215"/>
      <c r="ER217" s="215"/>
      <c r="ES217" s="215"/>
      <c r="ET217" s="215"/>
      <c r="EU217" s="215"/>
      <c r="EV217" s="215"/>
      <c r="EW217" s="215"/>
      <c r="EX217" s="215"/>
      <c r="EY217" s="215"/>
      <c r="EZ217" s="215"/>
      <c r="FA217" s="215"/>
      <c r="FB217" s="215"/>
      <c r="FC217" s="215"/>
      <c r="FD217" s="215"/>
      <c r="FE217" s="215"/>
      <c r="FF217" s="215"/>
      <c r="FG217" s="215"/>
      <c r="FH217" s="215"/>
      <c r="FI217" s="215"/>
      <c r="FJ217" s="215"/>
      <c r="FK217" s="215"/>
      <c r="FL217" s="215"/>
      <c r="FM217" s="215"/>
      <c r="FN217" s="215"/>
      <c r="FO217" s="215"/>
      <c r="FP217" s="215"/>
      <c r="FQ217" s="215"/>
      <c r="FR217" s="215"/>
      <c r="FS217" s="215"/>
      <c r="FT217" s="215"/>
      <c r="FU217" s="215"/>
      <c r="FV217" s="215"/>
      <c r="FW217" s="215"/>
      <c r="FX217" s="215"/>
      <c r="FY217" s="215"/>
      <c r="FZ217" s="215"/>
      <c r="GA217" s="215"/>
      <c r="GB217" s="215"/>
      <c r="GC217" s="215"/>
      <c r="GD217" s="215"/>
      <c r="GE217" s="215"/>
      <c r="GF217" s="215"/>
      <c r="GG217" s="215"/>
      <c r="GH217" s="215"/>
      <c r="GI217" s="215"/>
      <c r="GJ217" s="215"/>
    </row>
    <row r="218" spans="49:192" x14ac:dyDescent="0.2">
      <c r="AW218" s="215"/>
      <c r="AX218" s="215"/>
      <c r="AY218" s="215"/>
      <c r="AZ218" s="215"/>
      <c r="BA218" s="215"/>
      <c r="BB218" s="215"/>
      <c r="BC218" s="215"/>
      <c r="BD218" s="215"/>
      <c r="BE218" s="215"/>
      <c r="BF218" s="215"/>
      <c r="BG218" s="215"/>
      <c r="BH218" s="215"/>
      <c r="BI218" s="215"/>
      <c r="BJ218" s="215"/>
      <c r="BK218" s="215"/>
      <c r="BL218" s="215"/>
      <c r="BM218" s="215"/>
      <c r="BN218" s="215"/>
      <c r="BO218" s="215"/>
      <c r="BP218" s="215"/>
      <c r="BQ218" s="215"/>
      <c r="BR218" s="215"/>
      <c r="BS218" s="215"/>
      <c r="BT218" s="215"/>
      <c r="BU218" s="215"/>
      <c r="BV218" s="215"/>
      <c r="BW218" s="215"/>
      <c r="BX218" s="215"/>
      <c r="BY218" s="215"/>
      <c r="BZ218" s="215"/>
      <c r="CA218" s="215"/>
      <c r="CB218" s="215"/>
      <c r="CC218" s="215"/>
      <c r="CD218" s="215"/>
      <c r="CE218" s="215"/>
      <c r="CF218" s="215"/>
      <c r="CG218" s="215"/>
      <c r="CH218" s="215"/>
      <c r="CI218" s="215"/>
      <c r="CJ218" s="215"/>
      <c r="CK218" s="215"/>
      <c r="CL218" s="215"/>
      <c r="CM218" s="215"/>
      <c r="CN218" s="215"/>
      <c r="CO218" s="215"/>
      <c r="CP218" s="215"/>
      <c r="CQ218" s="215"/>
      <c r="CR218" s="215"/>
      <c r="CS218" s="215"/>
      <c r="CT218" s="215"/>
      <c r="CU218" s="215"/>
      <c r="CV218" s="215"/>
      <c r="CW218" s="215"/>
      <c r="CX218" s="215"/>
      <c r="CY218" s="215"/>
      <c r="CZ218" s="215"/>
      <c r="DA218" s="215"/>
      <c r="DB218" s="215"/>
      <c r="DC218" s="215"/>
      <c r="DD218" s="215"/>
      <c r="DE218" s="215"/>
      <c r="DF218" s="215"/>
      <c r="DG218" s="215"/>
      <c r="DH218" s="215"/>
      <c r="DI218" s="215"/>
      <c r="DJ218" s="215"/>
      <c r="DK218" s="215"/>
      <c r="DL218" s="215"/>
      <c r="DM218" s="215"/>
      <c r="DN218" s="215"/>
      <c r="DO218" s="215"/>
      <c r="DP218" s="215"/>
      <c r="DQ218" s="215"/>
      <c r="DR218" s="215"/>
      <c r="DS218" s="215"/>
      <c r="DT218" s="215"/>
      <c r="DU218" s="215"/>
      <c r="DV218" s="215"/>
      <c r="DW218" s="215"/>
      <c r="DX218" s="215"/>
      <c r="DY218" s="215"/>
      <c r="DZ218" s="215"/>
      <c r="EA218" s="215"/>
      <c r="EB218" s="215"/>
      <c r="EC218" s="215"/>
      <c r="ED218" s="215"/>
      <c r="EE218" s="215"/>
      <c r="EF218" s="215"/>
      <c r="EG218" s="215"/>
      <c r="EH218" s="215"/>
      <c r="EI218" s="215"/>
      <c r="EJ218" s="215"/>
      <c r="EK218" s="215"/>
      <c r="EL218" s="215"/>
      <c r="EM218" s="215"/>
      <c r="EN218" s="215"/>
      <c r="EO218" s="215"/>
      <c r="EP218" s="215"/>
      <c r="EQ218" s="215"/>
      <c r="ER218" s="215"/>
      <c r="ES218" s="215"/>
      <c r="ET218" s="215"/>
      <c r="EU218" s="215"/>
      <c r="EV218" s="215"/>
      <c r="EW218" s="215"/>
      <c r="EX218" s="215"/>
      <c r="EY218" s="215"/>
      <c r="EZ218" s="215"/>
      <c r="FA218" s="215"/>
      <c r="FB218" s="215"/>
      <c r="FC218" s="215"/>
      <c r="FD218" s="215"/>
      <c r="FE218" s="215"/>
      <c r="FF218" s="215"/>
      <c r="FG218" s="215"/>
      <c r="FH218" s="215"/>
      <c r="FI218" s="215"/>
      <c r="FJ218" s="215"/>
      <c r="FK218" s="215"/>
      <c r="FL218" s="215"/>
      <c r="FM218" s="215"/>
      <c r="FN218" s="215"/>
      <c r="FO218" s="215"/>
      <c r="FP218" s="215"/>
      <c r="FQ218" s="215"/>
      <c r="FR218" s="215"/>
      <c r="FS218" s="215"/>
      <c r="FT218" s="215"/>
      <c r="FU218" s="215"/>
      <c r="FV218" s="215"/>
      <c r="FW218" s="215"/>
      <c r="FX218" s="215"/>
      <c r="FY218" s="215"/>
      <c r="FZ218" s="215"/>
      <c r="GA218" s="215"/>
      <c r="GB218" s="215"/>
      <c r="GC218" s="215"/>
      <c r="GD218" s="215"/>
      <c r="GE218" s="215"/>
      <c r="GF218" s="215"/>
      <c r="GG218" s="215"/>
      <c r="GH218" s="215"/>
      <c r="GI218" s="215"/>
      <c r="GJ218" s="215"/>
    </row>
    <row r="219" spans="49:192" x14ac:dyDescent="0.2">
      <c r="AW219" s="215"/>
      <c r="AX219" s="215"/>
      <c r="AY219" s="215"/>
      <c r="AZ219" s="215"/>
      <c r="BA219" s="215"/>
      <c r="BB219" s="215"/>
      <c r="BC219" s="215"/>
      <c r="BD219" s="215"/>
      <c r="BE219" s="215"/>
      <c r="BF219" s="215"/>
      <c r="BG219" s="215"/>
      <c r="BH219" s="215"/>
      <c r="BI219" s="215"/>
      <c r="BJ219" s="215"/>
      <c r="BK219" s="215"/>
      <c r="BL219" s="215"/>
      <c r="BM219" s="215"/>
      <c r="BN219" s="215"/>
      <c r="BO219" s="215"/>
      <c r="BP219" s="215"/>
      <c r="BQ219" s="215"/>
      <c r="BR219" s="215"/>
      <c r="BS219" s="215"/>
      <c r="BT219" s="215"/>
      <c r="BU219" s="215"/>
      <c r="BV219" s="215"/>
      <c r="BW219" s="215"/>
      <c r="BX219" s="215"/>
      <c r="BY219" s="215"/>
      <c r="BZ219" s="215"/>
      <c r="CA219" s="215"/>
      <c r="CB219" s="215"/>
      <c r="CC219" s="215"/>
      <c r="CD219" s="215"/>
      <c r="CE219" s="215"/>
      <c r="CF219" s="215"/>
      <c r="CG219" s="215"/>
      <c r="CH219" s="215"/>
      <c r="CI219" s="215"/>
      <c r="CJ219" s="215"/>
      <c r="CK219" s="215"/>
      <c r="CL219" s="215"/>
      <c r="CM219" s="215"/>
      <c r="CN219" s="215"/>
      <c r="CO219" s="215"/>
      <c r="CP219" s="215"/>
      <c r="CQ219" s="215"/>
      <c r="CR219" s="215"/>
      <c r="CS219" s="215"/>
      <c r="CT219" s="215"/>
      <c r="CU219" s="215"/>
      <c r="CV219" s="215"/>
      <c r="CW219" s="215"/>
      <c r="CX219" s="215"/>
      <c r="CY219" s="215"/>
      <c r="CZ219" s="215"/>
      <c r="DA219" s="215"/>
      <c r="DB219" s="215"/>
      <c r="DC219" s="215"/>
      <c r="DD219" s="215"/>
      <c r="DE219" s="215"/>
      <c r="DF219" s="215"/>
      <c r="DG219" s="215"/>
      <c r="DH219" s="215"/>
      <c r="DI219" s="215"/>
      <c r="DJ219" s="215"/>
      <c r="DK219" s="215"/>
      <c r="DL219" s="215"/>
      <c r="DM219" s="215"/>
      <c r="DN219" s="215"/>
      <c r="DO219" s="215"/>
      <c r="DP219" s="215"/>
      <c r="DQ219" s="215"/>
      <c r="DR219" s="215"/>
      <c r="DS219" s="215"/>
      <c r="DT219" s="215"/>
      <c r="DU219" s="215"/>
      <c r="DV219" s="215"/>
      <c r="DW219" s="215"/>
      <c r="DX219" s="215"/>
      <c r="DY219" s="215"/>
      <c r="DZ219" s="215"/>
      <c r="EA219" s="215"/>
      <c r="EB219" s="215"/>
      <c r="EC219" s="215"/>
      <c r="ED219" s="215"/>
      <c r="EE219" s="215"/>
      <c r="EF219" s="215"/>
      <c r="EG219" s="215"/>
      <c r="EH219" s="215"/>
      <c r="EI219" s="215"/>
      <c r="EJ219" s="215"/>
      <c r="EK219" s="215"/>
      <c r="EL219" s="215"/>
      <c r="EM219" s="215"/>
      <c r="EN219" s="215"/>
      <c r="EO219" s="215"/>
      <c r="EP219" s="215"/>
      <c r="EQ219" s="215"/>
      <c r="ER219" s="215"/>
      <c r="ES219" s="215"/>
      <c r="ET219" s="215"/>
      <c r="EU219" s="215"/>
      <c r="EV219" s="215"/>
      <c r="EW219" s="215"/>
      <c r="EX219" s="215"/>
      <c r="EY219" s="215"/>
      <c r="EZ219" s="215"/>
      <c r="FA219" s="215"/>
      <c r="FB219" s="215"/>
      <c r="FC219" s="215"/>
      <c r="FD219" s="215"/>
      <c r="FE219" s="215"/>
      <c r="FF219" s="215"/>
      <c r="FG219" s="215"/>
      <c r="FH219" s="215"/>
      <c r="FI219" s="215"/>
      <c r="FJ219" s="215"/>
      <c r="FK219" s="215"/>
      <c r="FL219" s="215"/>
      <c r="FM219" s="215"/>
      <c r="FN219" s="215"/>
      <c r="FO219" s="215"/>
      <c r="FP219" s="215"/>
      <c r="FQ219" s="215"/>
      <c r="FR219" s="215"/>
      <c r="FS219" s="215"/>
      <c r="FT219" s="215"/>
      <c r="FU219" s="215"/>
      <c r="FV219" s="215"/>
      <c r="FW219" s="215"/>
      <c r="FX219" s="215"/>
      <c r="FY219" s="215"/>
      <c r="FZ219" s="215"/>
      <c r="GA219" s="215"/>
      <c r="GB219" s="215"/>
      <c r="GC219" s="215"/>
      <c r="GD219" s="215"/>
      <c r="GE219" s="215"/>
      <c r="GF219" s="215"/>
      <c r="GG219" s="215"/>
      <c r="GH219" s="215"/>
      <c r="GI219" s="215"/>
      <c r="GJ219" s="215"/>
    </row>
    <row r="220" spans="49:192" x14ac:dyDescent="0.2">
      <c r="AW220" s="215"/>
      <c r="AX220" s="215"/>
      <c r="AY220" s="215"/>
      <c r="AZ220" s="215"/>
      <c r="BA220" s="215"/>
      <c r="BB220" s="215"/>
      <c r="BC220" s="215"/>
      <c r="BD220" s="215"/>
      <c r="BE220" s="215"/>
      <c r="BF220" s="215"/>
      <c r="BG220" s="215"/>
      <c r="BH220" s="215"/>
      <c r="BI220" s="215"/>
      <c r="BJ220" s="215"/>
      <c r="BK220" s="215"/>
      <c r="BL220" s="215"/>
      <c r="BM220" s="215"/>
      <c r="BN220" s="215"/>
      <c r="BO220" s="215"/>
      <c r="BP220" s="215"/>
      <c r="BQ220" s="215"/>
      <c r="BR220" s="215"/>
      <c r="BS220" s="215"/>
      <c r="BT220" s="215"/>
      <c r="BU220" s="215"/>
      <c r="BV220" s="215"/>
      <c r="BW220" s="215"/>
      <c r="BX220" s="215"/>
      <c r="BY220" s="215"/>
      <c r="BZ220" s="215"/>
      <c r="CA220" s="215"/>
      <c r="CB220" s="215"/>
      <c r="CC220" s="215"/>
      <c r="CD220" s="215"/>
      <c r="CE220" s="215"/>
      <c r="CF220" s="215"/>
      <c r="CG220" s="215"/>
      <c r="CH220" s="215"/>
      <c r="CI220" s="215"/>
      <c r="CJ220" s="215"/>
      <c r="CK220" s="215"/>
      <c r="CL220" s="215"/>
      <c r="CM220" s="215"/>
      <c r="CN220" s="215"/>
      <c r="CO220" s="215"/>
      <c r="CP220" s="215"/>
      <c r="CQ220" s="215"/>
      <c r="CR220" s="215"/>
      <c r="CS220" s="215"/>
      <c r="CT220" s="215"/>
      <c r="CU220" s="215"/>
      <c r="CV220" s="215"/>
      <c r="CW220" s="215"/>
      <c r="CX220" s="215"/>
      <c r="CY220" s="215"/>
      <c r="CZ220" s="215"/>
      <c r="DA220" s="215"/>
      <c r="DB220" s="215"/>
      <c r="DC220" s="215"/>
      <c r="DD220" s="215"/>
      <c r="DE220" s="215"/>
      <c r="DF220" s="215"/>
      <c r="DG220" s="215"/>
      <c r="DH220" s="215"/>
      <c r="DI220" s="215"/>
      <c r="DJ220" s="215"/>
      <c r="DK220" s="215"/>
      <c r="DL220" s="215"/>
      <c r="DM220" s="215"/>
      <c r="DN220" s="215"/>
      <c r="DO220" s="215"/>
      <c r="DP220" s="215"/>
      <c r="DQ220" s="215"/>
      <c r="DR220" s="215"/>
      <c r="DS220" s="215"/>
      <c r="DT220" s="215"/>
      <c r="DU220" s="215"/>
      <c r="DV220" s="215"/>
      <c r="DW220" s="215"/>
      <c r="DX220" s="215"/>
      <c r="DY220" s="215"/>
      <c r="DZ220" s="215"/>
      <c r="EA220" s="215"/>
      <c r="EB220" s="215"/>
      <c r="EC220" s="215"/>
      <c r="ED220" s="215"/>
      <c r="EE220" s="215"/>
      <c r="EF220" s="215"/>
      <c r="EG220" s="215"/>
      <c r="EH220" s="215"/>
      <c r="EI220" s="215"/>
      <c r="EJ220" s="215"/>
      <c r="EK220" s="215"/>
      <c r="EL220" s="215"/>
      <c r="EM220" s="215"/>
      <c r="EN220" s="215"/>
      <c r="EO220" s="215"/>
      <c r="EP220" s="215"/>
      <c r="EQ220" s="215"/>
      <c r="ER220" s="215"/>
      <c r="ES220" s="215"/>
      <c r="ET220" s="215"/>
      <c r="EU220" s="215"/>
      <c r="EV220" s="215"/>
      <c r="EW220" s="215"/>
      <c r="EX220" s="215"/>
      <c r="EY220" s="215"/>
      <c r="EZ220" s="215"/>
      <c r="FA220" s="215"/>
      <c r="FB220" s="215"/>
      <c r="FC220" s="215"/>
      <c r="FD220" s="215"/>
      <c r="FE220" s="215"/>
      <c r="FF220" s="215"/>
      <c r="FG220" s="215"/>
      <c r="FH220" s="215"/>
      <c r="FI220" s="215"/>
      <c r="FJ220" s="215"/>
      <c r="FK220" s="215"/>
      <c r="FL220" s="215"/>
      <c r="FM220" s="215"/>
      <c r="FN220" s="215"/>
      <c r="FO220" s="215"/>
      <c r="FP220" s="215"/>
      <c r="FQ220" s="215"/>
      <c r="FR220" s="215"/>
      <c r="FS220" s="215"/>
      <c r="FT220" s="215"/>
      <c r="FU220" s="215"/>
      <c r="FV220" s="215"/>
      <c r="FW220" s="215"/>
      <c r="FX220" s="215"/>
      <c r="FY220" s="215"/>
      <c r="FZ220" s="215"/>
      <c r="GA220" s="215"/>
      <c r="GB220" s="215"/>
      <c r="GC220" s="215"/>
      <c r="GD220" s="215"/>
      <c r="GE220" s="215"/>
      <c r="GF220" s="215"/>
      <c r="GG220" s="215"/>
      <c r="GH220" s="215"/>
      <c r="GI220" s="215"/>
      <c r="GJ220" s="215"/>
    </row>
    <row r="221" spans="49:192" x14ac:dyDescent="0.2">
      <c r="AW221" s="215"/>
      <c r="AX221" s="215"/>
      <c r="AY221" s="215"/>
      <c r="AZ221" s="215"/>
      <c r="BA221" s="215"/>
      <c r="BB221" s="215"/>
      <c r="BC221" s="215"/>
      <c r="BD221" s="215"/>
      <c r="BE221" s="215"/>
      <c r="BF221" s="215"/>
      <c r="BG221" s="215"/>
      <c r="BH221" s="215"/>
      <c r="BI221" s="215"/>
      <c r="BJ221" s="215"/>
      <c r="BK221" s="215"/>
      <c r="BL221" s="215"/>
      <c r="BM221" s="215"/>
      <c r="BN221" s="215"/>
      <c r="BO221" s="215"/>
      <c r="BP221" s="215"/>
      <c r="BQ221" s="215"/>
      <c r="BR221" s="215"/>
      <c r="BS221" s="215"/>
      <c r="BT221" s="215"/>
      <c r="BU221" s="215"/>
      <c r="BV221" s="215"/>
      <c r="BW221" s="215"/>
      <c r="BX221" s="215"/>
      <c r="BY221" s="215"/>
      <c r="BZ221" s="215"/>
      <c r="CA221" s="215"/>
      <c r="CB221" s="215"/>
      <c r="CC221" s="215"/>
      <c r="CD221" s="215"/>
      <c r="CE221" s="215"/>
      <c r="CF221" s="215"/>
      <c r="CG221" s="215"/>
      <c r="CH221" s="215"/>
      <c r="CI221" s="215"/>
      <c r="CJ221" s="215"/>
      <c r="CK221" s="215"/>
      <c r="CL221" s="215"/>
      <c r="CM221" s="215"/>
      <c r="CN221" s="215"/>
      <c r="CO221" s="215"/>
      <c r="CP221" s="215"/>
      <c r="CQ221" s="215"/>
      <c r="CR221" s="215"/>
      <c r="CS221" s="215"/>
      <c r="CT221" s="215"/>
      <c r="CU221" s="215"/>
      <c r="CV221" s="215"/>
      <c r="CW221" s="215"/>
      <c r="CX221" s="215"/>
      <c r="CY221" s="215"/>
      <c r="CZ221" s="215"/>
      <c r="DA221" s="215"/>
      <c r="DB221" s="215"/>
      <c r="DC221" s="215"/>
      <c r="DD221" s="215"/>
      <c r="DE221" s="215"/>
      <c r="DF221" s="215"/>
      <c r="DG221" s="215"/>
      <c r="DH221" s="215"/>
      <c r="DI221" s="215"/>
      <c r="DJ221" s="215"/>
      <c r="DK221" s="215"/>
      <c r="DL221" s="215"/>
      <c r="DM221" s="215"/>
      <c r="DN221" s="215"/>
      <c r="DO221" s="215"/>
      <c r="DP221" s="215"/>
      <c r="DQ221" s="215"/>
      <c r="DR221" s="215"/>
      <c r="DS221" s="215"/>
      <c r="DT221" s="215"/>
      <c r="DU221" s="215"/>
      <c r="DV221" s="215"/>
      <c r="DW221" s="215"/>
      <c r="DX221" s="215"/>
      <c r="DY221" s="215"/>
      <c r="DZ221" s="215"/>
      <c r="EA221" s="215"/>
      <c r="EB221" s="215"/>
      <c r="EC221" s="215"/>
      <c r="ED221" s="215"/>
      <c r="EE221" s="215"/>
      <c r="EF221" s="215"/>
      <c r="EG221" s="215"/>
      <c r="EH221" s="215"/>
      <c r="EI221" s="215"/>
      <c r="EJ221" s="215"/>
      <c r="EK221" s="215"/>
      <c r="EL221" s="215"/>
      <c r="EM221" s="215"/>
      <c r="EN221" s="215"/>
      <c r="EO221" s="215"/>
      <c r="EP221" s="215"/>
      <c r="EQ221" s="215"/>
      <c r="ER221" s="215"/>
      <c r="ES221" s="215"/>
      <c r="ET221" s="215"/>
      <c r="EU221" s="215"/>
      <c r="EV221" s="215"/>
      <c r="EW221" s="215"/>
      <c r="EX221" s="215"/>
      <c r="EY221" s="215"/>
      <c r="EZ221" s="215"/>
      <c r="FA221" s="215"/>
      <c r="FB221" s="215"/>
      <c r="FC221" s="215"/>
      <c r="FD221" s="215"/>
      <c r="FE221" s="215"/>
      <c r="FF221" s="215"/>
      <c r="FG221" s="215"/>
      <c r="FH221" s="215"/>
      <c r="FI221" s="215"/>
      <c r="FJ221" s="215"/>
      <c r="FK221" s="215"/>
      <c r="FL221" s="215"/>
      <c r="FM221" s="215"/>
      <c r="FN221" s="215"/>
      <c r="FO221" s="215"/>
      <c r="FP221" s="215"/>
      <c r="FQ221" s="215"/>
      <c r="FR221" s="215"/>
      <c r="FS221" s="215"/>
      <c r="FT221" s="215"/>
      <c r="FU221" s="215"/>
      <c r="FV221" s="215"/>
      <c r="FW221" s="215"/>
      <c r="FX221" s="215"/>
      <c r="FY221" s="215"/>
      <c r="FZ221" s="215"/>
      <c r="GA221" s="215"/>
      <c r="GB221" s="215"/>
      <c r="GC221" s="215"/>
      <c r="GD221" s="215"/>
      <c r="GE221" s="215"/>
      <c r="GF221" s="215"/>
      <c r="GG221" s="215"/>
      <c r="GH221" s="215"/>
      <c r="GI221" s="215"/>
      <c r="GJ221" s="215"/>
    </row>
    <row r="222" spans="49:192" x14ac:dyDescent="0.2">
      <c r="AW222" s="215"/>
      <c r="AX222" s="215"/>
      <c r="AY222" s="215"/>
      <c r="AZ222" s="215"/>
      <c r="BA222" s="215"/>
      <c r="BB222" s="215"/>
      <c r="BC222" s="215"/>
      <c r="BD222" s="215"/>
      <c r="BE222" s="215"/>
      <c r="BF222" s="215"/>
      <c r="BG222" s="215"/>
      <c r="BH222" s="215"/>
      <c r="BI222" s="215"/>
      <c r="BJ222" s="215"/>
      <c r="BK222" s="215"/>
      <c r="BL222" s="215"/>
      <c r="BM222" s="215"/>
      <c r="BN222" s="215"/>
      <c r="BO222" s="215"/>
      <c r="BP222" s="215"/>
      <c r="BQ222" s="215"/>
      <c r="BR222" s="215"/>
      <c r="BS222" s="215"/>
      <c r="BT222" s="215"/>
      <c r="BU222" s="215"/>
      <c r="BV222" s="215"/>
      <c r="BW222" s="215"/>
      <c r="BX222" s="215"/>
      <c r="BY222" s="215"/>
      <c r="BZ222" s="215"/>
      <c r="CA222" s="215"/>
      <c r="CB222" s="215"/>
      <c r="CC222" s="215"/>
      <c r="CD222" s="215"/>
      <c r="CE222" s="215"/>
      <c r="CF222" s="215"/>
      <c r="CG222" s="215"/>
      <c r="CH222" s="215"/>
      <c r="CI222" s="215"/>
      <c r="CJ222" s="215"/>
      <c r="CK222" s="215"/>
      <c r="CL222" s="215"/>
      <c r="CM222" s="215"/>
      <c r="CN222" s="215"/>
      <c r="CO222" s="215"/>
      <c r="CP222" s="215"/>
      <c r="CQ222" s="215"/>
      <c r="CR222" s="215"/>
      <c r="CS222" s="215"/>
      <c r="CT222" s="215"/>
      <c r="CU222" s="215"/>
      <c r="CV222" s="215"/>
      <c r="CW222" s="215"/>
      <c r="CX222" s="215"/>
      <c r="CY222" s="215"/>
      <c r="CZ222" s="215"/>
      <c r="DA222" s="215"/>
      <c r="DB222" s="215"/>
      <c r="DC222" s="215"/>
      <c r="DD222" s="215"/>
      <c r="DE222" s="215"/>
      <c r="DF222" s="215"/>
      <c r="DG222" s="215"/>
      <c r="DH222" s="215"/>
      <c r="DI222" s="215"/>
      <c r="DJ222" s="215"/>
      <c r="DK222" s="215"/>
      <c r="DL222" s="215"/>
      <c r="DM222" s="215"/>
      <c r="DN222" s="215"/>
      <c r="DO222" s="215"/>
      <c r="DP222" s="215"/>
      <c r="DQ222" s="215"/>
      <c r="DR222" s="215"/>
      <c r="DS222" s="215"/>
      <c r="DT222" s="215"/>
      <c r="DU222" s="215"/>
      <c r="DV222" s="215"/>
      <c r="DW222" s="215"/>
      <c r="DX222" s="215"/>
      <c r="DY222" s="215"/>
      <c r="DZ222" s="215"/>
      <c r="EA222" s="215"/>
      <c r="EB222" s="215"/>
      <c r="EC222" s="215"/>
      <c r="ED222" s="215"/>
      <c r="EE222" s="215"/>
      <c r="EF222" s="215"/>
      <c r="EG222" s="215"/>
      <c r="EH222" s="215"/>
      <c r="EI222" s="215"/>
      <c r="EJ222" s="215"/>
      <c r="EK222" s="215"/>
      <c r="EL222" s="215"/>
      <c r="EM222" s="215"/>
      <c r="EN222" s="215"/>
      <c r="EO222" s="215"/>
      <c r="EP222" s="215"/>
      <c r="EQ222" s="215"/>
      <c r="ER222" s="215"/>
      <c r="ES222" s="215"/>
      <c r="ET222" s="215"/>
      <c r="EU222" s="215"/>
      <c r="EV222" s="215"/>
      <c r="EW222" s="215"/>
      <c r="EX222" s="215"/>
      <c r="EY222" s="215"/>
      <c r="EZ222" s="215"/>
      <c r="FA222" s="215"/>
      <c r="FB222" s="215"/>
      <c r="FC222" s="215"/>
      <c r="FD222" s="215"/>
      <c r="FE222" s="215"/>
      <c r="FF222" s="215"/>
      <c r="FG222" s="215"/>
      <c r="FH222" s="215"/>
      <c r="FI222" s="215"/>
      <c r="FJ222" s="215"/>
      <c r="FK222" s="215"/>
      <c r="FL222" s="215"/>
      <c r="FM222" s="215"/>
      <c r="FN222" s="215"/>
      <c r="FO222" s="215"/>
      <c r="FP222" s="215"/>
      <c r="FQ222" s="215"/>
      <c r="FR222" s="215"/>
      <c r="FS222" s="215"/>
      <c r="FT222" s="215"/>
      <c r="FU222" s="215"/>
      <c r="FV222" s="215"/>
      <c r="FW222" s="215"/>
      <c r="FX222" s="215"/>
      <c r="FY222" s="215"/>
      <c r="FZ222" s="215"/>
      <c r="GA222" s="215"/>
      <c r="GB222" s="215"/>
      <c r="GC222" s="215"/>
      <c r="GD222" s="215"/>
      <c r="GE222" s="215"/>
      <c r="GF222" s="215"/>
      <c r="GG222" s="215"/>
      <c r="GH222" s="215"/>
      <c r="GI222" s="215"/>
      <c r="GJ222" s="215"/>
    </row>
    <row r="223" spans="49:192" x14ac:dyDescent="0.2">
      <c r="AW223" s="215"/>
      <c r="AX223" s="215"/>
      <c r="AY223" s="215"/>
      <c r="AZ223" s="215"/>
      <c r="BA223" s="215"/>
      <c r="BB223" s="215"/>
      <c r="BC223" s="215"/>
      <c r="BD223" s="215"/>
      <c r="BE223" s="215"/>
      <c r="BF223" s="215"/>
      <c r="BG223" s="215"/>
      <c r="BH223" s="215"/>
      <c r="BI223" s="215"/>
      <c r="BJ223" s="215"/>
      <c r="BK223" s="215"/>
      <c r="BL223" s="215"/>
      <c r="BM223" s="215"/>
      <c r="BN223" s="215"/>
      <c r="BO223" s="215"/>
      <c r="BP223" s="215"/>
      <c r="BQ223" s="215"/>
      <c r="BR223" s="215"/>
      <c r="BS223" s="215"/>
      <c r="BT223" s="215"/>
      <c r="BU223" s="215"/>
      <c r="BV223" s="215"/>
      <c r="BW223" s="215"/>
      <c r="BX223" s="215"/>
      <c r="BY223" s="215"/>
      <c r="BZ223" s="215"/>
      <c r="CA223" s="215"/>
      <c r="CB223" s="215"/>
      <c r="CC223" s="215"/>
      <c r="CD223" s="215"/>
      <c r="CE223" s="215"/>
      <c r="CF223" s="215"/>
      <c r="CG223" s="215"/>
      <c r="CH223" s="215"/>
      <c r="CI223" s="215"/>
      <c r="CJ223" s="215"/>
      <c r="CK223" s="215"/>
      <c r="CL223" s="215"/>
      <c r="CM223" s="215"/>
      <c r="CN223" s="215"/>
      <c r="CO223" s="215"/>
      <c r="CP223" s="215"/>
      <c r="CQ223" s="215"/>
      <c r="CR223" s="215"/>
      <c r="CS223" s="215"/>
      <c r="CT223" s="215"/>
      <c r="CU223" s="215"/>
      <c r="CV223" s="215"/>
      <c r="CW223" s="215"/>
      <c r="CX223" s="215"/>
      <c r="CY223" s="215"/>
      <c r="CZ223" s="215"/>
      <c r="DA223" s="215"/>
      <c r="DB223" s="215"/>
      <c r="DC223" s="215"/>
      <c r="DD223" s="215"/>
      <c r="DE223" s="215"/>
      <c r="DF223" s="215"/>
      <c r="DG223" s="215"/>
      <c r="DH223" s="215"/>
      <c r="DI223" s="215"/>
      <c r="DJ223" s="215"/>
      <c r="DK223" s="215"/>
      <c r="DL223" s="215"/>
      <c r="DM223" s="215"/>
      <c r="DN223" s="215"/>
      <c r="DO223" s="215"/>
      <c r="DP223" s="215"/>
      <c r="DQ223" s="215"/>
      <c r="DR223" s="215"/>
      <c r="DS223" s="215"/>
      <c r="DT223" s="215"/>
      <c r="DU223" s="215"/>
      <c r="DV223" s="215"/>
      <c r="DW223" s="215"/>
      <c r="DX223" s="215"/>
      <c r="DY223" s="215"/>
      <c r="DZ223" s="215"/>
      <c r="EA223" s="215"/>
      <c r="EB223" s="215"/>
      <c r="EC223" s="215"/>
      <c r="ED223" s="215"/>
      <c r="EE223" s="215"/>
      <c r="EF223" s="215"/>
      <c r="EG223" s="215"/>
      <c r="EH223" s="215"/>
      <c r="EI223" s="215"/>
      <c r="EJ223" s="215"/>
      <c r="EK223" s="215"/>
      <c r="EL223" s="215"/>
      <c r="EM223" s="215"/>
      <c r="EN223" s="215"/>
      <c r="EO223" s="215"/>
      <c r="EP223" s="215"/>
      <c r="EQ223" s="215"/>
      <c r="ER223" s="215"/>
      <c r="ES223" s="215"/>
      <c r="ET223" s="215"/>
      <c r="EU223" s="215"/>
      <c r="EV223" s="215"/>
      <c r="EW223" s="215"/>
      <c r="EX223" s="215"/>
      <c r="EY223" s="215"/>
      <c r="EZ223" s="215"/>
      <c r="FA223" s="215"/>
      <c r="FB223" s="215"/>
      <c r="FC223" s="215"/>
      <c r="FD223" s="215"/>
      <c r="FE223" s="215"/>
      <c r="FF223" s="215"/>
      <c r="FG223" s="215"/>
      <c r="FH223" s="215"/>
      <c r="FI223" s="215"/>
      <c r="FJ223" s="215"/>
      <c r="FK223" s="215"/>
      <c r="FL223" s="215"/>
      <c r="FM223" s="215"/>
      <c r="FN223" s="215"/>
      <c r="FO223" s="215"/>
      <c r="FP223" s="215"/>
      <c r="FQ223" s="215"/>
      <c r="FR223" s="215"/>
      <c r="FS223" s="215"/>
      <c r="FT223" s="215"/>
      <c r="FU223" s="215"/>
      <c r="FV223" s="215"/>
      <c r="FW223" s="215"/>
      <c r="FX223" s="215"/>
      <c r="FY223" s="215"/>
      <c r="FZ223" s="215"/>
      <c r="GA223" s="215"/>
      <c r="GB223" s="215"/>
      <c r="GC223" s="215"/>
      <c r="GD223" s="215"/>
      <c r="GE223" s="215"/>
      <c r="GF223" s="215"/>
      <c r="GG223" s="215"/>
      <c r="GH223" s="215"/>
      <c r="GI223" s="215"/>
      <c r="GJ223" s="215"/>
    </row>
    <row r="224" spans="49:192" x14ac:dyDescent="0.2">
      <c r="AW224" s="215"/>
      <c r="AX224" s="215"/>
      <c r="AY224" s="215"/>
      <c r="AZ224" s="215"/>
      <c r="BA224" s="215"/>
      <c r="BB224" s="215"/>
      <c r="BC224" s="215"/>
      <c r="BD224" s="215"/>
      <c r="BE224" s="215"/>
      <c r="BF224" s="215"/>
      <c r="BG224" s="215"/>
      <c r="BH224" s="215"/>
      <c r="BI224" s="215"/>
      <c r="BJ224" s="215"/>
      <c r="BK224" s="215"/>
      <c r="BL224" s="215"/>
      <c r="BM224" s="215"/>
      <c r="BN224" s="215"/>
      <c r="BO224" s="215"/>
      <c r="BP224" s="215"/>
      <c r="BQ224" s="215"/>
      <c r="BR224" s="215"/>
      <c r="BS224" s="215"/>
      <c r="BT224" s="215"/>
      <c r="BU224" s="215"/>
      <c r="BV224" s="215"/>
      <c r="BW224" s="215"/>
      <c r="BX224" s="215"/>
      <c r="BY224" s="215"/>
      <c r="BZ224" s="215"/>
      <c r="CA224" s="215"/>
      <c r="CB224" s="215"/>
      <c r="CC224" s="215"/>
      <c r="CD224" s="215"/>
      <c r="CE224" s="215"/>
      <c r="CF224" s="215"/>
      <c r="CG224" s="215"/>
      <c r="CH224" s="215"/>
      <c r="CI224" s="215"/>
      <c r="CJ224" s="215"/>
      <c r="CK224" s="215"/>
      <c r="CL224" s="215"/>
      <c r="CM224" s="215"/>
      <c r="CN224" s="215"/>
      <c r="CO224" s="215"/>
      <c r="CP224" s="215"/>
      <c r="CQ224" s="215"/>
      <c r="CR224" s="215"/>
      <c r="CS224" s="215"/>
      <c r="CT224" s="215"/>
      <c r="CU224" s="215"/>
      <c r="CV224" s="215"/>
      <c r="CW224" s="215"/>
      <c r="CX224" s="215"/>
      <c r="CY224" s="215"/>
      <c r="CZ224" s="215"/>
      <c r="DA224" s="215"/>
      <c r="DB224" s="215"/>
      <c r="DC224" s="215"/>
      <c r="DD224" s="215"/>
      <c r="DE224" s="215"/>
      <c r="DF224" s="215"/>
      <c r="DG224" s="215"/>
      <c r="DH224" s="215"/>
      <c r="DI224" s="215"/>
      <c r="DJ224" s="215"/>
      <c r="DK224" s="215"/>
      <c r="DL224" s="215"/>
      <c r="DM224" s="215"/>
      <c r="DN224" s="215"/>
      <c r="DO224" s="215"/>
      <c r="DP224" s="215"/>
      <c r="DQ224" s="215"/>
      <c r="DR224" s="215"/>
      <c r="DS224" s="215"/>
      <c r="DT224" s="215"/>
      <c r="DU224" s="215"/>
      <c r="DV224" s="215"/>
      <c r="DW224" s="215"/>
      <c r="DX224" s="215"/>
      <c r="DY224" s="215"/>
      <c r="DZ224" s="215"/>
      <c r="EA224" s="215"/>
      <c r="EB224" s="215"/>
      <c r="EC224" s="215"/>
      <c r="ED224" s="215"/>
      <c r="EE224" s="215"/>
      <c r="EF224" s="215"/>
      <c r="EG224" s="215"/>
      <c r="EH224" s="215"/>
      <c r="EI224" s="215"/>
      <c r="EJ224" s="215"/>
      <c r="EK224" s="215"/>
      <c r="EL224" s="215"/>
      <c r="EM224" s="215"/>
      <c r="EN224" s="215"/>
      <c r="EO224" s="215"/>
      <c r="EP224" s="215"/>
      <c r="EQ224" s="215"/>
      <c r="ER224" s="215"/>
      <c r="ES224" s="215"/>
      <c r="ET224" s="215"/>
      <c r="EU224" s="215"/>
      <c r="EV224" s="215"/>
      <c r="EW224" s="215"/>
      <c r="EX224" s="215"/>
      <c r="EY224" s="215"/>
      <c r="EZ224" s="215"/>
      <c r="FA224" s="215"/>
      <c r="FB224" s="215"/>
      <c r="FC224" s="215"/>
      <c r="FD224" s="215"/>
      <c r="FE224" s="215"/>
      <c r="FF224" s="215"/>
      <c r="FG224" s="215"/>
      <c r="FH224" s="215"/>
      <c r="FI224" s="215"/>
      <c r="FJ224" s="215"/>
      <c r="FK224" s="215"/>
      <c r="FL224" s="215"/>
      <c r="FM224" s="215"/>
      <c r="FN224" s="215"/>
      <c r="FO224" s="215"/>
      <c r="FP224" s="215"/>
      <c r="FQ224" s="215"/>
      <c r="FR224" s="215"/>
      <c r="FS224" s="215"/>
      <c r="FT224" s="215"/>
      <c r="FU224" s="215"/>
      <c r="FV224" s="215"/>
      <c r="FW224" s="215"/>
      <c r="FX224" s="215"/>
      <c r="FY224" s="215"/>
      <c r="FZ224" s="215"/>
      <c r="GA224" s="215"/>
      <c r="GB224" s="215"/>
      <c r="GC224" s="215"/>
      <c r="GD224" s="215"/>
      <c r="GE224" s="215"/>
      <c r="GF224" s="215"/>
      <c r="GG224" s="215"/>
      <c r="GH224" s="215"/>
      <c r="GI224" s="215"/>
      <c r="GJ224" s="215"/>
    </row>
  </sheetData>
  <mergeCells count="1043">
    <mergeCell ref="XCC202:XCR202"/>
    <mergeCell ref="XCS202:XDH202"/>
    <mergeCell ref="XDI202:XDX202"/>
    <mergeCell ref="XDY202:XEN202"/>
    <mergeCell ref="XEO202:XFD202"/>
    <mergeCell ref="WZA202:WZP202"/>
    <mergeCell ref="WZQ202:XAF202"/>
    <mergeCell ref="XAG202:XAV202"/>
    <mergeCell ref="XAW202:XBL202"/>
    <mergeCell ref="XBM202:XCB202"/>
    <mergeCell ref="WVY202:WWN202"/>
    <mergeCell ref="WWO202:WXD202"/>
    <mergeCell ref="WXE202:WXT202"/>
    <mergeCell ref="WXU202:WYJ202"/>
    <mergeCell ref="WYK202:WYZ202"/>
    <mergeCell ref="WSW202:WTL202"/>
    <mergeCell ref="WTM202:WUB202"/>
    <mergeCell ref="WUC202:WUR202"/>
    <mergeCell ref="WUS202:WVH202"/>
    <mergeCell ref="WVI202:WVX202"/>
    <mergeCell ref="WPU202:WQJ202"/>
    <mergeCell ref="WQK202:WQZ202"/>
    <mergeCell ref="WRA202:WRP202"/>
    <mergeCell ref="WRQ202:WSF202"/>
    <mergeCell ref="WSG202:WSV202"/>
    <mergeCell ref="WMS202:WNH202"/>
    <mergeCell ref="WNI202:WNX202"/>
    <mergeCell ref="WNY202:WON202"/>
    <mergeCell ref="WOO202:WPD202"/>
    <mergeCell ref="WPE202:WPT202"/>
    <mergeCell ref="WJQ202:WKF202"/>
    <mergeCell ref="WKG202:WKV202"/>
    <mergeCell ref="WKW202:WLL202"/>
    <mergeCell ref="WLM202:WMB202"/>
    <mergeCell ref="WMC202:WMR202"/>
    <mergeCell ref="WGO202:WHD202"/>
    <mergeCell ref="WHE202:WHT202"/>
    <mergeCell ref="WHU202:WIJ202"/>
    <mergeCell ref="WIK202:WIZ202"/>
    <mergeCell ref="WJA202:WJP202"/>
    <mergeCell ref="WDM202:WEB202"/>
    <mergeCell ref="WEC202:WER202"/>
    <mergeCell ref="WES202:WFH202"/>
    <mergeCell ref="WFI202:WFX202"/>
    <mergeCell ref="WFY202:WGN202"/>
    <mergeCell ref="WAK202:WAZ202"/>
    <mergeCell ref="WBA202:WBP202"/>
    <mergeCell ref="WBQ202:WCF202"/>
    <mergeCell ref="WCG202:WCV202"/>
    <mergeCell ref="WCW202:WDL202"/>
    <mergeCell ref="VXI202:VXX202"/>
    <mergeCell ref="VXY202:VYN202"/>
    <mergeCell ref="VYO202:VZD202"/>
    <mergeCell ref="VZE202:VZT202"/>
    <mergeCell ref="VZU202:WAJ202"/>
    <mergeCell ref="VUG202:VUV202"/>
    <mergeCell ref="VUW202:VVL202"/>
    <mergeCell ref="VVM202:VWB202"/>
    <mergeCell ref="VWC202:VWR202"/>
    <mergeCell ref="VWS202:VXH202"/>
    <mergeCell ref="VRE202:VRT202"/>
    <mergeCell ref="VRU202:VSJ202"/>
    <mergeCell ref="VSK202:VSZ202"/>
    <mergeCell ref="VTA202:VTP202"/>
    <mergeCell ref="VTQ202:VUF202"/>
    <mergeCell ref="VOC202:VOR202"/>
    <mergeCell ref="VOS202:VPH202"/>
    <mergeCell ref="VPI202:VPX202"/>
    <mergeCell ref="VPY202:VQN202"/>
    <mergeCell ref="VQO202:VRD202"/>
    <mergeCell ref="VLA202:VLP202"/>
    <mergeCell ref="VLQ202:VMF202"/>
    <mergeCell ref="VMG202:VMV202"/>
    <mergeCell ref="VMW202:VNL202"/>
    <mergeCell ref="VNM202:VOB202"/>
    <mergeCell ref="VHY202:VIN202"/>
    <mergeCell ref="VIO202:VJD202"/>
    <mergeCell ref="VJE202:VJT202"/>
    <mergeCell ref="VJU202:VKJ202"/>
    <mergeCell ref="VKK202:VKZ202"/>
    <mergeCell ref="VEW202:VFL202"/>
    <mergeCell ref="VFM202:VGB202"/>
    <mergeCell ref="VGC202:VGR202"/>
    <mergeCell ref="VGS202:VHH202"/>
    <mergeCell ref="VHI202:VHX202"/>
    <mergeCell ref="VBU202:VCJ202"/>
    <mergeCell ref="VCK202:VCZ202"/>
    <mergeCell ref="VDA202:VDP202"/>
    <mergeCell ref="VDQ202:VEF202"/>
    <mergeCell ref="VEG202:VEV202"/>
    <mergeCell ref="UYS202:UZH202"/>
    <mergeCell ref="UZI202:UZX202"/>
    <mergeCell ref="UZY202:VAN202"/>
    <mergeCell ref="VAO202:VBD202"/>
    <mergeCell ref="VBE202:VBT202"/>
    <mergeCell ref="UVQ202:UWF202"/>
    <mergeCell ref="UWG202:UWV202"/>
    <mergeCell ref="UWW202:UXL202"/>
    <mergeCell ref="UXM202:UYB202"/>
    <mergeCell ref="UYC202:UYR202"/>
    <mergeCell ref="USO202:UTD202"/>
    <mergeCell ref="UTE202:UTT202"/>
    <mergeCell ref="UTU202:UUJ202"/>
    <mergeCell ref="UUK202:UUZ202"/>
    <mergeCell ref="UVA202:UVP202"/>
    <mergeCell ref="UPM202:UQB202"/>
    <mergeCell ref="UQC202:UQR202"/>
    <mergeCell ref="UQS202:URH202"/>
    <mergeCell ref="URI202:URX202"/>
    <mergeCell ref="URY202:USN202"/>
    <mergeCell ref="UMK202:UMZ202"/>
    <mergeCell ref="UNA202:UNP202"/>
    <mergeCell ref="UNQ202:UOF202"/>
    <mergeCell ref="UOG202:UOV202"/>
    <mergeCell ref="UOW202:UPL202"/>
    <mergeCell ref="UJI202:UJX202"/>
    <mergeCell ref="UJY202:UKN202"/>
    <mergeCell ref="UKO202:ULD202"/>
    <mergeCell ref="ULE202:ULT202"/>
    <mergeCell ref="ULU202:UMJ202"/>
    <mergeCell ref="UGG202:UGV202"/>
    <mergeCell ref="UGW202:UHL202"/>
    <mergeCell ref="UHM202:UIB202"/>
    <mergeCell ref="UIC202:UIR202"/>
    <mergeCell ref="UIS202:UJH202"/>
    <mergeCell ref="UDE202:UDT202"/>
    <mergeCell ref="UDU202:UEJ202"/>
    <mergeCell ref="UEK202:UEZ202"/>
    <mergeCell ref="UFA202:UFP202"/>
    <mergeCell ref="UFQ202:UGF202"/>
    <mergeCell ref="UAC202:UAR202"/>
    <mergeCell ref="UAS202:UBH202"/>
    <mergeCell ref="UBI202:UBX202"/>
    <mergeCell ref="UBY202:UCN202"/>
    <mergeCell ref="UCO202:UDD202"/>
    <mergeCell ref="TXA202:TXP202"/>
    <mergeCell ref="TXQ202:TYF202"/>
    <mergeCell ref="TYG202:TYV202"/>
    <mergeCell ref="TYW202:TZL202"/>
    <mergeCell ref="TZM202:UAB202"/>
    <mergeCell ref="TTY202:TUN202"/>
    <mergeCell ref="TUO202:TVD202"/>
    <mergeCell ref="TVE202:TVT202"/>
    <mergeCell ref="TVU202:TWJ202"/>
    <mergeCell ref="TWK202:TWZ202"/>
    <mergeCell ref="TQW202:TRL202"/>
    <mergeCell ref="TRM202:TSB202"/>
    <mergeCell ref="TSC202:TSR202"/>
    <mergeCell ref="TSS202:TTH202"/>
    <mergeCell ref="TTI202:TTX202"/>
    <mergeCell ref="TNU202:TOJ202"/>
    <mergeCell ref="TOK202:TOZ202"/>
    <mergeCell ref="TPA202:TPP202"/>
    <mergeCell ref="TPQ202:TQF202"/>
    <mergeCell ref="TQG202:TQV202"/>
    <mergeCell ref="TKS202:TLH202"/>
    <mergeCell ref="TLI202:TLX202"/>
    <mergeCell ref="TLY202:TMN202"/>
    <mergeCell ref="TMO202:TND202"/>
    <mergeCell ref="TNE202:TNT202"/>
    <mergeCell ref="THQ202:TIF202"/>
    <mergeCell ref="TIG202:TIV202"/>
    <mergeCell ref="TIW202:TJL202"/>
    <mergeCell ref="TJM202:TKB202"/>
    <mergeCell ref="TKC202:TKR202"/>
    <mergeCell ref="TEO202:TFD202"/>
    <mergeCell ref="TFE202:TFT202"/>
    <mergeCell ref="TFU202:TGJ202"/>
    <mergeCell ref="TGK202:TGZ202"/>
    <mergeCell ref="THA202:THP202"/>
    <mergeCell ref="TBM202:TCB202"/>
    <mergeCell ref="TCC202:TCR202"/>
    <mergeCell ref="TCS202:TDH202"/>
    <mergeCell ref="TDI202:TDX202"/>
    <mergeCell ref="TDY202:TEN202"/>
    <mergeCell ref="SYK202:SYZ202"/>
    <mergeCell ref="SZA202:SZP202"/>
    <mergeCell ref="SZQ202:TAF202"/>
    <mergeCell ref="TAG202:TAV202"/>
    <mergeCell ref="TAW202:TBL202"/>
    <mergeCell ref="SVI202:SVX202"/>
    <mergeCell ref="SVY202:SWN202"/>
    <mergeCell ref="SWO202:SXD202"/>
    <mergeCell ref="SXE202:SXT202"/>
    <mergeCell ref="SXU202:SYJ202"/>
    <mergeCell ref="SSG202:SSV202"/>
    <mergeCell ref="SSW202:STL202"/>
    <mergeCell ref="STM202:SUB202"/>
    <mergeCell ref="SUC202:SUR202"/>
    <mergeCell ref="SUS202:SVH202"/>
    <mergeCell ref="SPE202:SPT202"/>
    <mergeCell ref="SPU202:SQJ202"/>
    <mergeCell ref="SQK202:SQZ202"/>
    <mergeCell ref="SRA202:SRP202"/>
    <mergeCell ref="SRQ202:SSF202"/>
    <mergeCell ref="SMC202:SMR202"/>
    <mergeCell ref="SMS202:SNH202"/>
    <mergeCell ref="SNI202:SNX202"/>
    <mergeCell ref="SNY202:SON202"/>
    <mergeCell ref="SOO202:SPD202"/>
    <mergeCell ref="SJA202:SJP202"/>
    <mergeCell ref="SJQ202:SKF202"/>
    <mergeCell ref="SKG202:SKV202"/>
    <mergeCell ref="SKW202:SLL202"/>
    <mergeCell ref="SLM202:SMB202"/>
    <mergeCell ref="SFY202:SGN202"/>
    <mergeCell ref="SGO202:SHD202"/>
    <mergeCell ref="SHE202:SHT202"/>
    <mergeCell ref="SHU202:SIJ202"/>
    <mergeCell ref="SIK202:SIZ202"/>
    <mergeCell ref="SCW202:SDL202"/>
    <mergeCell ref="SDM202:SEB202"/>
    <mergeCell ref="SEC202:SER202"/>
    <mergeCell ref="SES202:SFH202"/>
    <mergeCell ref="SFI202:SFX202"/>
    <mergeCell ref="RZU202:SAJ202"/>
    <mergeCell ref="SAK202:SAZ202"/>
    <mergeCell ref="SBA202:SBP202"/>
    <mergeCell ref="SBQ202:SCF202"/>
    <mergeCell ref="SCG202:SCV202"/>
    <mergeCell ref="RWS202:RXH202"/>
    <mergeCell ref="RXI202:RXX202"/>
    <mergeCell ref="RXY202:RYN202"/>
    <mergeCell ref="RYO202:RZD202"/>
    <mergeCell ref="RZE202:RZT202"/>
    <mergeCell ref="RTQ202:RUF202"/>
    <mergeCell ref="RUG202:RUV202"/>
    <mergeCell ref="RUW202:RVL202"/>
    <mergeCell ref="RVM202:RWB202"/>
    <mergeCell ref="RWC202:RWR202"/>
    <mergeCell ref="RQO202:RRD202"/>
    <mergeCell ref="RRE202:RRT202"/>
    <mergeCell ref="RRU202:RSJ202"/>
    <mergeCell ref="RSK202:RSZ202"/>
    <mergeCell ref="RTA202:RTP202"/>
    <mergeCell ref="RNM202:ROB202"/>
    <mergeCell ref="ROC202:ROR202"/>
    <mergeCell ref="ROS202:RPH202"/>
    <mergeCell ref="RPI202:RPX202"/>
    <mergeCell ref="RPY202:RQN202"/>
    <mergeCell ref="RKK202:RKZ202"/>
    <mergeCell ref="RLA202:RLP202"/>
    <mergeCell ref="RLQ202:RMF202"/>
    <mergeCell ref="RMG202:RMV202"/>
    <mergeCell ref="RMW202:RNL202"/>
    <mergeCell ref="RHI202:RHX202"/>
    <mergeCell ref="RHY202:RIN202"/>
    <mergeCell ref="RIO202:RJD202"/>
    <mergeCell ref="RJE202:RJT202"/>
    <mergeCell ref="RJU202:RKJ202"/>
    <mergeCell ref="REG202:REV202"/>
    <mergeCell ref="REW202:RFL202"/>
    <mergeCell ref="RFM202:RGB202"/>
    <mergeCell ref="RGC202:RGR202"/>
    <mergeCell ref="RGS202:RHH202"/>
    <mergeCell ref="RBE202:RBT202"/>
    <mergeCell ref="RBU202:RCJ202"/>
    <mergeCell ref="RCK202:RCZ202"/>
    <mergeCell ref="RDA202:RDP202"/>
    <mergeCell ref="RDQ202:REF202"/>
    <mergeCell ref="QYC202:QYR202"/>
    <mergeCell ref="QYS202:QZH202"/>
    <mergeCell ref="QZI202:QZX202"/>
    <mergeCell ref="QZY202:RAN202"/>
    <mergeCell ref="RAO202:RBD202"/>
    <mergeCell ref="QVA202:QVP202"/>
    <mergeCell ref="QVQ202:QWF202"/>
    <mergeCell ref="QWG202:QWV202"/>
    <mergeCell ref="QWW202:QXL202"/>
    <mergeCell ref="QXM202:QYB202"/>
    <mergeCell ref="QRY202:QSN202"/>
    <mergeCell ref="QSO202:QTD202"/>
    <mergeCell ref="QTE202:QTT202"/>
    <mergeCell ref="QTU202:QUJ202"/>
    <mergeCell ref="QUK202:QUZ202"/>
    <mergeCell ref="QOW202:QPL202"/>
    <mergeCell ref="QPM202:QQB202"/>
    <mergeCell ref="QQC202:QQR202"/>
    <mergeCell ref="QQS202:QRH202"/>
    <mergeCell ref="QRI202:QRX202"/>
    <mergeCell ref="QLU202:QMJ202"/>
    <mergeCell ref="QMK202:QMZ202"/>
    <mergeCell ref="QNA202:QNP202"/>
    <mergeCell ref="QNQ202:QOF202"/>
    <mergeCell ref="QOG202:QOV202"/>
    <mergeCell ref="QIS202:QJH202"/>
    <mergeCell ref="QJI202:QJX202"/>
    <mergeCell ref="QJY202:QKN202"/>
    <mergeCell ref="QKO202:QLD202"/>
    <mergeCell ref="QLE202:QLT202"/>
    <mergeCell ref="QFQ202:QGF202"/>
    <mergeCell ref="QGG202:QGV202"/>
    <mergeCell ref="QGW202:QHL202"/>
    <mergeCell ref="QHM202:QIB202"/>
    <mergeCell ref="QIC202:QIR202"/>
    <mergeCell ref="QCO202:QDD202"/>
    <mergeCell ref="QDE202:QDT202"/>
    <mergeCell ref="QDU202:QEJ202"/>
    <mergeCell ref="QEK202:QEZ202"/>
    <mergeCell ref="QFA202:QFP202"/>
    <mergeCell ref="PZM202:QAB202"/>
    <mergeCell ref="QAC202:QAR202"/>
    <mergeCell ref="QAS202:QBH202"/>
    <mergeCell ref="QBI202:QBX202"/>
    <mergeCell ref="QBY202:QCN202"/>
    <mergeCell ref="PWK202:PWZ202"/>
    <mergeCell ref="PXA202:PXP202"/>
    <mergeCell ref="PXQ202:PYF202"/>
    <mergeCell ref="PYG202:PYV202"/>
    <mergeCell ref="PYW202:PZL202"/>
    <mergeCell ref="PTI202:PTX202"/>
    <mergeCell ref="PTY202:PUN202"/>
    <mergeCell ref="PUO202:PVD202"/>
    <mergeCell ref="PVE202:PVT202"/>
    <mergeCell ref="PVU202:PWJ202"/>
    <mergeCell ref="PQG202:PQV202"/>
    <mergeCell ref="PQW202:PRL202"/>
    <mergeCell ref="PRM202:PSB202"/>
    <mergeCell ref="PSC202:PSR202"/>
    <mergeCell ref="PSS202:PTH202"/>
    <mergeCell ref="PNE202:PNT202"/>
    <mergeCell ref="PNU202:POJ202"/>
    <mergeCell ref="POK202:POZ202"/>
    <mergeCell ref="PPA202:PPP202"/>
    <mergeCell ref="PPQ202:PQF202"/>
    <mergeCell ref="PKC202:PKR202"/>
    <mergeCell ref="PKS202:PLH202"/>
    <mergeCell ref="PLI202:PLX202"/>
    <mergeCell ref="PLY202:PMN202"/>
    <mergeCell ref="PMO202:PND202"/>
    <mergeCell ref="PHA202:PHP202"/>
    <mergeCell ref="PHQ202:PIF202"/>
    <mergeCell ref="PIG202:PIV202"/>
    <mergeCell ref="PIW202:PJL202"/>
    <mergeCell ref="PJM202:PKB202"/>
    <mergeCell ref="PDY202:PEN202"/>
    <mergeCell ref="PEO202:PFD202"/>
    <mergeCell ref="PFE202:PFT202"/>
    <mergeCell ref="PFU202:PGJ202"/>
    <mergeCell ref="PGK202:PGZ202"/>
    <mergeCell ref="PAW202:PBL202"/>
    <mergeCell ref="PBM202:PCB202"/>
    <mergeCell ref="PCC202:PCR202"/>
    <mergeCell ref="PCS202:PDH202"/>
    <mergeCell ref="PDI202:PDX202"/>
    <mergeCell ref="OXU202:OYJ202"/>
    <mergeCell ref="OYK202:OYZ202"/>
    <mergeCell ref="OZA202:OZP202"/>
    <mergeCell ref="OZQ202:PAF202"/>
    <mergeCell ref="PAG202:PAV202"/>
    <mergeCell ref="OUS202:OVH202"/>
    <mergeCell ref="OVI202:OVX202"/>
    <mergeCell ref="OVY202:OWN202"/>
    <mergeCell ref="OWO202:OXD202"/>
    <mergeCell ref="OXE202:OXT202"/>
    <mergeCell ref="ORQ202:OSF202"/>
    <mergeCell ref="OSG202:OSV202"/>
    <mergeCell ref="OSW202:OTL202"/>
    <mergeCell ref="OTM202:OUB202"/>
    <mergeCell ref="OUC202:OUR202"/>
    <mergeCell ref="OOO202:OPD202"/>
    <mergeCell ref="OPE202:OPT202"/>
    <mergeCell ref="OPU202:OQJ202"/>
    <mergeCell ref="OQK202:OQZ202"/>
    <mergeCell ref="ORA202:ORP202"/>
    <mergeCell ref="OLM202:OMB202"/>
    <mergeCell ref="OMC202:OMR202"/>
    <mergeCell ref="OMS202:ONH202"/>
    <mergeCell ref="ONI202:ONX202"/>
    <mergeCell ref="ONY202:OON202"/>
    <mergeCell ref="OIK202:OIZ202"/>
    <mergeCell ref="OJA202:OJP202"/>
    <mergeCell ref="OJQ202:OKF202"/>
    <mergeCell ref="OKG202:OKV202"/>
    <mergeCell ref="OKW202:OLL202"/>
    <mergeCell ref="OFI202:OFX202"/>
    <mergeCell ref="OFY202:OGN202"/>
    <mergeCell ref="OGO202:OHD202"/>
    <mergeCell ref="OHE202:OHT202"/>
    <mergeCell ref="OHU202:OIJ202"/>
    <mergeCell ref="OCG202:OCV202"/>
    <mergeCell ref="OCW202:ODL202"/>
    <mergeCell ref="ODM202:OEB202"/>
    <mergeCell ref="OEC202:OER202"/>
    <mergeCell ref="OES202:OFH202"/>
    <mergeCell ref="NZE202:NZT202"/>
    <mergeCell ref="NZU202:OAJ202"/>
    <mergeCell ref="OAK202:OAZ202"/>
    <mergeCell ref="OBA202:OBP202"/>
    <mergeCell ref="OBQ202:OCF202"/>
    <mergeCell ref="NWC202:NWR202"/>
    <mergeCell ref="NWS202:NXH202"/>
    <mergeCell ref="NXI202:NXX202"/>
    <mergeCell ref="NXY202:NYN202"/>
    <mergeCell ref="NYO202:NZD202"/>
    <mergeCell ref="NTA202:NTP202"/>
    <mergeCell ref="NTQ202:NUF202"/>
    <mergeCell ref="NUG202:NUV202"/>
    <mergeCell ref="NUW202:NVL202"/>
    <mergeCell ref="NVM202:NWB202"/>
    <mergeCell ref="NPY202:NQN202"/>
    <mergeCell ref="NQO202:NRD202"/>
    <mergeCell ref="NRE202:NRT202"/>
    <mergeCell ref="NRU202:NSJ202"/>
    <mergeCell ref="NSK202:NSZ202"/>
    <mergeCell ref="NMW202:NNL202"/>
    <mergeCell ref="NNM202:NOB202"/>
    <mergeCell ref="NOC202:NOR202"/>
    <mergeCell ref="NOS202:NPH202"/>
    <mergeCell ref="NPI202:NPX202"/>
    <mergeCell ref="NJU202:NKJ202"/>
    <mergeCell ref="NKK202:NKZ202"/>
    <mergeCell ref="NLA202:NLP202"/>
    <mergeCell ref="NLQ202:NMF202"/>
    <mergeCell ref="NMG202:NMV202"/>
    <mergeCell ref="NGS202:NHH202"/>
    <mergeCell ref="NHI202:NHX202"/>
    <mergeCell ref="NHY202:NIN202"/>
    <mergeCell ref="NIO202:NJD202"/>
    <mergeCell ref="NJE202:NJT202"/>
    <mergeCell ref="NDQ202:NEF202"/>
    <mergeCell ref="NEG202:NEV202"/>
    <mergeCell ref="NEW202:NFL202"/>
    <mergeCell ref="NFM202:NGB202"/>
    <mergeCell ref="NGC202:NGR202"/>
    <mergeCell ref="NAO202:NBD202"/>
    <mergeCell ref="NBE202:NBT202"/>
    <mergeCell ref="NBU202:NCJ202"/>
    <mergeCell ref="NCK202:NCZ202"/>
    <mergeCell ref="NDA202:NDP202"/>
    <mergeCell ref="MXM202:MYB202"/>
    <mergeCell ref="MYC202:MYR202"/>
    <mergeCell ref="MYS202:MZH202"/>
    <mergeCell ref="MZI202:MZX202"/>
    <mergeCell ref="MZY202:NAN202"/>
    <mergeCell ref="MUK202:MUZ202"/>
    <mergeCell ref="MVA202:MVP202"/>
    <mergeCell ref="MVQ202:MWF202"/>
    <mergeCell ref="MWG202:MWV202"/>
    <mergeCell ref="MWW202:MXL202"/>
    <mergeCell ref="MRI202:MRX202"/>
    <mergeCell ref="MRY202:MSN202"/>
    <mergeCell ref="MSO202:MTD202"/>
    <mergeCell ref="MTE202:MTT202"/>
    <mergeCell ref="MTU202:MUJ202"/>
    <mergeCell ref="MOG202:MOV202"/>
    <mergeCell ref="MOW202:MPL202"/>
    <mergeCell ref="MPM202:MQB202"/>
    <mergeCell ref="MQC202:MQR202"/>
    <mergeCell ref="MQS202:MRH202"/>
    <mergeCell ref="MLE202:MLT202"/>
    <mergeCell ref="MLU202:MMJ202"/>
    <mergeCell ref="MMK202:MMZ202"/>
    <mergeCell ref="MNA202:MNP202"/>
    <mergeCell ref="MNQ202:MOF202"/>
    <mergeCell ref="MIC202:MIR202"/>
    <mergeCell ref="MIS202:MJH202"/>
    <mergeCell ref="MJI202:MJX202"/>
    <mergeCell ref="MJY202:MKN202"/>
    <mergeCell ref="MKO202:MLD202"/>
    <mergeCell ref="MFA202:MFP202"/>
    <mergeCell ref="MFQ202:MGF202"/>
    <mergeCell ref="MGG202:MGV202"/>
    <mergeCell ref="MGW202:MHL202"/>
    <mergeCell ref="MHM202:MIB202"/>
    <mergeCell ref="MBY202:MCN202"/>
    <mergeCell ref="MCO202:MDD202"/>
    <mergeCell ref="MDE202:MDT202"/>
    <mergeCell ref="MDU202:MEJ202"/>
    <mergeCell ref="MEK202:MEZ202"/>
    <mergeCell ref="LYW202:LZL202"/>
    <mergeCell ref="LZM202:MAB202"/>
    <mergeCell ref="MAC202:MAR202"/>
    <mergeCell ref="MAS202:MBH202"/>
    <mergeCell ref="MBI202:MBX202"/>
    <mergeCell ref="LVU202:LWJ202"/>
    <mergeCell ref="LWK202:LWZ202"/>
    <mergeCell ref="LXA202:LXP202"/>
    <mergeCell ref="LXQ202:LYF202"/>
    <mergeCell ref="LYG202:LYV202"/>
    <mergeCell ref="LSS202:LTH202"/>
    <mergeCell ref="LTI202:LTX202"/>
    <mergeCell ref="LTY202:LUN202"/>
    <mergeCell ref="LUO202:LVD202"/>
    <mergeCell ref="LVE202:LVT202"/>
    <mergeCell ref="LPQ202:LQF202"/>
    <mergeCell ref="LQG202:LQV202"/>
    <mergeCell ref="LQW202:LRL202"/>
    <mergeCell ref="LRM202:LSB202"/>
    <mergeCell ref="LSC202:LSR202"/>
    <mergeCell ref="LMO202:LND202"/>
    <mergeCell ref="LNE202:LNT202"/>
    <mergeCell ref="LNU202:LOJ202"/>
    <mergeCell ref="LOK202:LOZ202"/>
    <mergeCell ref="LPA202:LPP202"/>
    <mergeCell ref="LJM202:LKB202"/>
    <mergeCell ref="LKC202:LKR202"/>
    <mergeCell ref="LKS202:LLH202"/>
    <mergeCell ref="LLI202:LLX202"/>
    <mergeCell ref="LLY202:LMN202"/>
    <mergeCell ref="LGK202:LGZ202"/>
    <mergeCell ref="LHA202:LHP202"/>
    <mergeCell ref="LHQ202:LIF202"/>
    <mergeCell ref="LIG202:LIV202"/>
    <mergeCell ref="LIW202:LJL202"/>
    <mergeCell ref="LDI202:LDX202"/>
    <mergeCell ref="LDY202:LEN202"/>
    <mergeCell ref="LEO202:LFD202"/>
    <mergeCell ref="LFE202:LFT202"/>
    <mergeCell ref="LFU202:LGJ202"/>
    <mergeCell ref="LAG202:LAV202"/>
    <mergeCell ref="LAW202:LBL202"/>
    <mergeCell ref="LBM202:LCB202"/>
    <mergeCell ref="LCC202:LCR202"/>
    <mergeCell ref="LCS202:LDH202"/>
    <mergeCell ref="KXE202:KXT202"/>
    <mergeCell ref="KXU202:KYJ202"/>
    <mergeCell ref="KYK202:KYZ202"/>
    <mergeCell ref="KZA202:KZP202"/>
    <mergeCell ref="KZQ202:LAF202"/>
    <mergeCell ref="KUC202:KUR202"/>
    <mergeCell ref="KUS202:KVH202"/>
    <mergeCell ref="KVI202:KVX202"/>
    <mergeCell ref="KVY202:KWN202"/>
    <mergeCell ref="KWO202:KXD202"/>
    <mergeCell ref="KRA202:KRP202"/>
    <mergeCell ref="KRQ202:KSF202"/>
    <mergeCell ref="KSG202:KSV202"/>
    <mergeCell ref="KSW202:KTL202"/>
    <mergeCell ref="KTM202:KUB202"/>
    <mergeCell ref="KNY202:KON202"/>
    <mergeCell ref="KOO202:KPD202"/>
    <mergeCell ref="KPE202:KPT202"/>
    <mergeCell ref="KPU202:KQJ202"/>
    <mergeCell ref="KQK202:KQZ202"/>
    <mergeCell ref="KKW202:KLL202"/>
    <mergeCell ref="KLM202:KMB202"/>
    <mergeCell ref="KMC202:KMR202"/>
    <mergeCell ref="KMS202:KNH202"/>
    <mergeCell ref="KNI202:KNX202"/>
    <mergeCell ref="KHU202:KIJ202"/>
    <mergeCell ref="KIK202:KIZ202"/>
    <mergeCell ref="KJA202:KJP202"/>
    <mergeCell ref="KJQ202:KKF202"/>
    <mergeCell ref="KKG202:KKV202"/>
    <mergeCell ref="KES202:KFH202"/>
    <mergeCell ref="KFI202:KFX202"/>
    <mergeCell ref="KFY202:KGN202"/>
    <mergeCell ref="KGO202:KHD202"/>
    <mergeCell ref="KHE202:KHT202"/>
    <mergeCell ref="KBQ202:KCF202"/>
    <mergeCell ref="KCG202:KCV202"/>
    <mergeCell ref="KCW202:KDL202"/>
    <mergeCell ref="KDM202:KEB202"/>
    <mergeCell ref="KEC202:KER202"/>
    <mergeCell ref="JYO202:JZD202"/>
    <mergeCell ref="JZE202:JZT202"/>
    <mergeCell ref="JZU202:KAJ202"/>
    <mergeCell ref="KAK202:KAZ202"/>
    <mergeCell ref="KBA202:KBP202"/>
    <mergeCell ref="JVM202:JWB202"/>
    <mergeCell ref="JWC202:JWR202"/>
    <mergeCell ref="JWS202:JXH202"/>
    <mergeCell ref="JXI202:JXX202"/>
    <mergeCell ref="JXY202:JYN202"/>
    <mergeCell ref="JSK202:JSZ202"/>
    <mergeCell ref="JTA202:JTP202"/>
    <mergeCell ref="JTQ202:JUF202"/>
    <mergeCell ref="JUG202:JUV202"/>
    <mergeCell ref="JUW202:JVL202"/>
    <mergeCell ref="JPI202:JPX202"/>
    <mergeCell ref="JPY202:JQN202"/>
    <mergeCell ref="JQO202:JRD202"/>
    <mergeCell ref="JRE202:JRT202"/>
    <mergeCell ref="JRU202:JSJ202"/>
    <mergeCell ref="JMG202:JMV202"/>
    <mergeCell ref="JMW202:JNL202"/>
    <mergeCell ref="JNM202:JOB202"/>
    <mergeCell ref="JOC202:JOR202"/>
    <mergeCell ref="JOS202:JPH202"/>
    <mergeCell ref="JJE202:JJT202"/>
    <mergeCell ref="JJU202:JKJ202"/>
    <mergeCell ref="JKK202:JKZ202"/>
    <mergeCell ref="JLA202:JLP202"/>
    <mergeCell ref="JLQ202:JMF202"/>
    <mergeCell ref="JGC202:JGR202"/>
    <mergeCell ref="JGS202:JHH202"/>
    <mergeCell ref="JHI202:JHX202"/>
    <mergeCell ref="JHY202:JIN202"/>
    <mergeCell ref="JIO202:JJD202"/>
    <mergeCell ref="JDA202:JDP202"/>
    <mergeCell ref="JDQ202:JEF202"/>
    <mergeCell ref="JEG202:JEV202"/>
    <mergeCell ref="JEW202:JFL202"/>
    <mergeCell ref="JFM202:JGB202"/>
    <mergeCell ref="IZY202:JAN202"/>
    <mergeCell ref="JAO202:JBD202"/>
    <mergeCell ref="JBE202:JBT202"/>
    <mergeCell ref="JBU202:JCJ202"/>
    <mergeCell ref="JCK202:JCZ202"/>
    <mergeCell ref="IWW202:IXL202"/>
    <mergeCell ref="IXM202:IYB202"/>
    <mergeCell ref="IYC202:IYR202"/>
    <mergeCell ref="IYS202:IZH202"/>
    <mergeCell ref="IZI202:IZX202"/>
    <mergeCell ref="ITU202:IUJ202"/>
    <mergeCell ref="IUK202:IUZ202"/>
    <mergeCell ref="IVA202:IVP202"/>
    <mergeCell ref="IVQ202:IWF202"/>
    <mergeCell ref="IWG202:IWV202"/>
    <mergeCell ref="IQS202:IRH202"/>
    <mergeCell ref="IRI202:IRX202"/>
    <mergeCell ref="IRY202:ISN202"/>
    <mergeCell ref="ISO202:ITD202"/>
    <mergeCell ref="ITE202:ITT202"/>
    <mergeCell ref="INQ202:IOF202"/>
    <mergeCell ref="IOG202:IOV202"/>
    <mergeCell ref="IOW202:IPL202"/>
    <mergeCell ref="IPM202:IQB202"/>
    <mergeCell ref="IQC202:IQR202"/>
    <mergeCell ref="IKO202:ILD202"/>
    <mergeCell ref="ILE202:ILT202"/>
    <mergeCell ref="ILU202:IMJ202"/>
    <mergeCell ref="IMK202:IMZ202"/>
    <mergeCell ref="INA202:INP202"/>
    <mergeCell ref="IHM202:IIB202"/>
    <mergeCell ref="IIC202:IIR202"/>
    <mergeCell ref="IIS202:IJH202"/>
    <mergeCell ref="IJI202:IJX202"/>
    <mergeCell ref="IJY202:IKN202"/>
    <mergeCell ref="IEK202:IEZ202"/>
    <mergeCell ref="IFA202:IFP202"/>
    <mergeCell ref="IFQ202:IGF202"/>
    <mergeCell ref="IGG202:IGV202"/>
    <mergeCell ref="IGW202:IHL202"/>
    <mergeCell ref="IBI202:IBX202"/>
    <mergeCell ref="IBY202:ICN202"/>
    <mergeCell ref="ICO202:IDD202"/>
    <mergeCell ref="IDE202:IDT202"/>
    <mergeCell ref="IDU202:IEJ202"/>
    <mergeCell ref="HYG202:HYV202"/>
    <mergeCell ref="HYW202:HZL202"/>
    <mergeCell ref="HZM202:IAB202"/>
    <mergeCell ref="IAC202:IAR202"/>
    <mergeCell ref="IAS202:IBH202"/>
    <mergeCell ref="HVE202:HVT202"/>
    <mergeCell ref="HVU202:HWJ202"/>
    <mergeCell ref="HWK202:HWZ202"/>
    <mergeCell ref="HXA202:HXP202"/>
    <mergeCell ref="HXQ202:HYF202"/>
    <mergeCell ref="HSC202:HSR202"/>
    <mergeCell ref="HSS202:HTH202"/>
    <mergeCell ref="HTI202:HTX202"/>
    <mergeCell ref="HTY202:HUN202"/>
    <mergeCell ref="HUO202:HVD202"/>
    <mergeCell ref="HPA202:HPP202"/>
    <mergeCell ref="HPQ202:HQF202"/>
    <mergeCell ref="HQG202:HQV202"/>
    <mergeCell ref="HQW202:HRL202"/>
    <mergeCell ref="HRM202:HSB202"/>
    <mergeCell ref="HLY202:HMN202"/>
    <mergeCell ref="HMO202:HND202"/>
    <mergeCell ref="HNE202:HNT202"/>
    <mergeCell ref="HNU202:HOJ202"/>
    <mergeCell ref="HOK202:HOZ202"/>
    <mergeCell ref="HIW202:HJL202"/>
    <mergeCell ref="HJM202:HKB202"/>
    <mergeCell ref="HKC202:HKR202"/>
    <mergeCell ref="HKS202:HLH202"/>
    <mergeCell ref="HLI202:HLX202"/>
    <mergeCell ref="HFU202:HGJ202"/>
    <mergeCell ref="HGK202:HGZ202"/>
    <mergeCell ref="HHA202:HHP202"/>
    <mergeCell ref="HHQ202:HIF202"/>
    <mergeCell ref="HIG202:HIV202"/>
    <mergeCell ref="HCS202:HDH202"/>
    <mergeCell ref="HDI202:HDX202"/>
    <mergeCell ref="HDY202:HEN202"/>
    <mergeCell ref="HEO202:HFD202"/>
    <mergeCell ref="HFE202:HFT202"/>
    <mergeCell ref="GZQ202:HAF202"/>
    <mergeCell ref="HAG202:HAV202"/>
    <mergeCell ref="HAW202:HBL202"/>
    <mergeCell ref="HBM202:HCB202"/>
    <mergeCell ref="HCC202:HCR202"/>
    <mergeCell ref="GWO202:GXD202"/>
    <mergeCell ref="GXE202:GXT202"/>
    <mergeCell ref="GXU202:GYJ202"/>
    <mergeCell ref="GYK202:GYZ202"/>
    <mergeCell ref="GZA202:GZP202"/>
    <mergeCell ref="GTM202:GUB202"/>
    <mergeCell ref="GUC202:GUR202"/>
    <mergeCell ref="GUS202:GVH202"/>
    <mergeCell ref="GVI202:GVX202"/>
    <mergeCell ref="GVY202:GWN202"/>
    <mergeCell ref="GQK202:GQZ202"/>
    <mergeCell ref="GRA202:GRP202"/>
    <mergeCell ref="GRQ202:GSF202"/>
    <mergeCell ref="GSG202:GSV202"/>
    <mergeCell ref="GSW202:GTL202"/>
    <mergeCell ref="GNI202:GNX202"/>
    <mergeCell ref="GNY202:GON202"/>
    <mergeCell ref="GOO202:GPD202"/>
    <mergeCell ref="GPE202:GPT202"/>
    <mergeCell ref="GPU202:GQJ202"/>
    <mergeCell ref="GKG202:GKV202"/>
    <mergeCell ref="GKW202:GLL202"/>
    <mergeCell ref="GLM202:GMB202"/>
    <mergeCell ref="GMC202:GMR202"/>
    <mergeCell ref="GMS202:GNH202"/>
    <mergeCell ref="GHE202:GHT202"/>
    <mergeCell ref="GHU202:GIJ202"/>
    <mergeCell ref="GIK202:GIZ202"/>
    <mergeCell ref="GJA202:GJP202"/>
    <mergeCell ref="GJQ202:GKF202"/>
    <mergeCell ref="GEC202:GER202"/>
    <mergeCell ref="GES202:GFH202"/>
    <mergeCell ref="GFI202:GFX202"/>
    <mergeCell ref="GFY202:GGN202"/>
    <mergeCell ref="GGO202:GHD202"/>
    <mergeCell ref="GBA202:GBP202"/>
    <mergeCell ref="GBQ202:GCF202"/>
    <mergeCell ref="GCG202:GCV202"/>
    <mergeCell ref="GCW202:GDL202"/>
    <mergeCell ref="GDM202:GEB202"/>
    <mergeCell ref="FXY202:FYN202"/>
    <mergeCell ref="FYO202:FZD202"/>
    <mergeCell ref="FZE202:FZT202"/>
    <mergeCell ref="FZU202:GAJ202"/>
    <mergeCell ref="GAK202:GAZ202"/>
    <mergeCell ref="FUW202:FVL202"/>
    <mergeCell ref="FVM202:FWB202"/>
    <mergeCell ref="FWC202:FWR202"/>
    <mergeCell ref="FWS202:FXH202"/>
    <mergeCell ref="FXI202:FXX202"/>
    <mergeCell ref="FRU202:FSJ202"/>
    <mergeCell ref="FSK202:FSZ202"/>
    <mergeCell ref="FTA202:FTP202"/>
    <mergeCell ref="FTQ202:FUF202"/>
    <mergeCell ref="FUG202:FUV202"/>
    <mergeCell ref="FOS202:FPH202"/>
    <mergeCell ref="FPI202:FPX202"/>
    <mergeCell ref="FPY202:FQN202"/>
    <mergeCell ref="FQO202:FRD202"/>
    <mergeCell ref="FRE202:FRT202"/>
    <mergeCell ref="FLQ202:FMF202"/>
    <mergeCell ref="FMG202:FMV202"/>
    <mergeCell ref="FMW202:FNL202"/>
    <mergeCell ref="FNM202:FOB202"/>
    <mergeCell ref="FOC202:FOR202"/>
    <mergeCell ref="FIO202:FJD202"/>
    <mergeCell ref="FJE202:FJT202"/>
    <mergeCell ref="FJU202:FKJ202"/>
    <mergeCell ref="FKK202:FKZ202"/>
    <mergeCell ref="FLA202:FLP202"/>
    <mergeCell ref="FFM202:FGB202"/>
    <mergeCell ref="FGC202:FGR202"/>
    <mergeCell ref="FGS202:FHH202"/>
    <mergeCell ref="FHI202:FHX202"/>
    <mergeCell ref="FHY202:FIN202"/>
    <mergeCell ref="FCK202:FCZ202"/>
    <mergeCell ref="FDA202:FDP202"/>
    <mergeCell ref="FDQ202:FEF202"/>
    <mergeCell ref="FEG202:FEV202"/>
    <mergeCell ref="FEW202:FFL202"/>
    <mergeCell ref="EZI202:EZX202"/>
    <mergeCell ref="EZY202:FAN202"/>
    <mergeCell ref="FAO202:FBD202"/>
    <mergeCell ref="FBE202:FBT202"/>
    <mergeCell ref="FBU202:FCJ202"/>
    <mergeCell ref="EWG202:EWV202"/>
    <mergeCell ref="EWW202:EXL202"/>
    <mergeCell ref="EXM202:EYB202"/>
    <mergeCell ref="EYC202:EYR202"/>
    <mergeCell ref="EYS202:EZH202"/>
    <mergeCell ref="ETE202:ETT202"/>
    <mergeCell ref="ETU202:EUJ202"/>
    <mergeCell ref="EUK202:EUZ202"/>
    <mergeCell ref="EVA202:EVP202"/>
    <mergeCell ref="EVQ202:EWF202"/>
    <mergeCell ref="EQC202:EQR202"/>
    <mergeCell ref="EQS202:ERH202"/>
    <mergeCell ref="ERI202:ERX202"/>
    <mergeCell ref="ERY202:ESN202"/>
    <mergeCell ref="ESO202:ETD202"/>
    <mergeCell ref="ENA202:ENP202"/>
    <mergeCell ref="ENQ202:EOF202"/>
    <mergeCell ref="EOG202:EOV202"/>
    <mergeCell ref="EOW202:EPL202"/>
    <mergeCell ref="EPM202:EQB202"/>
    <mergeCell ref="EJY202:EKN202"/>
    <mergeCell ref="EKO202:ELD202"/>
    <mergeCell ref="ELE202:ELT202"/>
    <mergeCell ref="ELU202:EMJ202"/>
    <mergeCell ref="EMK202:EMZ202"/>
    <mergeCell ref="EGW202:EHL202"/>
    <mergeCell ref="EHM202:EIB202"/>
    <mergeCell ref="EIC202:EIR202"/>
    <mergeCell ref="EIS202:EJH202"/>
    <mergeCell ref="EJI202:EJX202"/>
    <mergeCell ref="EDU202:EEJ202"/>
    <mergeCell ref="EEK202:EEZ202"/>
    <mergeCell ref="EFA202:EFP202"/>
    <mergeCell ref="EFQ202:EGF202"/>
    <mergeCell ref="EGG202:EGV202"/>
    <mergeCell ref="EAS202:EBH202"/>
    <mergeCell ref="EBI202:EBX202"/>
    <mergeCell ref="EBY202:ECN202"/>
    <mergeCell ref="ECO202:EDD202"/>
    <mergeCell ref="EDE202:EDT202"/>
    <mergeCell ref="DXQ202:DYF202"/>
    <mergeCell ref="DYG202:DYV202"/>
    <mergeCell ref="DYW202:DZL202"/>
    <mergeCell ref="DZM202:EAB202"/>
    <mergeCell ref="EAC202:EAR202"/>
    <mergeCell ref="DUO202:DVD202"/>
    <mergeCell ref="DVE202:DVT202"/>
    <mergeCell ref="DVU202:DWJ202"/>
    <mergeCell ref="DWK202:DWZ202"/>
    <mergeCell ref="DXA202:DXP202"/>
    <mergeCell ref="DRM202:DSB202"/>
    <mergeCell ref="DSC202:DSR202"/>
    <mergeCell ref="DSS202:DTH202"/>
    <mergeCell ref="DTI202:DTX202"/>
    <mergeCell ref="DTY202:DUN202"/>
    <mergeCell ref="DOK202:DOZ202"/>
    <mergeCell ref="DPA202:DPP202"/>
    <mergeCell ref="DPQ202:DQF202"/>
    <mergeCell ref="DQG202:DQV202"/>
    <mergeCell ref="DQW202:DRL202"/>
    <mergeCell ref="DLI202:DLX202"/>
    <mergeCell ref="DLY202:DMN202"/>
    <mergeCell ref="DMO202:DND202"/>
    <mergeCell ref="DNE202:DNT202"/>
    <mergeCell ref="DNU202:DOJ202"/>
    <mergeCell ref="DIG202:DIV202"/>
    <mergeCell ref="DIW202:DJL202"/>
    <mergeCell ref="DJM202:DKB202"/>
    <mergeCell ref="DKC202:DKR202"/>
    <mergeCell ref="DKS202:DLH202"/>
    <mergeCell ref="DFE202:DFT202"/>
    <mergeCell ref="DFU202:DGJ202"/>
    <mergeCell ref="DGK202:DGZ202"/>
    <mergeCell ref="DHA202:DHP202"/>
    <mergeCell ref="DHQ202:DIF202"/>
    <mergeCell ref="DCC202:DCR202"/>
    <mergeCell ref="DCS202:DDH202"/>
    <mergeCell ref="DDI202:DDX202"/>
    <mergeCell ref="DDY202:DEN202"/>
    <mergeCell ref="DEO202:DFD202"/>
    <mergeCell ref="CZA202:CZP202"/>
    <mergeCell ref="CZQ202:DAF202"/>
    <mergeCell ref="DAG202:DAV202"/>
    <mergeCell ref="DAW202:DBL202"/>
    <mergeCell ref="DBM202:DCB202"/>
    <mergeCell ref="CVY202:CWN202"/>
    <mergeCell ref="CWO202:CXD202"/>
    <mergeCell ref="CXE202:CXT202"/>
    <mergeCell ref="CXU202:CYJ202"/>
    <mergeCell ref="CYK202:CYZ202"/>
    <mergeCell ref="CSW202:CTL202"/>
    <mergeCell ref="CTM202:CUB202"/>
    <mergeCell ref="CUC202:CUR202"/>
    <mergeCell ref="CUS202:CVH202"/>
    <mergeCell ref="CVI202:CVX202"/>
    <mergeCell ref="CPU202:CQJ202"/>
    <mergeCell ref="CQK202:CQZ202"/>
    <mergeCell ref="CRA202:CRP202"/>
    <mergeCell ref="CRQ202:CSF202"/>
    <mergeCell ref="CSG202:CSV202"/>
    <mergeCell ref="CMS202:CNH202"/>
    <mergeCell ref="CNI202:CNX202"/>
    <mergeCell ref="CNY202:CON202"/>
    <mergeCell ref="COO202:CPD202"/>
    <mergeCell ref="CPE202:CPT202"/>
    <mergeCell ref="CJQ202:CKF202"/>
    <mergeCell ref="CKG202:CKV202"/>
    <mergeCell ref="CKW202:CLL202"/>
    <mergeCell ref="CLM202:CMB202"/>
    <mergeCell ref="CMC202:CMR202"/>
    <mergeCell ref="CGO202:CHD202"/>
    <mergeCell ref="CHE202:CHT202"/>
    <mergeCell ref="CHU202:CIJ202"/>
    <mergeCell ref="CIK202:CIZ202"/>
    <mergeCell ref="CJA202:CJP202"/>
    <mergeCell ref="CDM202:CEB202"/>
    <mergeCell ref="CEC202:CER202"/>
    <mergeCell ref="CES202:CFH202"/>
    <mergeCell ref="CFI202:CFX202"/>
    <mergeCell ref="CFY202:CGN202"/>
    <mergeCell ref="CAK202:CAZ202"/>
    <mergeCell ref="CBA202:CBP202"/>
    <mergeCell ref="CBQ202:CCF202"/>
    <mergeCell ref="CCG202:CCV202"/>
    <mergeCell ref="CCW202:CDL202"/>
    <mergeCell ref="BXI202:BXX202"/>
    <mergeCell ref="BXY202:BYN202"/>
    <mergeCell ref="BYO202:BZD202"/>
    <mergeCell ref="BZE202:BZT202"/>
    <mergeCell ref="BZU202:CAJ202"/>
    <mergeCell ref="BUG202:BUV202"/>
    <mergeCell ref="BUW202:BVL202"/>
    <mergeCell ref="BVM202:BWB202"/>
    <mergeCell ref="BWC202:BWR202"/>
    <mergeCell ref="BWS202:BXH202"/>
    <mergeCell ref="BRE202:BRT202"/>
    <mergeCell ref="BRU202:BSJ202"/>
    <mergeCell ref="BSK202:BSZ202"/>
    <mergeCell ref="BTA202:BTP202"/>
    <mergeCell ref="BTQ202:BUF202"/>
    <mergeCell ref="BOC202:BOR202"/>
    <mergeCell ref="BOS202:BPH202"/>
    <mergeCell ref="BPI202:BPX202"/>
    <mergeCell ref="BPY202:BQN202"/>
    <mergeCell ref="BQO202:BRD202"/>
    <mergeCell ref="BLA202:BLP202"/>
    <mergeCell ref="BLQ202:BMF202"/>
    <mergeCell ref="BMG202:BMV202"/>
    <mergeCell ref="BMW202:BNL202"/>
    <mergeCell ref="BNM202:BOB202"/>
    <mergeCell ref="BHY202:BIN202"/>
    <mergeCell ref="BIO202:BJD202"/>
    <mergeCell ref="BJE202:BJT202"/>
    <mergeCell ref="BJU202:BKJ202"/>
    <mergeCell ref="BKK202:BKZ202"/>
    <mergeCell ref="BEW202:BFL202"/>
    <mergeCell ref="BFM202:BGB202"/>
    <mergeCell ref="BGC202:BGR202"/>
    <mergeCell ref="BGS202:BHH202"/>
    <mergeCell ref="BHI202:BHX202"/>
    <mergeCell ref="BBU202:BCJ202"/>
    <mergeCell ref="BCK202:BCZ202"/>
    <mergeCell ref="BDA202:BDP202"/>
    <mergeCell ref="BDQ202:BEF202"/>
    <mergeCell ref="BEG202:BEV202"/>
    <mergeCell ref="AYS202:AZH202"/>
    <mergeCell ref="AZI202:AZX202"/>
    <mergeCell ref="AZY202:BAN202"/>
    <mergeCell ref="BAO202:BBD202"/>
    <mergeCell ref="BBE202:BBT202"/>
    <mergeCell ref="AVQ202:AWF202"/>
    <mergeCell ref="AWG202:AWV202"/>
    <mergeCell ref="AWW202:AXL202"/>
    <mergeCell ref="AXM202:AYB202"/>
    <mergeCell ref="AYC202:AYR202"/>
    <mergeCell ref="ASO202:ATD202"/>
    <mergeCell ref="ATE202:ATT202"/>
    <mergeCell ref="ATU202:AUJ202"/>
    <mergeCell ref="AUK202:AUZ202"/>
    <mergeCell ref="AVA202:AVP202"/>
    <mergeCell ref="APM202:AQB202"/>
    <mergeCell ref="AQC202:AQR202"/>
    <mergeCell ref="AQS202:ARH202"/>
    <mergeCell ref="ARI202:ARX202"/>
    <mergeCell ref="ARY202:ASN202"/>
    <mergeCell ref="AMK202:AMZ202"/>
    <mergeCell ref="ANA202:ANP202"/>
    <mergeCell ref="ANQ202:AOF202"/>
    <mergeCell ref="AOG202:AOV202"/>
    <mergeCell ref="AOW202:APL202"/>
    <mergeCell ref="AJI202:AJX202"/>
    <mergeCell ref="AJY202:AKN202"/>
    <mergeCell ref="AKO202:ALD202"/>
    <mergeCell ref="ALE202:ALT202"/>
    <mergeCell ref="ALU202:AMJ202"/>
    <mergeCell ref="AGG202:AGV202"/>
    <mergeCell ref="AGW202:AHL202"/>
    <mergeCell ref="AHM202:AIB202"/>
    <mergeCell ref="AIC202:AIR202"/>
    <mergeCell ref="AIS202:AJH202"/>
    <mergeCell ref="ADE202:ADT202"/>
    <mergeCell ref="ADU202:AEJ202"/>
    <mergeCell ref="AEK202:AEZ202"/>
    <mergeCell ref="AFA202:AFP202"/>
    <mergeCell ref="AFQ202:AGF202"/>
    <mergeCell ref="AAC202:AAR202"/>
    <mergeCell ref="AAS202:ABH202"/>
    <mergeCell ref="ABI202:ABX202"/>
    <mergeCell ref="ABY202:ACN202"/>
    <mergeCell ref="ACO202:ADD202"/>
    <mergeCell ref="XA202:XP202"/>
    <mergeCell ref="XQ202:YF202"/>
    <mergeCell ref="YG202:YV202"/>
    <mergeCell ref="YW202:ZL202"/>
    <mergeCell ref="ZM202:AAB202"/>
    <mergeCell ref="TY202:UN202"/>
    <mergeCell ref="UO202:VD202"/>
    <mergeCell ref="VE202:VT202"/>
    <mergeCell ref="VU202:WJ202"/>
    <mergeCell ref="WK202:WZ202"/>
    <mergeCell ref="QW202:RL202"/>
    <mergeCell ref="RM202:SB202"/>
    <mergeCell ref="SC202:SR202"/>
    <mergeCell ref="SS202:TH202"/>
    <mergeCell ref="TI202:TX202"/>
    <mergeCell ref="NU202:OJ202"/>
    <mergeCell ref="OK202:OZ202"/>
    <mergeCell ref="PA202:PP202"/>
    <mergeCell ref="PQ202:QF202"/>
    <mergeCell ref="QG202:QV202"/>
    <mergeCell ref="KS202:LH202"/>
    <mergeCell ref="LI202:LX202"/>
    <mergeCell ref="LY202:MN202"/>
    <mergeCell ref="MO202:ND202"/>
    <mergeCell ref="NE202:NT202"/>
    <mergeCell ref="HQ202:IF202"/>
    <mergeCell ref="IG202:IV202"/>
    <mergeCell ref="IW202:JL202"/>
    <mergeCell ref="JM202:KB202"/>
    <mergeCell ref="KC202:KR202"/>
    <mergeCell ref="EO202:FD202"/>
    <mergeCell ref="FE202:FT202"/>
    <mergeCell ref="FU202:GJ202"/>
    <mergeCell ref="GK202:GZ202"/>
    <mergeCell ref="HA202:HP202"/>
    <mergeCell ref="BM202:CB202"/>
    <mergeCell ref="CC202:CR202"/>
    <mergeCell ref="CS202:DH202"/>
    <mergeCell ref="DI202:DX202"/>
    <mergeCell ref="DY202:EN202"/>
    <mergeCell ref="C204:O204"/>
    <mergeCell ref="C206:O206"/>
    <mergeCell ref="D98:D99"/>
    <mergeCell ref="A202:P202"/>
    <mergeCell ref="Q202:AF202"/>
    <mergeCell ref="AG202:AV202"/>
    <mergeCell ref="AW202:BL202"/>
    <mergeCell ref="F98:F99"/>
    <mergeCell ref="G98:G99"/>
    <mergeCell ref="B203:N203"/>
    <mergeCell ref="G1:I1"/>
    <mergeCell ref="B2:I2"/>
    <mergeCell ref="H98:H99"/>
    <mergeCell ref="I98:I99"/>
    <mergeCell ref="B98:B99"/>
    <mergeCell ref="C98:C99"/>
    <mergeCell ref="B80:B81"/>
    <mergeCell ref="C80:C81"/>
    <mergeCell ref="D80:D81"/>
    <mergeCell ref="F80:F81"/>
    <mergeCell ref="G80:G81"/>
    <mergeCell ref="H80:H81"/>
    <mergeCell ref="I80:I81"/>
  </mergeCells>
  <phoneticPr fontId="16" type="noConversion"/>
  <pageMargins left="0.31496062992125984" right="0.31496062992125984" top="0.35433070866141736" bottom="0.39370078740157483" header="0.35433070866141736" footer="0.35433070866141736"/>
  <pageSetup paperSize="9" scale="77" fitToHeight="0" orientation="landscape" r:id="rId1"/>
  <headerFooter alignWithMargins="0">
    <oddFooter>&amp;R&amp;P</oddFooter>
  </headerFooter>
  <rowBreaks count="9" manualBreakCount="9">
    <brk id="14" max="8" man="1"/>
    <brk id="24" max="8" man="1"/>
    <brk id="37" max="8" man="1"/>
    <brk id="56" max="8" man="1"/>
    <brk id="70" max="8" man="1"/>
    <brk id="109" max="8" man="1"/>
    <brk id="123" max="8" man="1"/>
    <brk id="141" max="8" man="1"/>
    <brk id="16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V219"/>
  <sheetViews>
    <sheetView view="pageBreakPreview" zoomScale="25" zoomScaleNormal="25" zoomScaleSheetLayoutView="25" zoomScalePageLayoutView="10" workbookViewId="0">
      <pane ySplit="11" topLeftCell="A12" activePane="bottomLeft" state="frozen"/>
      <selection pane="bottomLeft" activeCell="E82" sqref="E82"/>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40.140625" bestFit="1" customWidth="1"/>
    <col min="20" max="20" width="24.7109375" bestFit="1" customWidth="1"/>
  </cols>
  <sheetData>
    <row r="1" spans="1:18" ht="45.75" x14ac:dyDescent="0.2">
      <c r="D1" s="295"/>
      <c r="E1" s="296"/>
      <c r="F1" s="17"/>
      <c r="G1" s="18"/>
      <c r="H1" s="18"/>
      <c r="I1" s="18"/>
      <c r="J1" s="296"/>
      <c r="K1" s="18"/>
      <c r="L1" s="18"/>
      <c r="M1" s="18"/>
      <c r="N1" s="711" t="s">
        <v>129</v>
      </c>
      <c r="O1" s="711"/>
      <c r="P1" s="711"/>
    </row>
    <row r="2" spans="1:18" ht="45.75" x14ac:dyDescent="0.2">
      <c r="A2" s="295"/>
      <c r="B2" s="295"/>
      <c r="C2" s="295"/>
      <c r="D2" s="295"/>
      <c r="E2" s="296"/>
      <c r="F2" s="17"/>
      <c r="G2" s="18"/>
      <c r="H2" s="18"/>
      <c r="I2" s="18"/>
      <c r="J2" s="296"/>
      <c r="K2" s="18"/>
      <c r="L2" s="18"/>
      <c r="M2" s="18"/>
      <c r="N2" s="711" t="s">
        <v>895</v>
      </c>
      <c r="O2" s="712"/>
      <c r="P2" s="712"/>
    </row>
    <row r="3" spans="1:18" ht="40.5" customHeight="1" x14ac:dyDescent="0.2">
      <c r="A3" s="295"/>
      <c r="B3" s="295"/>
      <c r="C3" s="295"/>
      <c r="D3" s="295"/>
      <c r="E3" s="296"/>
      <c r="F3" s="17"/>
      <c r="G3" s="18"/>
      <c r="H3" s="18"/>
      <c r="I3" s="18"/>
      <c r="J3" s="296"/>
      <c r="K3" s="18"/>
      <c r="L3" s="18"/>
      <c r="M3" s="18"/>
      <c r="N3" s="711"/>
      <c r="O3" s="712"/>
      <c r="P3" s="712"/>
    </row>
    <row r="4" spans="1:18" ht="45.75" hidden="1" x14ac:dyDescent="0.2">
      <c r="A4" s="295"/>
      <c r="B4" s="295"/>
      <c r="C4" s="295"/>
      <c r="D4" s="295"/>
      <c r="E4" s="296"/>
      <c r="F4" s="17"/>
      <c r="G4" s="18"/>
      <c r="H4" s="18"/>
      <c r="I4" s="18"/>
      <c r="J4" s="296"/>
      <c r="K4" s="18"/>
      <c r="L4" s="18"/>
      <c r="M4" s="18"/>
      <c r="N4" s="204"/>
      <c r="O4" s="295"/>
      <c r="P4" s="294"/>
    </row>
    <row r="5" spans="1:18" ht="45" x14ac:dyDescent="0.2">
      <c r="A5" s="713" t="s">
        <v>128</v>
      </c>
      <c r="B5" s="713"/>
      <c r="C5" s="713"/>
      <c r="D5" s="713"/>
      <c r="E5" s="713"/>
      <c r="F5" s="713"/>
      <c r="G5" s="713"/>
      <c r="H5" s="713"/>
      <c r="I5" s="713"/>
      <c r="J5" s="713"/>
      <c r="K5" s="713"/>
      <c r="L5" s="713"/>
      <c r="M5" s="713"/>
      <c r="N5" s="713"/>
      <c r="O5" s="713"/>
      <c r="P5" s="713"/>
    </row>
    <row r="6" spans="1:18" ht="45" x14ac:dyDescent="0.2">
      <c r="A6" s="713" t="s">
        <v>641</v>
      </c>
      <c r="B6" s="713"/>
      <c r="C6" s="713"/>
      <c r="D6" s="713"/>
      <c r="E6" s="713"/>
      <c r="F6" s="713"/>
      <c r="G6" s="713"/>
      <c r="H6" s="713"/>
      <c r="I6" s="713"/>
      <c r="J6" s="713"/>
      <c r="K6" s="713"/>
      <c r="L6" s="713"/>
      <c r="M6" s="713"/>
      <c r="N6" s="713"/>
      <c r="O6" s="713"/>
      <c r="P6" s="713"/>
    </row>
    <row r="7" spans="1:18" ht="53.25" customHeight="1" x14ac:dyDescent="0.2">
      <c r="A7" s="296"/>
      <c r="B7" s="296"/>
      <c r="C7" s="296"/>
      <c r="D7" s="296"/>
      <c r="E7" s="296"/>
      <c r="F7" s="17"/>
      <c r="G7" s="296"/>
      <c r="H7" s="296"/>
      <c r="I7" s="18"/>
      <c r="J7" s="296"/>
      <c r="K7" s="18"/>
      <c r="L7" s="296"/>
      <c r="M7" s="296"/>
      <c r="N7" s="18"/>
      <c r="O7" s="296"/>
      <c r="P7" s="20" t="s">
        <v>134</v>
      </c>
    </row>
    <row r="8" spans="1:18" ht="62.25" customHeight="1" x14ac:dyDescent="0.2">
      <c r="A8" s="705" t="s">
        <v>41</v>
      </c>
      <c r="B8" s="705" t="s">
        <v>42</v>
      </c>
      <c r="C8" s="709" t="s">
        <v>43</v>
      </c>
      <c r="D8" s="705" t="s">
        <v>45</v>
      </c>
      <c r="E8" s="710" t="s">
        <v>36</v>
      </c>
      <c r="F8" s="710"/>
      <c r="G8" s="710"/>
      <c r="H8" s="710"/>
      <c r="I8" s="710"/>
      <c r="J8" s="710" t="s">
        <v>124</v>
      </c>
      <c r="K8" s="710"/>
      <c r="L8" s="710"/>
      <c r="M8" s="710"/>
      <c r="N8" s="710"/>
      <c r="O8" s="21"/>
      <c r="P8" s="710" t="s">
        <v>35</v>
      </c>
    </row>
    <row r="9" spans="1:18" ht="255" customHeight="1" x14ac:dyDescent="0.2">
      <c r="A9" s="706"/>
      <c r="B9" s="708"/>
      <c r="C9" s="708"/>
      <c r="D9" s="706"/>
      <c r="E9" s="716" t="s">
        <v>7</v>
      </c>
      <c r="F9" s="717" t="s">
        <v>125</v>
      </c>
      <c r="G9" s="716" t="s">
        <v>37</v>
      </c>
      <c r="H9" s="716"/>
      <c r="I9" s="717" t="s">
        <v>127</v>
      </c>
      <c r="J9" s="716" t="s">
        <v>7</v>
      </c>
      <c r="K9" s="717" t="s">
        <v>125</v>
      </c>
      <c r="L9" s="716" t="s">
        <v>37</v>
      </c>
      <c r="M9" s="716"/>
      <c r="N9" s="717" t="s">
        <v>127</v>
      </c>
      <c r="O9" s="291" t="s">
        <v>37</v>
      </c>
      <c r="P9" s="710"/>
    </row>
    <row r="10" spans="1:18" ht="137.25" x14ac:dyDescent="0.2">
      <c r="A10" s="707"/>
      <c r="B10" s="707"/>
      <c r="C10" s="707"/>
      <c r="D10" s="707"/>
      <c r="E10" s="716"/>
      <c r="F10" s="717"/>
      <c r="G10" s="291" t="s">
        <v>126</v>
      </c>
      <c r="H10" s="291" t="s">
        <v>40</v>
      </c>
      <c r="I10" s="717"/>
      <c r="J10" s="716"/>
      <c r="K10" s="717"/>
      <c r="L10" s="291" t="s">
        <v>126</v>
      </c>
      <c r="M10" s="291" t="s">
        <v>40</v>
      </c>
      <c r="N10" s="717"/>
      <c r="O10" s="291" t="s">
        <v>32</v>
      </c>
      <c r="P10" s="710"/>
    </row>
    <row r="11" spans="1:18" s="3" customFormat="1" ht="45.75" x14ac:dyDescent="0.2">
      <c r="A11" s="22" t="s">
        <v>9</v>
      </c>
      <c r="B11" s="22" t="s">
        <v>10</v>
      </c>
      <c r="C11" s="22" t="s">
        <v>39</v>
      </c>
      <c r="D11" s="22" t="s">
        <v>12</v>
      </c>
      <c r="E11" s="23">
        <v>5</v>
      </c>
      <c r="F11" s="292">
        <v>6</v>
      </c>
      <c r="G11" s="23">
        <v>7</v>
      </c>
      <c r="H11" s="23">
        <v>8</v>
      </c>
      <c r="I11" s="201">
        <v>9</v>
      </c>
      <c r="J11" s="23">
        <v>10</v>
      </c>
      <c r="K11" s="201">
        <v>11</v>
      </c>
      <c r="L11" s="23">
        <v>12</v>
      </c>
      <c r="M11" s="23">
        <v>13</v>
      </c>
      <c r="N11" s="201">
        <v>14</v>
      </c>
      <c r="O11" s="23">
        <v>15</v>
      </c>
      <c r="P11" s="23">
        <v>16</v>
      </c>
    </row>
    <row r="12" spans="1:18" s="3" customFormat="1" ht="135" x14ac:dyDescent="0.2">
      <c r="A12" s="433" t="s">
        <v>302</v>
      </c>
      <c r="B12" s="433"/>
      <c r="C12" s="433"/>
      <c r="D12" s="434" t="s">
        <v>304</v>
      </c>
      <c r="E12" s="435">
        <f>E13</f>
        <v>123072548</v>
      </c>
      <c r="F12" s="435">
        <f t="shared" ref="F12:P12" si="0">F13</f>
        <v>123072548</v>
      </c>
      <c r="G12" s="435">
        <f t="shared" si="0"/>
        <v>80106000</v>
      </c>
      <c r="H12" s="435">
        <f t="shared" si="0"/>
        <v>3981700</v>
      </c>
      <c r="I12" s="435">
        <f t="shared" si="0"/>
        <v>0</v>
      </c>
      <c r="J12" s="435">
        <f t="shared" si="0"/>
        <v>16564598.620000001</v>
      </c>
      <c r="K12" s="435">
        <f t="shared" si="0"/>
        <v>3775620.62</v>
      </c>
      <c r="L12" s="435">
        <f t="shared" si="0"/>
        <v>0</v>
      </c>
      <c r="M12" s="435">
        <f t="shared" si="0"/>
        <v>0</v>
      </c>
      <c r="N12" s="435">
        <f t="shared" si="0"/>
        <v>12788978</v>
      </c>
      <c r="O12" s="436">
        <f t="shared" si="0"/>
        <v>12448978</v>
      </c>
      <c r="P12" s="435">
        <f t="shared" si="0"/>
        <v>139637146.62</v>
      </c>
    </row>
    <row r="13" spans="1:18" s="3" customFormat="1" ht="135" x14ac:dyDescent="0.2">
      <c r="A13" s="437" t="s">
        <v>303</v>
      </c>
      <c r="B13" s="437"/>
      <c r="C13" s="437"/>
      <c r="D13" s="438" t="s">
        <v>305</v>
      </c>
      <c r="E13" s="439">
        <f>F13</f>
        <v>123072548</v>
      </c>
      <c r="F13" s="440">
        <f>F14+F15+F26+F20+F27+F16+F22+F21+F28+F17</f>
        <v>123072548</v>
      </c>
      <c r="G13" s="440">
        <f t="shared" ref="G13:H13" si="1">G14+G15+G26+G20+G27+G16+G22+G21+G28+G17</f>
        <v>80106000</v>
      </c>
      <c r="H13" s="440">
        <f t="shared" si="1"/>
        <v>3981700</v>
      </c>
      <c r="I13" s="440">
        <v>0</v>
      </c>
      <c r="J13" s="441">
        <f t="shared" ref="J13:J28" si="2">K13+N13</f>
        <v>16564598.620000001</v>
      </c>
      <c r="K13" s="440">
        <f>K14+K15+K26+K20+K27+K16+K23+K21+K28+K17+K18</f>
        <v>3775620.62</v>
      </c>
      <c r="L13" s="440">
        <f>L14+L15+L26+L20+L27+L16</f>
        <v>0</v>
      </c>
      <c r="M13" s="440">
        <f>M14+M15+M26+M20+M27+M16</f>
        <v>0</v>
      </c>
      <c r="N13" s="440">
        <f>N14+N15+N26+N20+N27+N16+N23+N21+N28+N18</f>
        <v>12788978</v>
      </c>
      <c r="O13" s="440">
        <f>O14+O15+O26+O20+O27+O16+O23+O21+O28+O18</f>
        <v>12448978</v>
      </c>
      <c r="P13" s="439">
        <f>J13+E13</f>
        <v>139637146.62</v>
      </c>
      <c r="Q13" s="240" t="b">
        <f>P14+P15+P16+P17+P18+P20+P21+P22+P23+P26+P27+P28=P13</f>
        <v>1</v>
      </c>
      <c r="R13" s="240" t="b">
        <f>O13='dod5'!J7</f>
        <v>0</v>
      </c>
    </row>
    <row r="14" spans="1:18" ht="320.25" x14ac:dyDescent="0.2">
      <c r="A14" s="270" t="s">
        <v>428</v>
      </c>
      <c r="B14" s="270" t="s">
        <v>429</v>
      </c>
      <c r="C14" s="270" t="s">
        <v>430</v>
      </c>
      <c r="D14" s="270" t="s">
        <v>427</v>
      </c>
      <c r="E14" s="297">
        <f t="shared" ref="E14:E28" si="3">F14</f>
        <v>62160100</v>
      </c>
      <c r="F14" s="47">
        <f>(61847000)+227100+86000</f>
        <v>62160100</v>
      </c>
      <c r="G14" s="179">
        <v>42799000</v>
      </c>
      <c r="H14" s="179">
        <v>2438200</v>
      </c>
      <c r="I14" s="47"/>
      <c r="J14" s="248">
        <f t="shared" si="2"/>
        <v>2246800</v>
      </c>
      <c r="K14" s="268"/>
      <c r="L14" s="269"/>
      <c r="M14" s="269"/>
      <c r="N14" s="190">
        <f t="shared" ref="N14:N28" si="4">O14</f>
        <v>2246800</v>
      </c>
      <c r="O14" s="239">
        <f>(525200)+1807600-86000</f>
        <v>2246800</v>
      </c>
      <c r="P14" s="297">
        <f>+J14+E14</f>
        <v>64406900</v>
      </c>
    </row>
    <row r="15" spans="1:18" ht="228.75" x14ac:dyDescent="0.2">
      <c r="A15" s="270" t="s">
        <v>432</v>
      </c>
      <c r="B15" s="270" t="s">
        <v>433</v>
      </c>
      <c r="C15" s="270" t="s">
        <v>430</v>
      </c>
      <c r="D15" s="270" t="s">
        <v>431</v>
      </c>
      <c r="E15" s="297">
        <f t="shared" si="3"/>
        <v>50740284</v>
      </c>
      <c r="F15" s="190">
        <f>(49657100+750000+50000)+235184+40000+8000</f>
        <v>50740284</v>
      </c>
      <c r="G15" s="239">
        <v>37157000</v>
      </c>
      <c r="H15" s="239">
        <v>1543500</v>
      </c>
      <c r="I15" s="190"/>
      <c r="J15" s="297">
        <f t="shared" si="2"/>
        <v>444000</v>
      </c>
      <c r="K15" s="190"/>
      <c r="L15" s="239"/>
      <c r="M15" s="239"/>
      <c r="N15" s="190">
        <f t="shared" si="4"/>
        <v>444000</v>
      </c>
      <c r="O15" s="239">
        <f>(826000-750000+50000)+318000</f>
        <v>444000</v>
      </c>
      <c r="P15" s="297">
        <f>E15+J15</f>
        <v>51184284</v>
      </c>
    </row>
    <row r="16" spans="1:18" ht="91.5" x14ac:dyDescent="0.2">
      <c r="A16" s="411" t="s">
        <v>445</v>
      </c>
      <c r="B16" s="411" t="s">
        <v>103</v>
      </c>
      <c r="C16" s="411" t="s">
        <v>102</v>
      </c>
      <c r="D16" s="411" t="s">
        <v>446</v>
      </c>
      <c r="E16" s="412">
        <f t="shared" si="3"/>
        <v>1023000</v>
      </c>
      <c r="F16" s="414">
        <f>(1188000-165000)-183000+183000</f>
        <v>1023000</v>
      </c>
      <c r="G16" s="239">
        <v>150000</v>
      </c>
      <c r="H16" s="239"/>
      <c r="I16" s="414"/>
      <c r="J16" s="412">
        <f t="shared" si="2"/>
        <v>0</v>
      </c>
      <c r="K16" s="414"/>
      <c r="L16" s="239"/>
      <c r="M16" s="239"/>
      <c r="N16" s="414">
        <f t="shared" si="4"/>
        <v>0</v>
      </c>
      <c r="O16" s="239"/>
      <c r="P16" s="412">
        <f>E16+J16</f>
        <v>1023000</v>
      </c>
    </row>
    <row r="17" spans="1:20" ht="91.5" x14ac:dyDescent="0.2">
      <c r="A17" s="411" t="s">
        <v>929</v>
      </c>
      <c r="B17" s="411" t="s">
        <v>930</v>
      </c>
      <c r="C17" s="411" t="s">
        <v>931</v>
      </c>
      <c r="D17" s="411" t="s">
        <v>928</v>
      </c>
      <c r="E17" s="412">
        <f t="shared" si="3"/>
        <v>0</v>
      </c>
      <c r="F17" s="414">
        <v>0</v>
      </c>
      <c r="G17" s="239">
        <v>0</v>
      </c>
      <c r="H17" s="239"/>
      <c r="I17" s="414"/>
      <c r="J17" s="412">
        <f t="shared" si="2"/>
        <v>0</v>
      </c>
      <c r="K17" s="414"/>
      <c r="L17" s="239"/>
      <c r="M17" s="239"/>
      <c r="N17" s="414">
        <f t="shared" si="4"/>
        <v>0</v>
      </c>
      <c r="O17" s="239"/>
      <c r="P17" s="412">
        <f>E17+J17</f>
        <v>0</v>
      </c>
    </row>
    <row r="18" spans="1:20" ht="91.5" x14ac:dyDescent="0.2">
      <c r="A18" s="270" t="s">
        <v>942</v>
      </c>
      <c r="B18" s="270" t="s">
        <v>706</v>
      </c>
      <c r="C18" s="270"/>
      <c r="D18" s="270" t="s">
        <v>833</v>
      </c>
      <c r="E18" s="297">
        <f>E19</f>
        <v>0</v>
      </c>
      <c r="F18" s="297">
        <f t="shared" ref="F18:I18" si="5">F19</f>
        <v>0</v>
      </c>
      <c r="G18" s="297">
        <f t="shared" si="5"/>
        <v>0</v>
      </c>
      <c r="H18" s="297">
        <f t="shared" si="5"/>
        <v>0</v>
      </c>
      <c r="I18" s="297">
        <f t="shared" si="5"/>
        <v>0</v>
      </c>
      <c r="J18" s="297">
        <f t="shared" si="2"/>
        <v>660842</v>
      </c>
      <c r="K18" s="190">
        <f>K19</f>
        <v>0</v>
      </c>
      <c r="L18" s="239"/>
      <c r="M18" s="239"/>
      <c r="N18" s="190">
        <f t="shared" si="4"/>
        <v>660842</v>
      </c>
      <c r="O18" s="239">
        <f>O19</f>
        <v>660842</v>
      </c>
      <c r="P18" s="297">
        <f>E18+J18</f>
        <v>660842</v>
      </c>
    </row>
    <row r="19" spans="1:20" ht="366" x14ac:dyDescent="0.2">
      <c r="A19" s="271" t="s">
        <v>939</v>
      </c>
      <c r="B19" s="271" t="s">
        <v>940</v>
      </c>
      <c r="C19" s="271" t="s">
        <v>708</v>
      </c>
      <c r="D19" s="271" t="s">
        <v>941</v>
      </c>
      <c r="E19" s="190"/>
      <c r="F19" s="190"/>
      <c r="G19" s="190"/>
      <c r="H19" s="190"/>
      <c r="I19" s="190"/>
      <c r="J19" s="190">
        <f t="shared" si="2"/>
        <v>660842</v>
      </c>
      <c r="K19" s="190"/>
      <c r="L19" s="190"/>
      <c r="M19" s="190"/>
      <c r="N19" s="190">
        <f t="shared" si="4"/>
        <v>660842</v>
      </c>
      <c r="O19" s="190">
        <v>660842</v>
      </c>
      <c r="P19" s="190">
        <f>E19+J19</f>
        <v>660842</v>
      </c>
    </row>
    <row r="20" spans="1:20" ht="91.5" x14ac:dyDescent="0.2">
      <c r="A20" s="270" t="s">
        <v>435</v>
      </c>
      <c r="B20" s="270" t="s">
        <v>436</v>
      </c>
      <c r="C20" s="270" t="s">
        <v>437</v>
      </c>
      <c r="D20" s="270" t="s">
        <v>434</v>
      </c>
      <c r="E20" s="297">
        <f t="shared" si="3"/>
        <v>4100700</v>
      </c>
      <c r="F20" s="190">
        <f>(1750700)+2350000</f>
        <v>4100700</v>
      </c>
      <c r="G20" s="239"/>
      <c r="H20" s="239"/>
      <c r="I20" s="190"/>
      <c r="J20" s="297">
        <f t="shared" si="2"/>
        <v>0</v>
      </c>
      <c r="K20" s="190"/>
      <c r="L20" s="239"/>
      <c r="M20" s="239"/>
      <c r="N20" s="190">
        <f t="shared" si="4"/>
        <v>0</v>
      </c>
      <c r="O20" s="239"/>
      <c r="P20" s="297">
        <f>+J20+E20</f>
        <v>4100700</v>
      </c>
    </row>
    <row r="21" spans="1:20" ht="91.5" x14ac:dyDescent="0.2">
      <c r="A21" s="270" t="s">
        <v>646</v>
      </c>
      <c r="B21" s="272" t="s">
        <v>373</v>
      </c>
      <c r="C21" s="272" t="s">
        <v>324</v>
      </c>
      <c r="D21" s="270" t="s">
        <v>89</v>
      </c>
      <c r="E21" s="297">
        <f t="shared" si="3"/>
        <v>0</v>
      </c>
      <c r="F21" s="190"/>
      <c r="G21" s="239"/>
      <c r="H21" s="239"/>
      <c r="I21" s="190"/>
      <c r="J21" s="297">
        <f t="shared" si="2"/>
        <v>2500000</v>
      </c>
      <c r="K21" s="190"/>
      <c r="L21" s="239"/>
      <c r="M21" s="239"/>
      <c r="N21" s="190">
        <f t="shared" si="4"/>
        <v>2500000</v>
      </c>
      <c r="O21" s="239">
        <v>2500000</v>
      </c>
      <c r="P21" s="297">
        <f>+J21+E21</f>
        <v>2500000</v>
      </c>
    </row>
    <row r="22" spans="1:20" ht="137.25" x14ac:dyDescent="0.2">
      <c r="A22" s="270" t="s">
        <v>565</v>
      </c>
      <c r="B22" s="270" t="s">
        <v>566</v>
      </c>
      <c r="C22" s="270" t="s">
        <v>324</v>
      </c>
      <c r="D22" s="273" t="s">
        <v>564</v>
      </c>
      <c r="E22" s="297">
        <f t="shared" si="3"/>
        <v>165000</v>
      </c>
      <c r="F22" s="190">
        <v>165000</v>
      </c>
      <c r="G22" s="239"/>
      <c r="H22" s="239"/>
      <c r="I22" s="190"/>
      <c r="J22" s="297">
        <f t="shared" si="2"/>
        <v>0</v>
      </c>
      <c r="K22" s="190"/>
      <c r="L22" s="239"/>
      <c r="M22" s="239"/>
      <c r="N22" s="190">
        <f t="shared" si="4"/>
        <v>0</v>
      </c>
      <c r="O22" s="239"/>
      <c r="P22" s="297">
        <f>+J22+E22</f>
        <v>165000</v>
      </c>
    </row>
    <row r="23" spans="1:20" ht="46.5" x14ac:dyDescent="0.2">
      <c r="A23" s="270" t="s">
        <v>448</v>
      </c>
      <c r="B23" s="270" t="s">
        <v>449</v>
      </c>
      <c r="C23" s="270"/>
      <c r="D23" s="274" t="s">
        <v>447</v>
      </c>
      <c r="E23" s="297">
        <f t="shared" si="3"/>
        <v>0</v>
      </c>
      <c r="F23" s="190"/>
      <c r="G23" s="239"/>
      <c r="H23" s="239"/>
      <c r="I23" s="190"/>
      <c r="J23" s="297">
        <f t="shared" si="2"/>
        <v>4115620.62</v>
      </c>
      <c r="K23" s="190">
        <f>K24</f>
        <v>3775620.62</v>
      </c>
      <c r="L23" s="239"/>
      <c r="M23" s="239"/>
      <c r="N23" s="190">
        <f>N24</f>
        <v>340000</v>
      </c>
      <c r="O23" s="239">
        <f>O24</f>
        <v>0</v>
      </c>
      <c r="P23" s="297">
        <f>+J23+E23</f>
        <v>4115620.62</v>
      </c>
    </row>
    <row r="24" spans="1:20" s="203" customFormat="1" ht="409.5" x14ac:dyDescent="0.2">
      <c r="A24" s="718" t="s">
        <v>700</v>
      </c>
      <c r="B24" s="718" t="s">
        <v>699</v>
      </c>
      <c r="C24" s="718" t="s">
        <v>324</v>
      </c>
      <c r="D24" s="275" t="s">
        <v>728</v>
      </c>
      <c r="E24" s="714">
        <f t="shared" si="3"/>
        <v>0</v>
      </c>
      <c r="F24" s="714"/>
      <c r="G24" s="714"/>
      <c r="H24" s="714"/>
      <c r="I24" s="714"/>
      <c r="J24" s="714">
        <f t="shared" si="2"/>
        <v>4115620.62</v>
      </c>
      <c r="K24" s="714">
        <f>((2667000)+508620.62+(550000))+50000</f>
        <v>3775620.62</v>
      </c>
      <c r="L24" s="714"/>
      <c r="M24" s="714"/>
      <c r="N24" s="714">
        <f>((O24+740000)+200000-(550000))-50000</f>
        <v>340000</v>
      </c>
      <c r="O24" s="714"/>
      <c r="P24" s="714">
        <f>E24+J24</f>
        <v>4115620.62</v>
      </c>
    </row>
    <row r="25" spans="1:20" s="203" customFormat="1" ht="137.25" x14ac:dyDescent="0.2">
      <c r="A25" s="719"/>
      <c r="B25" s="719"/>
      <c r="C25" s="719"/>
      <c r="D25" s="276" t="s">
        <v>729</v>
      </c>
      <c r="E25" s="715"/>
      <c r="F25" s="715"/>
      <c r="G25" s="715"/>
      <c r="H25" s="715"/>
      <c r="I25" s="715"/>
      <c r="J25" s="715"/>
      <c r="K25" s="715"/>
      <c r="L25" s="715"/>
      <c r="M25" s="715"/>
      <c r="N25" s="715"/>
      <c r="O25" s="715"/>
      <c r="P25" s="715"/>
    </row>
    <row r="26" spans="1:20" ht="91.5" x14ac:dyDescent="0.2">
      <c r="A26" s="270" t="s">
        <v>438</v>
      </c>
      <c r="B26" s="270" t="s">
        <v>439</v>
      </c>
      <c r="C26" s="270" t="s">
        <v>440</v>
      </c>
      <c r="D26" s="273" t="s">
        <v>441</v>
      </c>
      <c r="E26" s="297">
        <f>F26</f>
        <v>3255800</v>
      </c>
      <c r="F26" s="190">
        <f>(2555000)+700800</f>
        <v>3255800</v>
      </c>
      <c r="G26" s="239"/>
      <c r="H26" s="239"/>
      <c r="I26" s="190"/>
      <c r="J26" s="297">
        <f t="shared" si="2"/>
        <v>1200000</v>
      </c>
      <c r="K26" s="190"/>
      <c r="L26" s="239"/>
      <c r="M26" s="239"/>
      <c r="N26" s="190">
        <f t="shared" si="4"/>
        <v>1200000</v>
      </c>
      <c r="O26" s="239">
        <v>1200000</v>
      </c>
      <c r="P26" s="297">
        <f t="shared" ref="P26:P28" si="6">E26+J26</f>
        <v>4455800</v>
      </c>
    </row>
    <row r="27" spans="1:20" ht="274.5" x14ac:dyDescent="0.2">
      <c r="A27" s="270" t="s">
        <v>442</v>
      </c>
      <c r="B27" s="270" t="s">
        <v>443</v>
      </c>
      <c r="C27" s="270" t="s">
        <v>103</v>
      </c>
      <c r="D27" s="270" t="s">
        <v>444</v>
      </c>
      <c r="E27" s="297">
        <f t="shared" si="3"/>
        <v>160000</v>
      </c>
      <c r="F27" s="190">
        <v>160000</v>
      </c>
      <c r="G27" s="239"/>
      <c r="H27" s="239"/>
      <c r="I27" s="190"/>
      <c r="J27" s="297"/>
      <c r="K27" s="190"/>
      <c r="L27" s="239"/>
      <c r="M27" s="239"/>
      <c r="N27" s="190">
        <f t="shared" si="4"/>
        <v>0</v>
      </c>
      <c r="O27" s="239"/>
      <c r="P27" s="297">
        <f t="shared" si="6"/>
        <v>160000</v>
      </c>
    </row>
    <row r="28" spans="1:20" ht="228.75" x14ac:dyDescent="0.2">
      <c r="A28" s="270" t="s">
        <v>822</v>
      </c>
      <c r="B28" s="270" t="s">
        <v>823</v>
      </c>
      <c r="C28" s="270" t="s">
        <v>103</v>
      </c>
      <c r="D28" s="270" t="s">
        <v>824</v>
      </c>
      <c r="E28" s="297">
        <f t="shared" si="3"/>
        <v>1467664</v>
      </c>
      <c r="F28" s="190">
        <f>1317664+100000+50000</f>
        <v>1467664</v>
      </c>
      <c r="G28" s="239"/>
      <c r="H28" s="239"/>
      <c r="I28" s="190"/>
      <c r="J28" s="297">
        <f t="shared" si="2"/>
        <v>5397336</v>
      </c>
      <c r="K28" s="190"/>
      <c r="L28" s="239"/>
      <c r="M28" s="239"/>
      <c r="N28" s="190">
        <f t="shared" si="4"/>
        <v>5397336</v>
      </c>
      <c r="O28" s="239">
        <f>5497336-100000</f>
        <v>5397336</v>
      </c>
      <c r="P28" s="297">
        <f t="shared" si="6"/>
        <v>6865000</v>
      </c>
    </row>
    <row r="29" spans="1:20" ht="135" x14ac:dyDescent="0.2">
      <c r="A29" s="433" t="s">
        <v>306</v>
      </c>
      <c r="B29" s="433"/>
      <c r="C29" s="433"/>
      <c r="D29" s="434" t="s">
        <v>1</v>
      </c>
      <c r="E29" s="440">
        <f>E30</f>
        <v>904031415</v>
      </c>
      <c r="F29" s="440">
        <f t="shared" ref="F29:P29" si="7">F30</f>
        <v>904031415</v>
      </c>
      <c r="G29" s="440">
        <f t="shared" si="7"/>
        <v>574703621</v>
      </c>
      <c r="H29" s="440">
        <f t="shared" si="7"/>
        <v>87679308</v>
      </c>
      <c r="I29" s="440">
        <f t="shared" si="7"/>
        <v>0</v>
      </c>
      <c r="J29" s="440">
        <f t="shared" si="7"/>
        <v>130589771</v>
      </c>
      <c r="K29" s="440">
        <f t="shared" si="7"/>
        <v>85560389</v>
      </c>
      <c r="L29" s="440">
        <f t="shared" si="7"/>
        <v>21540172</v>
      </c>
      <c r="M29" s="440">
        <f t="shared" si="7"/>
        <v>7139312</v>
      </c>
      <c r="N29" s="440">
        <f t="shared" si="7"/>
        <v>45029382</v>
      </c>
      <c r="O29" s="439">
        <f t="shared" si="7"/>
        <v>43507382</v>
      </c>
      <c r="P29" s="440">
        <f t="shared" si="7"/>
        <v>1034621186</v>
      </c>
    </row>
    <row r="30" spans="1:20" ht="135" x14ac:dyDescent="0.2">
      <c r="A30" s="437" t="s">
        <v>307</v>
      </c>
      <c r="B30" s="437"/>
      <c r="C30" s="437"/>
      <c r="D30" s="438" t="s">
        <v>2</v>
      </c>
      <c r="E30" s="439">
        <f>E31+E32+E33+E34+E35+E37+E38+E36+E41</f>
        <v>904031415</v>
      </c>
      <c r="F30" s="440">
        <f>F31+F32+F33+F34+F35+F37+F38+F36+F41+F393</f>
        <v>904031415</v>
      </c>
      <c r="G30" s="439">
        <f>G31+G32+G33+G34+G35+G37+G38+G36+G41</f>
        <v>574703621</v>
      </c>
      <c r="H30" s="439">
        <f>H31+H32+H33+H34+H35+H37+H38+H36+H41</f>
        <v>87679308</v>
      </c>
      <c r="I30" s="440">
        <f>I31+I32+I33+I34+I35+I37+I38+I36</f>
        <v>0</v>
      </c>
      <c r="J30" s="439">
        <f t="shared" ref="J30:O30" si="8">J31+J32+J33+J34+J35+J37+J38+J36+J41</f>
        <v>130589771</v>
      </c>
      <c r="K30" s="440">
        <f t="shared" si="8"/>
        <v>85560389</v>
      </c>
      <c r="L30" s="439">
        <f t="shared" si="8"/>
        <v>21540172</v>
      </c>
      <c r="M30" s="439">
        <f t="shared" si="8"/>
        <v>7139312</v>
      </c>
      <c r="N30" s="440">
        <f t="shared" si="8"/>
        <v>45029382</v>
      </c>
      <c r="O30" s="439">
        <f t="shared" si="8"/>
        <v>43507382</v>
      </c>
      <c r="P30" s="439">
        <f t="shared" ref="P30:P40" si="9">E30+J30</f>
        <v>1034621186</v>
      </c>
      <c r="Q30" s="240" t="b">
        <f>P30=P31+P32+P33+P34+P35+P36+P37+P38+P41</f>
        <v>1</v>
      </c>
      <c r="R30" s="240" t="b">
        <f>O30='dod5'!J21</f>
        <v>0</v>
      </c>
    </row>
    <row r="31" spans="1:20" ht="67.5" customHeight="1" x14ac:dyDescent="0.55000000000000004">
      <c r="A31" s="270" t="s">
        <v>376</v>
      </c>
      <c r="B31" s="270" t="s">
        <v>377</v>
      </c>
      <c r="C31" s="270" t="s">
        <v>379</v>
      </c>
      <c r="D31" s="270" t="s">
        <v>380</v>
      </c>
      <c r="E31" s="297">
        <f>F31</f>
        <v>246953481</v>
      </c>
      <c r="F31" s="190">
        <f>(241481300+165502+120830)+707200+3213800+389000+834500+41349+100000-100000</f>
        <v>246953481</v>
      </c>
      <c r="G31" s="239">
        <f>(151576300)+3213800</f>
        <v>154790100</v>
      </c>
      <c r="H31" s="239">
        <f>27650500-12000</f>
        <v>27638500</v>
      </c>
      <c r="I31" s="190"/>
      <c r="J31" s="297">
        <f t="shared" ref="J31:J40" si="10">K31+N31</f>
        <v>42352993</v>
      </c>
      <c r="K31" s="190">
        <v>34398400</v>
      </c>
      <c r="L31" s="239">
        <v>6344700</v>
      </c>
      <c r="M31" s="239">
        <v>677200</v>
      </c>
      <c r="N31" s="190">
        <f>O31+525900-(120000)</f>
        <v>7954593</v>
      </c>
      <c r="O31" s="239">
        <f>(2466200+2000000+60000+353242+55000+50000*2)+777000+1256600-41349+80000-100000+100000+(442000)</f>
        <v>7548693</v>
      </c>
      <c r="P31" s="297">
        <f t="shared" si="9"/>
        <v>289306474</v>
      </c>
      <c r="Q31" s="26"/>
      <c r="R31" s="26"/>
    </row>
    <row r="32" spans="1:20" ht="389.25" customHeight="1" x14ac:dyDescent="0.55000000000000004">
      <c r="A32" s="270" t="s">
        <v>382</v>
      </c>
      <c r="B32" s="270" t="s">
        <v>378</v>
      </c>
      <c r="C32" s="270" t="s">
        <v>383</v>
      </c>
      <c r="D32" s="270" t="s">
        <v>914</v>
      </c>
      <c r="E32" s="297">
        <f t="shared" ref="E32:E40" si="11">F32</f>
        <v>490989703</v>
      </c>
      <c r="F32" s="190">
        <f>(448765400+1750000+318969+495888+5582500)+15670400+1239421+3447600+272674+4898800+375000+230505+2658152-25000+7000+86612-40000-8000+(5263782)</f>
        <v>490989703</v>
      </c>
      <c r="G32" s="239">
        <f>(302091800)+15670400+1239421</f>
        <v>319001621</v>
      </c>
      <c r="H32" s="239">
        <f>36896200+5582500-(20000)</f>
        <v>42458700</v>
      </c>
      <c r="I32" s="190"/>
      <c r="J32" s="297">
        <f t="shared" si="10"/>
        <v>49694732</v>
      </c>
      <c r="K32" s="190">
        <f>(36530400)-1380110</f>
        <v>35150290</v>
      </c>
      <c r="L32" s="239">
        <f>(12782600)-1131270</f>
        <v>11651330</v>
      </c>
      <c r="M32" s="239">
        <v>912900</v>
      </c>
      <c r="N32" s="190">
        <f>O32+802800-(180000)</f>
        <v>14544442</v>
      </c>
      <c r="O32" s="239">
        <f>(1348532+200000+500000+297437+100000+749800*2)+4419450+583700+666579+67900+2794000-86612+250000+(1281056)</f>
        <v>13921642</v>
      </c>
      <c r="P32" s="297">
        <f t="shared" si="9"/>
        <v>540684435</v>
      </c>
      <c r="Q32" s="26"/>
      <c r="R32" s="26"/>
      <c r="T32" s="181"/>
    </row>
    <row r="33" spans="1:18" ht="137.25" x14ac:dyDescent="0.2">
      <c r="A33" s="270" t="s">
        <v>384</v>
      </c>
      <c r="B33" s="270" t="s">
        <v>385</v>
      </c>
      <c r="C33" s="270" t="s">
        <v>383</v>
      </c>
      <c r="D33" s="270" t="s">
        <v>46</v>
      </c>
      <c r="E33" s="297">
        <f t="shared" si="11"/>
        <v>2531500</v>
      </c>
      <c r="F33" s="190">
        <f>(2337100+15700)+146500+32200</f>
        <v>2531500</v>
      </c>
      <c r="G33" s="239">
        <f>(1765400)+146500</f>
        <v>1911900</v>
      </c>
      <c r="H33" s="239">
        <f>93700+15700</f>
        <v>109400</v>
      </c>
      <c r="I33" s="190"/>
      <c r="J33" s="297">
        <f t="shared" si="10"/>
        <v>0</v>
      </c>
      <c r="K33" s="190"/>
      <c r="L33" s="239"/>
      <c r="M33" s="239"/>
      <c r="N33" s="190">
        <f t="shared" ref="N33:N37" si="12">O33</f>
        <v>0</v>
      </c>
      <c r="O33" s="239"/>
      <c r="P33" s="297">
        <f t="shared" si="9"/>
        <v>2531500</v>
      </c>
    </row>
    <row r="34" spans="1:18" ht="409.6" customHeight="1" x14ac:dyDescent="0.2">
      <c r="A34" s="270" t="s">
        <v>387</v>
      </c>
      <c r="B34" s="270" t="s">
        <v>386</v>
      </c>
      <c r="C34" s="270" t="s">
        <v>388</v>
      </c>
      <c r="D34" s="270" t="s">
        <v>47</v>
      </c>
      <c r="E34" s="297">
        <f t="shared" si="11"/>
        <v>15424000</v>
      </c>
      <c r="F34" s="190">
        <f>(13802000+388300)+691500+152100+82500+307600</f>
        <v>15424000</v>
      </c>
      <c r="G34" s="239">
        <f>(9727200)+691500</f>
        <v>10418700</v>
      </c>
      <c r="H34" s="239">
        <f>941200+388300</f>
        <v>1329500</v>
      </c>
      <c r="I34" s="190"/>
      <c r="J34" s="297">
        <f t="shared" si="10"/>
        <v>480449</v>
      </c>
      <c r="K34" s="190">
        <v>35600</v>
      </c>
      <c r="L34" s="239"/>
      <c r="M34" s="239">
        <v>24400</v>
      </c>
      <c r="N34" s="190">
        <f t="shared" si="12"/>
        <v>444849</v>
      </c>
      <c r="O34" s="239">
        <f>(300000)+138200+6849-200</f>
        <v>444849</v>
      </c>
      <c r="P34" s="297">
        <f t="shared" si="9"/>
        <v>15904449</v>
      </c>
    </row>
    <row r="35" spans="1:18" ht="183" x14ac:dyDescent="0.2">
      <c r="A35" s="270" t="s">
        <v>389</v>
      </c>
      <c r="B35" s="270" t="s">
        <v>363</v>
      </c>
      <c r="C35" s="270" t="s">
        <v>344</v>
      </c>
      <c r="D35" s="270" t="s">
        <v>48</v>
      </c>
      <c r="E35" s="297">
        <f t="shared" si="11"/>
        <v>27938600</v>
      </c>
      <c r="F35" s="190">
        <f>(27524100)+334800+73700+6000</f>
        <v>27938600</v>
      </c>
      <c r="G35" s="239">
        <f>(19443400)+334800</f>
        <v>19778200</v>
      </c>
      <c r="H35" s="239">
        <f>2247200-(260000)</f>
        <v>1987200</v>
      </c>
      <c r="I35" s="190"/>
      <c r="J35" s="297">
        <f t="shared" si="10"/>
        <v>9963200</v>
      </c>
      <c r="K35" s="190">
        <v>4499900</v>
      </c>
      <c r="L35" s="239">
        <v>928200</v>
      </c>
      <c r="M35" s="239">
        <v>324500</v>
      </c>
      <c r="N35" s="190">
        <f>O35+153300+(300000)</f>
        <v>5463300</v>
      </c>
      <c r="O35" s="239">
        <f>(4000000)+605000+470000-250000+(185000)</f>
        <v>5010000</v>
      </c>
      <c r="P35" s="297">
        <f t="shared" si="9"/>
        <v>37901800</v>
      </c>
    </row>
    <row r="36" spans="1:18" ht="155.25" customHeight="1" x14ac:dyDescent="0.2">
      <c r="A36" s="270" t="s">
        <v>390</v>
      </c>
      <c r="B36" s="270" t="s">
        <v>391</v>
      </c>
      <c r="C36" s="270" t="s">
        <v>392</v>
      </c>
      <c r="D36" s="270" t="s">
        <v>393</v>
      </c>
      <c r="E36" s="297">
        <f t="shared" si="11"/>
        <v>101395431</v>
      </c>
      <c r="F36" s="190">
        <f>(96795900-6000000+6264431)+3553400+781700</f>
        <v>101395431</v>
      </c>
      <c r="G36" s="239">
        <f>(52131100)+3553400</f>
        <v>55684500</v>
      </c>
      <c r="H36" s="239">
        <f>10956900-4000000+6264431</f>
        <v>13221331</v>
      </c>
      <c r="I36" s="190"/>
      <c r="J36" s="297">
        <f t="shared" si="10"/>
        <v>10939399</v>
      </c>
      <c r="K36" s="190">
        <f>(8084200)+2479639+(335560)</f>
        <v>10899399</v>
      </c>
      <c r="L36" s="239">
        <f>(1501800)+823942</f>
        <v>2325742</v>
      </c>
      <c r="M36" s="239">
        <f>4165000+(1011312)</f>
        <v>5176312</v>
      </c>
      <c r="N36" s="190">
        <f>(O36+245800)+129760-(335560)</f>
        <v>40000</v>
      </c>
      <c r="O36" s="239"/>
      <c r="P36" s="297">
        <f t="shared" si="9"/>
        <v>112334830</v>
      </c>
    </row>
    <row r="37" spans="1:18" ht="130.5" customHeight="1" x14ac:dyDescent="0.2">
      <c r="A37" s="270" t="s">
        <v>395</v>
      </c>
      <c r="B37" s="270" t="s">
        <v>396</v>
      </c>
      <c r="C37" s="270" t="s">
        <v>397</v>
      </c>
      <c r="D37" s="270" t="s">
        <v>394</v>
      </c>
      <c r="E37" s="297">
        <f t="shared" si="11"/>
        <v>4242400</v>
      </c>
      <c r="F37" s="190">
        <f>(3952900)+63500+14000+65000+147000</f>
        <v>4242400</v>
      </c>
      <c r="G37" s="239">
        <f>(2696100)+63500</f>
        <v>2759600</v>
      </c>
      <c r="H37" s="239">
        <v>197300</v>
      </c>
      <c r="I37" s="190"/>
      <c r="J37" s="297">
        <f t="shared" si="10"/>
        <v>176450</v>
      </c>
      <c r="K37" s="190">
        <v>76000</v>
      </c>
      <c r="L37" s="239"/>
      <c r="M37" s="239"/>
      <c r="N37" s="190">
        <f t="shared" si="12"/>
        <v>100450</v>
      </c>
      <c r="O37" s="239">
        <f>(0)+100450</f>
        <v>100450</v>
      </c>
      <c r="P37" s="297">
        <f t="shared" si="9"/>
        <v>4418850</v>
      </c>
    </row>
    <row r="38" spans="1:18" ht="112.5" customHeight="1" x14ac:dyDescent="0.2">
      <c r="A38" s="270" t="s">
        <v>399</v>
      </c>
      <c r="B38" s="270" t="s">
        <v>400</v>
      </c>
      <c r="C38" s="270"/>
      <c r="D38" s="273" t="s">
        <v>398</v>
      </c>
      <c r="E38" s="297">
        <f t="shared" si="11"/>
        <v>14450300</v>
      </c>
      <c r="F38" s="190">
        <f>F39+F40</f>
        <v>14450300</v>
      </c>
      <c r="G38" s="239">
        <f>G39+G40</f>
        <v>10359000</v>
      </c>
      <c r="H38" s="239">
        <f t="shared" ref="H38" si="13">H39</f>
        <v>737377</v>
      </c>
      <c r="I38" s="190"/>
      <c r="J38" s="297">
        <f t="shared" si="10"/>
        <v>548800</v>
      </c>
      <c r="K38" s="190">
        <f>K39</f>
        <v>500800</v>
      </c>
      <c r="L38" s="239">
        <f t="shared" ref="L38:M38" si="14">L39</f>
        <v>290200</v>
      </c>
      <c r="M38" s="239">
        <f t="shared" si="14"/>
        <v>24000</v>
      </c>
      <c r="N38" s="190">
        <f>N39</f>
        <v>48000</v>
      </c>
      <c r="O38" s="239">
        <f>O39</f>
        <v>48000</v>
      </c>
      <c r="P38" s="297">
        <f t="shared" si="9"/>
        <v>14999100</v>
      </c>
    </row>
    <row r="39" spans="1:18" s="203" customFormat="1" ht="139.5" customHeight="1" x14ac:dyDescent="0.2">
      <c r="A39" s="293" t="s">
        <v>656</v>
      </c>
      <c r="B39" s="293" t="s">
        <v>657</v>
      </c>
      <c r="C39" s="293" t="s">
        <v>397</v>
      </c>
      <c r="D39" s="293" t="s">
        <v>655</v>
      </c>
      <c r="E39" s="190">
        <f t="shared" si="11"/>
        <v>14283100</v>
      </c>
      <c r="F39" s="190">
        <f>(13719600)+342300+75300+20000+125900</f>
        <v>14283100</v>
      </c>
      <c r="G39" s="190">
        <f>(10016700)+342300</f>
        <v>10359000</v>
      </c>
      <c r="H39" s="190">
        <f>764800-(27423)</f>
        <v>737377</v>
      </c>
      <c r="I39" s="289"/>
      <c r="J39" s="190">
        <f t="shared" si="10"/>
        <v>548800</v>
      </c>
      <c r="K39" s="190">
        <v>500800</v>
      </c>
      <c r="L39" s="190">
        <v>290200</v>
      </c>
      <c r="M39" s="190">
        <v>24000</v>
      </c>
      <c r="N39" s="190">
        <f t="shared" ref="N39" si="15">O39</f>
        <v>48000</v>
      </c>
      <c r="O39" s="289">
        <v>48000</v>
      </c>
      <c r="P39" s="190">
        <f t="shared" si="9"/>
        <v>14831900</v>
      </c>
    </row>
    <row r="40" spans="1:18" s="203" customFormat="1" ht="124.5" customHeight="1" x14ac:dyDescent="0.2">
      <c r="A40" s="293" t="s">
        <v>697</v>
      </c>
      <c r="B40" s="293" t="s">
        <v>698</v>
      </c>
      <c r="C40" s="293" t="s">
        <v>397</v>
      </c>
      <c r="D40" s="271" t="s">
        <v>696</v>
      </c>
      <c r="E40" s="289">
        <f t="shared" si="11"/>
        <v>167200</v>
      </c>
      <c r="F40" s="289">
        <f>(140000+27200-27200)+27200</f>
        <v>167200</v>
      </c>
      <c r="G40" s="289"/>
      <c r="H40" s="289"/>
      <c r="I40" s="289"/>
      <c r="J40" s="190">
        <f t="shared" si="10"/>
        <v>0</v>
      </c>
      <c r="K40" s="289"/>
      <c r="L40" s="289"/>
      <c r="M40" s="289"/>
      <c r="N40" s="289"/>
      <c r="O40" s="289"/>
      <c r="P40" s="190">
        <f t="shared" si="9"/>
        <v>167200</v>
      </c>
    </row>
    <row r="41" spans="1:18" ht="46.5" x14ac:dyDescent="0.2">
      <c r="A41" s="270" t="s">
        <v>402</v>
      </c>
      <c r="B41" s="270" t="s">
        <v>403</v>
      </c>
      <c r="C41" s="270" t="s">
        <v>404</v>
      </c>
      <c r="D41" s="270" t="s">
        <v>99</v>
      </c>
      <c r="E41" s="297">
        <f>F41</f>
        <v>106000</v>
      </c>
      <c r="F41" s="190">
        <v>106000</v>
      </c>
      <c r="G41" s="239"/>
      <c r="H41" s="239"/>
      <c r="I41" s="190"/>
      <c r="J41" s="297">
        <f>K41+N41</f>
        <v>16433748</v>
      </c>
      <c r="K41" s="190"/>
      <c r="L41" s="239"/>
      <c r="M41" s="239"/>
      <c r="N41" s="190">
        <f>O41</f>
        <v>16433748</v>
      </c>
      <c r="O41" s="239">
        <f>(1191000+8287748-106000)+7061000</f>
        <v>16433748</v>
      </c>
      <c r="P41" s="297">
        <f>E41+J41</f>
        <v>16539748</v>
      </c>
    </row>
    <row r="42" spans="1:18" ht="135" x14ac:dyDescent="0.2">
      <c r="A42" s="442" t="s">
        <v>308</v>
      </c>
      <c r="B42" s="443"/>
      <c r="C42" s="443"/>
      <c r="D42" s="434" t="s">
        <v>53</v>
      </c>
      <c r="E42" s="441">
        <f>E43</f>
        <v>347052841</v>
      </c>
      <c r="F42" s="444">
        <f t="shared" ref="F42:P42" si="16">F43</f>
        <v>347052841</v>
      </c>
      <c r="G42" s="441">
        <f t="shared" si="16"/>
        <v>1567600</v>
      </c>
      <c r="H42" s="441">
        <f t="shared" si="16"/>
        <v>99700</v>
      </c>
      <c r="I42" s="444">
        <f t="shared" si="16"/>
        <v>0</v>
      </c>
      <c r="J42" s="441">
        <f t="shared" si="16"/>
        <v>39093371</v>
      </c>
      <c r="K42" s="444">
        <f t="shared" si="16"/>
        <v>16728718</v>
      </c>
      <c r="L42" s="441">
        <f t="shared" si="16"/>
        <v>0</v>
      </c>
      <c r="M42" s="441">
        <f t="shared" si="16"/>
        <v>0</v>
      </c>
      <c r="N42" s="444">
        <f t="shared" si="16"/>
        <v>22364653</v>
      </c>
      <c r="O42" s="441">
        <f t="shared" si="16"/>
        <v>22015653</v>
      </c>
      <c r="P42" s="441">
        <f t="shared" si="16"/>
        <v>386146212</v>
      </c>
    </row>
    <row r="43" spans="1:18" ht="180" x14ac:dyDescent="0.2">
      <c r="A43" s="433" t="s">
        <v>309</v>
      </c>
      <c r="B43" s="433"/>
      <c r="C43" s="433"/>
      <c r="D43" s="438" t="s">
        <v>91</v>
      </c>
      <c r="E43" s="439">
        <f>E44+E45+E46+E47+E53+E48+E50+E56</f>
        <v>347052841</v>
      </c>
      <c r="F43" s="440">
        <f>F44+F45+F46+F47+F53+F48+F50</f>
        <v>347052841</v>
      </c>
      <c r="G43" s="439">
        <f>G44+G45+G46+G47+G53+G48+G50</f>
        <v>1567600</v>
      </c>
      <c r="H43" s="439">
        <f>H44+H45+H46+H47+H53+H48+H50</f>
        <v>99700</v>
      </c>
      <c r="I43" s="440">
        <v>0</v>
      </c>
      <c r="J43" s="439">
        <f t="shared" ref="J43:J56" si="17">K43+N43</f>
        <v>39093371</v>
      </c>
      <c r="K43" s="440">
        <f>K44+K45+K46+K47+K53+K48+K50+K56</f>
        <v>16728718</v>
      </c>
      <c r="L43" s="439">
        <f>L44+L45+L46+L47+L53+L48+L50</f>
        <v>0</v>
      </c>
      <c r="M43" s="439">
        <f>M44+M45+M46+M47+M53+M48+M50</f>
        <v>0</v>
      </c>
      <c r="N43" s="440">
        <f>N44+N45+N46+N47+N53+N48+N50+N56</f>
        <v>22364653</v>
      </c>
      <c r="O43" s="439">
        <f>O44+O45+O46+O47+O53+O48+O56</f>
        <v>22015653</v>
      </c>
      <c r="P43" s="439">
        <f t="shared" ref="P43:P56" si="18">E43+J43</f>
        <v>386146212</v>
      </c>
      <c r="Q43" s="240" t="b">
        <f>P43=P44+P45+P46+P47+P49+P51+P52+P54+P55+P56</f>
        <v>1</v>
      </c>
      <c r="R43" s="240" t="b">
        <f>O43='dod5'!J36</f>
        <v>0</v>
      </c>
    </row>
    <row r="44" spans="1:18" ht="91.5" x14ac:dyDescent="0.2">
      <c r="A44" s="270" t="s">
        <v>405</v>
      </c>
      <c r="B44" s="270" t="s">
        <v>401</v>
      </c>
      <c r="C44" s="270" t="s">
        <v>406</v>
      </c>
      <c r="D44" s="270" t="s">
        <v>55</v>
      </c>
      <c r="E44" s="297">
        <f>F44</f>
        <v>174374541</v>
      </c>
      <c r="F44" s="190">
        <f>(169809941+1000000+714000+50000)-714000+2474600-360000+3000000+160000+360000+1000000-(3120000)</f>
        <v>174374541</v>
      </c>
      <c r="G44" s="239"/>
      <c r="H44" s="239"/>
      <c r="I44" s="190"/>
      <c r="J44" s="297">
        <f t="shared" si="17"/>
        <v>22756345</v>
      </c>
      <c r="K44" s="190">
        <v>5806250</v>
      </c>
      <c r="L44" s="239"/>
      <c r="M44" s="239"/>
      <c r="N44" s="190">
        <f>O44</f>
        <v>16950095</v>
      </c>
      <c r="O44" s="239">
        <f>(4250000+1000000)+11650768-113-25620-12940+88000</f>
        <v>16950095</v>
      </c>
      <c r="P44" s="297">
        <f t="shared" si="18"/>
        <v>197130886</v>
      </c>
    </row>
    <row r="45" spans="1:18" ht="137.25" x14ac:dyDescent="0.2">
      <c r="A45" s="270" t="s">
        <v>407</v>
      </c>
      <c r="B45" s="270" t="s">
        <v>408</v>
      </c>
      <c r="C45" s="270" t="s">
        <v>409</v>
      </c>
      <c r="D45" s="270" t="s">
        <v>410</v>
      </c>
      <c r="E45" s="297">
        <f t="shared" ref="E45:E56" si="19">F45</f>
        <v>53801300</v>
      </c>
      <c r="F45" s="190">
        <f>(53366300+320000)+115000</f>
        <v>53801300</v>
      </c>
      <c r="G45" s="239"/>
      <c r="H45" s="239"/>
      <c r="I45" s="190"/>
      <c r="J45" s="297">
        <f t="shared" si="17"/>
        <v>1449150</v>
      </c>
      <c r="K45" s="190">
        <f>(852000)-30000</f>
        <v>822000</v>
      </c>
      <c r="L45" s="239"/>
      <c r="M45" s="239"/>
      <c r="N45" s="190">
        <f>(O45)+30000</f>
        <v>627150</v>
      </c>
      <c r="O45" s="239">
        <v>597150</v>
      </c>
      <c r="P45" s="297">
        <f t="shared" si="18"/>
        <v>55250450</v>
      </c>
    </row>
    <row r="46" spans="1:18" ht="137.25" x14ac:dyDescent="0.2">
      <c r="A46" s="270" t="s">
        <v>411</v>
      </c>
      <c r="B46" s="270" t="s">
        <v>412</v>
      </c>
      <c r="C46" s="270" t="s">
        <v>413</v>
      </c>
      <c r="D46" s="270" t="s">
        <v>730</v>
      </c>
      <c r="E46" s="297">
        <f t="shared" si="19"/>
        <v>53724500</v>
      </c>
      <c r="F46" s="190">
        <f>(53234500+5881200)-5881200+502148-12148</f>
        <v>53724500</v>
      </c>
      <c r="G46" s="239"/>
      <c r="H46" s="239"/>
      <c r="I46" s="190"/>
      <c r="J46" s="297">
        <f t="shared" si="17"/>
        <v>6963776</v>
      </c>
      <c r="K46" s="190">
        <f>(5312168)-249000</f>
        <v>5063168</v>
      </c>
      <c r="L46" s="239"/>
      <c r="M46" s="239"/>
      <c r="N46" s="190">
        <f>(O46)+249000</f>
        <v>1900608</v>
      </c>
      <c r="O46" s="239">
        <f>1617460+12148+22000</f>
        <v>1651608</v>
      </c>
      <c r="P46" s="297">
        <f t="shared" si="18"/>
        <v>60688276</v>
      </c>
    </row>
    <row r="47" spans="1:18" ht="91.5" x14ac:dyDescent="0.2">
      <c r="A47" s="270" t="s">
        <v>414</v>
      </c>
      <c r="B47" s="270" t="s">
        <v>415</v>
      </c>
      <c r="C47" s="270" t="s">
        <v>416</v>
      </c>
      <c r="D47" s="270" t="s">
        <v>417</v>
      </c>
      <c r="E47" s="297">
        <f t="shared" si="19"/>
        <v>8870400</v>
      </c>
      <c r="F47" s="190">
        <f>(9008400+22000)-160000</f>
        <v>8870400</v>
      </c>
      <c r="G47" s="239"/>
      <c r="H47" s="239"/>
      <c r="I47" s="190"/>
      <c r="J47" s="297">
        <f t="shared" si="17"/>
        <v>5089400</v>
      </c>
      <c r="K47" s="190">
        <f>(5000400)-70000</f>
        <v>4930400</v>
      </c>
      <c r="L47" s="239"/>
      <c r="M47" s="239"/>
      <c r="N47" s="190">
        <f>O47+70000</f>
        <v>159000</v>
      </c>
      <c r="O47" s="239">
        <v>89000</v>
      </c>
      <c r="P47" s="297">
        <f t="shared" si="18"/>
        <v>13959800</v>
      </c>
    </row>
    <row r="48" spans="1:18" ht="91.5" x14ac:dyDescent="0.2">
      <c r="A48" s="270" t="s">
        <v>418</v>
      </c>
      <c r="B48" s="270" t="s">
        <v>419</v>
      </c>
      <c r="C48" s="270"/>
      <c r="D48" s="270" t="s">
        <v>731</v>
      </c>
      <c r="E48" s="297">
        <f t="shared" si="19"/>
        <v>39540900</v>
      </c>
      <c r="F48" s="190">
        <f>F49</f>
        <v>39540900</v>
      </c>
      <c r="G48" s="239"/>
      <c r="H48" s="239"/>
      <c r="I48" s="190"/>
      <c r="J48" s="297">
        <f t="shared" si="17"/>
        <v>2341500</v>
      </c>
      <c r="K48" s="190">
        <f>K49</f>
        <v>86500</v>
      </c>
      <c r="L48" s="239"/>
      <c r="M48" s="239"/>
      <c r="N48" s="190">
        <f t="shared" ref="N48:N49" si="20">O48</f>
        <v>2255000</v>
      </c>
      <c r="O48" s="239">
        <f>O49</f>
        <v>2255000</v>
      </c>
      <c r="P48" s="297">
        <f t="shared" si="18"/>
        <v>41882400</v>
      </c>
    </row>
    <row r="49" spans="1:22" ht="183" x14ac:dyDescent="0.2">
      <c r="A49" s="271" t="s">
        <v>420</v>
      </c>
      <c r="B49" s="293" t="s">
        <v>421</v>
      </c>
      <c r="C49" s="293" t="s">
        <v>732</v>
      </c>
      <c r="D49" s="271" t="s">
        <v>422</v>
      </c>
      <c r="E49" s="190">
        <f t="shared" si="19"/>
        <v>39540900</v>
      </c>
      <c r="F49" s="190">
        <f>(6889600+25900000+340000+4561100+2835500)-2835500+70200+(1780000)</f>
        <v>39540900</v>
      </c>
      <c r="G49" s="190"/>
      <c r="H49" s="190"/>
      <c r="I49" s="190"/>
      <c r="J49" s="190">
        <f t="shared" si="17"/>
        <v>2341500</v>
      </c>
      <c r="K49" s="190">
        <v>86500</v>
      </c>
      <c r="L49" s="190"/>
      <c r="M49" s="190"/>
      <c r="N49" s="190">
        <f t="shared" si="20"/>
        <v>2255000</v>
      </c>
      <c r="O49" s="239">
        <f>(540000+1000000)+715000</f>
        <v>2255000</v>
      </c>
      <c r="P49" s="190">
        <f t="shared" si="18"/>
        <v>41882400</v>
      </c>
    </row>
    <row r="50" spans="1:22" ht="137.25" x14ac:dyDescent="0.2">
      <c r="A50" s="270" t="s">
        <v>783</v>
      </c>
      <c r="B50" s="273" t="s">
        <v>784</v>
      </c>
      <c r="C50" s="273"/>
      <c r="D50" s="273" t="s">
        <v>785</v>
      </c>
      <c r="E50" s="297">
        <f t="shared" si="19"/>
        <v>14260900</v>
      </c>
      <c r="F50" s="190">
        <f>SUM(F51:F52)</f>
        <v>14260900</v>
      </c>
      <c r="G50" s="239">
        <f t="shared" ref="G50:H50" si="21">SUM(G51:G52)</f>
        <v>0</v>
      </c>
      <c r="H50" s="239">
        <f t="shared" si="21"/>
        <v>0</v>
      </c>
      <c r="I50" s="190"/>
      <c r="J50" s="297">
        <f t="shared" si="17"/>
        <v>0</v>
      </c>
      <c r="K50" s="190">
        <f>SUM(K51:K52)</f>
        <v>0</v>
      </c>
      <c r="L50" s="239">
        <f t="shared" ref="L50:M50" si="22">SUM(L51:L52)</f>
        <v>0</v>
      </c>
      <c r="M50" s="239">
        <f t="shared" si="22"/>
        <v>0</v>
      </c>
      <c r="N50" s="190">
        <f>SUM(N51:N52)</f>
        <v>0</v>
      </c>
      <c r="O50" s="239"/>
      <c r="P50" s="297">
        <f t="shared" si="18"/>
        <v>14260900</v>
      </c>
    </row>
    <row r="51" spans="1:22" ht="183" x14ac:dyDescent="0.2">
      <c r="A51" s="271" t="s">
        <v>786</v>
      </c>
      <c r="B51" s="271" t="s">
        <v>787</v>
      </c>
      <c r="C51" s="273" t="s">
        <v>425</v>
      </c>
      <c r="D51" s="298" t="s">
        <v>788</v>
      </c>
      <c r="E51" s="190">
        <f t="shared" si="19"/>
        <v>7935200</v>
      </c>
      <c r="F51" s="190">
        <f>6595200+(1340000)</f>
        <v>7935200</v>
      </c>
      <c r="G51" s="190"/>
      <c r="H51" s="190"/>
      <c r="I51" s="190"/>
      <c r="J51" s="190">
        <f t="shared" si="17"/>
        <v>0</v>
      </c>
      <c r="K51" s="190"/>
      <c r="L51" s="190"/>
      <c r="M51" s="190"/>
      <c r="N51" s="190">
        <f t="shared" ref="N51:N52" si="23">O51</f>
        <v>0</v>
      </c>
      <c r="O51" s="190"/>
      <c r="P51" s="190">
        <f t="shared" si="18"/>
        <v>7935200</v>
      </c>
    </row>
    <row r="52" spans="1:22" ht="183" x14ac:dyDescent="0.2">
      <c r="A52" s="271" t="s">
        <v>791</v>
      </c>
      <c r="B52" s="271" t="s">
        <v>790</v>
      </c>
      <c r="C52" s="273" t="s">
        <v>425</v>
      </c>
      <c r="D52" s="298" t="s">
        <v>789</v>
      </c>
      <c r="E52" s="190">
        <f t="shared" si="19"/>
        <v>6325700</v>
      </c>
      <c r="F52" s="190">
        <f>2835500+(3490200)</f>
        <v>6325700</v>
      </c>
      <c r="G52" s="190"/>
      <c r="H52" s="190"/>
      <c r="I52" s="190"/>
      <c r="J52" s="190">
        <f t="shared" si="17"/>
        <v>0</v>
      </c>
      <c r="K52" s="190"/>
      <c r="L52" s="190"/>
      <c r="M52" s="190"/>
      <c r="N52" s="190">
        <f t="shared" si="23"/>
        <v>0</v>
      </c>
      <c r="O52" s="190"/>
      <c r="P52" s="190">
        <f t="shared" si="18"/>
        <v>6325700</v>
      </c>
    </row>
    <row r="53" spans="1:22" ht="91.5" customHeight="1" x14ac:dyDescent="0.2">
      <c r="A53" s="270" t="s">
        <v>423</v>
      </c>
      <c r="B53" s="273" t="s">
        <v>424</v>
      </c>
      <c r="C53" s="273"/>
      <c r="D53" s="273" t="s">
        <v>426</v>
      </c>
      <c r="E53" s="297">
        <f t="shared" si="19"/>
        <v>2480300</v>
      </c>
      <c r="F53" s="190">
        <f>SUM(F54:F55)</f>
        <v>2480300</v>
      </c>
      <c r="G53" s="239">
        <f t="shared" ref="G53:H53" si="24">SUM(G54:G55)</f>
        <v>1567600</v>
      </c>
      <c r="H53" s="239">
        <f t="shared" si="24"/>
        <v>99700</v>
      </c>
      <c r="I53" s="190"/>
      <c r="J53" s="297">
        <f t="shared" si="17"/>
        <v>40400</v>
      </c>
      <c r="K53" s="190">
        <f>SUM(K54:K55)</f>
        <v>20400</v>
      </c>
      <c r="L53" s="239">
        <f t="shared" ref="L53:M53" si="25">SUM(L54:L55)</f>
        <v>0</v>
      </c>
      <c r="M53" s="239">
        <f t="shared" si="25"/>
        <v>0</v>
      </c>
      <c r="N53" s="190">
        <f>SUM(N54:N55)</f>
        <v>20000</v>
      </c>
      <c r="O53" s="190">
        <f>SUM(O54:O55)</f>
        <v>20000</v>
      </c>
      <c r="P53" s="297">
        <f t="shared" si="18"/>
        <v>2520700</v>
      </c>
    </row>
    <row r="54" spans="1:22" s="203" customFormat="1" ht="137.25" x14ac:dyDescent="0.2">
      <c r="A54" s="271" t="s">
        <v>660</v>
      </c>
      <c r="B54" s="271" t="s">
        <v>662</v>
      </c>
      <c r="C54" s="293" t="s">
        <v>425</v>
      </c>
      <c r="D54" s="298" t="s">
        <v>658</v>
      </c>
      <c r="E54" s="190">
        <f t="shared" si="19"/>
        <v>2180300</v>
      </c>
      <c r="F54" s="190">
        <f>(2459300-300000)+11000+10000</f>
        <v>2180300</v>
      </c>
      <c r="G54" s="190">
        <v>1567600</v>
      </c>
      <c r="H54" s="190">
        <v>99700</v>
      </c>
      <c r="I54" s="190"/>
      <c r="J54" s="190">
        <f t="shared" si="17"/>
        <v>40400</v>
      </c>
      <c r="K54" s="190">
        <v>20400</v>
      </c>
      <c r="L54" s="190"/>
      <c r="M54" s="190"/>
      <c r="N54" s="190">
        <f t="shared" ref="N54:N55" si="26">O54</f>
        <v>20000</v>
      </c>
      <c r="O54" s="190">
        <f>30000-10000</f>
        <v>20000</v>
      </c>
      <c r="P54" s="190">
        <f t="shared" si="18"/>
        <v>2220700</v>
      </c>
    </row>
    <row r="55" spans="1:22" s="203" customFormat="1" ht="91.5" x14ac:dyDescent="0.2">
      <c r="A55" s="271" t="s">
        <v>661</v>
      </c>
      <c r="B55" s="271" t="s">
        <v>663</v>
      </c>
      <c r="C55" s="293" t="s">
        <v>425</v>
      </c>
      <c r="D55" s="298" t="s">
        <v>659</v>
      </c>
      <c r="E55" s="190">
        <f t="shared" si="19"/>
        <v>300000</v>
      </c>
      <c r="F55" s="190">
        <v>300000</v>
      </c>
      <c r="G55" s="190"/>
      <c r="H55" s="190"/>
      <c r="I55" s="190"/>
      <c r="J55" s="190">
        <f t="shared" si="17"/>
        <v>0</v>
      </c>
      <c r="K55" s="190"/>
      <c r="L55" s="190"/>
      <c r="M55" s="190"/>
      <c r="N55" s="190">
        <f t="shared" si="26"/>
        <v>0</v>
      </c>
      <c r="O55" s="190"/>
      <c r="P55" s="190">
        <f t="shared" si="18"/>
        <v>300000</v>
      </c>
    </row>
    <row r="56" spans="1:22" ht="91.5" x14ac:dyDescent="0.2">
      <c r="A56" s="270" t="s">
        <v>799</v>
      </c>
      <c r="B56" s="273" t="s">
        <v>800</v>
      </c>
      <c r="C56" s="273" t="s">
        <v>103</v>
      </c>
      <c r="D56" s="273" t="s">
        <v>801</v>
      </c>
      <c r="E56" s="297">
        <f t="shared" si="19"/>
        <v>0</v>
      </c>
      <c r="F56" s="190"/>
      <c r="G56" s="239"/>
      <c r="H56" s="239"/>
      <c r="I56" s="190"/>
      <c r="J56" s="297">
        <f t="shared" si="17"/>
        <v>452800</v>
      </c>
      <c r="K56" s="190"/>
      <c r="L56" s="239"/>
      <c r="M56" s="239"/>
      <c r="N56" s="190">
        <f>O56</f>
        <v>452800</v>
      </c>
      <c r="O56" s="239">
        <v>452800</v>
      </c>
      <c r="P56" s="297">
        <f t="shared" si="18"/>
        <v>452800</v>
      </c>
    </row>
    <row r="57" spans="1:22" ht="225" x14ac:dyDescent="0.2">
      <c r="A57" s="433" t="s">
        <v>310</v>
      </c>
      <c r="B57" s="433"/>
      <c r="C57" s="433"/>
      <c r="D57" s="434" t="s">
        <v>92</v>
      </c>
      <c r="E57" s="440">
        <f>E58</f>
        <v>975571809</v>
      </c>
      <c r="F57" s="440">
        <f>F58</f>
        <v>975571809</v>
      </c>
      <c r="G57" s="440">
        <f>G58</f>
        <v>14083300</v>
      </c>
      <c r="H57" s="440">
        <f t="shared" ref="H57:O57" si="27">H58</f>
        <v>861100</v>
      </c>
      <c r="I57" s="440">
        <f t="shared" si="27"/>
        <v>0</v>
      </c>
      <c r="J57" s="440">
        <f t="shared" si="27"/>
        <v>10638875.629999999</v>
      </c>
      <c r="K57" s="440">
        <f t="shared" si="27"/>
        <v>94000</v>
      </c>
      <c r="L57" s="440">
        <f t="shared" si="27"/>
        <v>50000</v>
      </c>
      <c r="M57" s="440">
        <f t="shared" si="27"/>
        <v>4000</v>
      </c>
      <c r="N57" s="440">
        <f t="shared" si="27"/>
        <v>10544875.629999999</v>
      </c>
      <c r="O57" s="439">
        <f t="shared" si="27"/>
        <v>10544875.629999999</v>
      </c>
      <c r="P57" s="439">
        <f>P58</f>
        <v>986210684.63</v>
      </c>
    </row>
    <row r="58" spans="1:22" ht="225" x14ac:dyDescent="0.2">
      <c r="A58" s="437" t="s">
        <v>311</v>
      </c>
      <c r="B58" s="437"/>
      <c r="C58" s="437"/>
      <c r="D58" s="438" t="s">
        <v>93</v>
      </c>
      <c r="E58" s="439">
        <f>E96+E88+E104+E91+E71+E80+E65+E59+E62+E102+E79+E87+E92+E95</f>
        <v>975571809</v>
      </c>
      <c r="F58" s="440">
        <f>F96+F88+F104+F91+F71+F80+F65+F59+F62+F102+F79+F87+F92+F95</f>
        <v>975571809</v>
      </c>
      <c r="G58" s="439">
        <f>G96+G88+G104+G91+G71+G80+G65+G59+G62+G102+G79+G87</f>
        <v>14083300</v>
      </c>
      <c r="H58" s="439">
        <f>H96+H88+H104+H91+H71+H80+H65+H59+H62+H102+H79+H87</f>
        <v>861100</v>
      </c>
      <c r="I58" s="440">
        <v>0</v>
      </c>
      <c r="J58" s="439">
        <f t="shared" ref="J58:J65" si="28">K58+N58</f>
        <v>10638875.629999999</v>
      </c>
      <c r="K58" s="440">
        <f>K96+K88+K104+K91+K71+K80+K65+K59+K62+K102+K79+K87+K107+K98</f>
        <v>94000</v>
      </c>
      <c r="L58" s="439">
        <f>L96+L88+L104+L91+L71+L80+L65+L59+L62+L102+L79+L87</f>
        <v>50000</v>
      </c>
      <c r="M58" s="439">
        <f>M96+M88+M104+M91+M71+M80+M65+M59+M62+M102+M79+M87</f>
        <v>4000</v>
      </c>
      <c r="N58" s="440">
        <f>N96+N88+N104+N91+N71+N80+N65+N59+N62+N102+N79+N87+N107+N98</f>
        <v>10544875.629999999</v>
      </c>
      <c r="O58" s="439">
        <f>O96+O88+O104+O91+O71+O80+O65+O59+O62+O102+O79+O87+O107+O98</f>
        <v>10544875.629999999</v>
      </c>
      <c r="P58" s="439">
        <f t="shared" ref="P58:P65" si="29">E58+J58</f>
        <v>986210684.63</v>
      </c>
      <c r="Q58" s="311" t="b">
        <f>P58=P60+P61+P63+P64+P66+P67+P68+P69+P70+P72+P73+P74+P75+P76+P77+P78+P79+P82+P83+P84+P85+P86+P87+P89+P90+P91+P93+P94+P95+P97+P99+P102+P105+P106+P108</f>
        <v>1</v>
      </c>
      <c r="R58" s="325" t="b">
        <f>O58='dod5'!J54</f>
        <v>0</v>
      </c>
      <c r="S58" s="312"/>
      <c r="T58" s="311"/>
      <c r="U58" s="312"/>
      <c r="V58" s="312"/>
    </row>
    <row r="59" spans="1:22" ht="366" x14ac:dyDescent="0.2">
      <c r="A59" s="273" t="s">
        <v>451</v>
      </c>
      <c r="B59" s="273" t="s">
        <v>452</v>
      </c>
      <c r="C59" s="273"/>
      <c r="D59" s="273" t="s">
        <v>14</v>
      </c>
      <c r="E59" s="297">
        <f t="shared" ref="E59:E65" si="30">F59</f>
        <v>523967300</v>
      </c>
      <c r="F59" s="190">
        <f>F60+F61</f>
        <v>523967300</v>
      </c>
      <c r="G59" s="239">
        <f>G60+G61</f>
        <v>0</v>
      </c>
      <c r="H59" s="239">
        <f>H60+H61</f>
        <v>0</v>
      </c>
      <c r="I59" s="190">
        <f>I60+I61</f>
        <v>0</v>
      </c>
      <c r="J59" s="297">
        <f t="shared" si="28"/>
        <v>0</v>
      </c>
      <c r="K59" s="190">
        <f>K60+K61</f>
        <v>0</v>
      </c>
      <c r="L59" s="239">
        <f>L60+L61</f>
        <v>0</v>
      </c>
      <c r="M59" s="239">
        <f>M60+M61</f>
        <v>0</v>
      </c>
      <c r="N59" s="190">
        <f>N60+N61</f>
        <v>0</v>
      </c>
      <c r="O59" s="239">
        <f>O60+O61</f>
        <v>0</v>
      </c>
      <c r="P59" s="297">
        <f t="shared" si="29"/>
        <v>523967300</v>
      </c>
    </row>
    <row r="60" spans="1:22" ht="183" x14ac:dyDescent="0.2">
      <c r="A60" s="293" t="s">
        <v>453</v>
      </c>
      <c r="B60" s="293" t="s">
        <v>454</v>
      </c>
      <c r="C60" s="293" t="s">
        <v>385</v>
      </c>
      <c r="D60" s="301" t="s">
        <v>450</v>
      </c>
      <c r="E60" s="289">
        <f t="shared" si="30"/>
        <v>57500000</v>
      </c>
      <c r="F60" s="289">
        <v>57500000</v>
      </c>
      <c r="G60" s="289"/>
      <c r="H60" s="289"/>
      <c r="I60" s="289"/>
      <c r="J60" s="289">
        <f t="shared" si="28"/>
        <v>0</v>
      </c>
      <c r="K60" s="289"/>
      <c r="L60" s="289"/>
      <c r="M60" s="289"/>
      <c r="N60" s="289">
        <f>O60</f>
        <v>0</v>
      </c>
      <c r="O60" s="242"/>
      <c r="P60" s="289">
        <f t="shared" si="29"/>
        <v>57500000</v>
      </c>
    </row>
    <row r="61" spans="1:22" ht="183" x14ac:dyDescent="0.2">
      <c r="A61" s="302" t="s">
        <v>476</v>
      </c>
      <c r="B61" s="293" t="s">
        <v>477</v>
      </c>
      <c r="C61" s="293" t="s">
        <v>117</v>
      </c>
      <c r="D61" s="271" t="s">
        <v>15</v>
      </c>
      <c r="E61" s="191">
        <f t="shared" si="30"/>
        <v>466467300</v>
      </c>
      <c r="F61" s="190">
        <v>466467300</v>
      </c>
      <c r="G61" s="190"/>
      <c r="H61" s="190"/>
      <c r="I61" s="190"/>
      <c r="J61" s="289">
        <f t="shared" si="28"/>
        <v>0</v>
      </c>
      <c r="K61" s="190"/>
      <c r="L61" s="190"/>
      <c r="M61" s="190"/>
      <c r="N61" s="190">
        <f>O61</f>
        <v>0</v>
      </c>
      <c r="O61" s="190"/>
      <c r="P61" s="190">
        <f t="shared" si="29"/>
        <v>466467300</v>
      </c>
    </row>
    <row r="62" spans="1:22" ht="228.75" x14ac:dyDescent="0.2">
      <c r="A62" s="270" t="s">
        <v>478</v>
      </c>
      <c r="B62" s="270" t="s">
        <v>479</v>
      </c>
      <c r="C62" s="271"/>
      <c r="D62" s="270" t="s">
        <v>16</v>
      </c>
      <c r="E62" s="297">
        <f t="shared" si="30"/>
        <v>60000</v>
      </c>
      <c r="F62" s="297">
        <f>F63+F64</f>
        <v>60000</v>
      </c>
      <c r="G62" s="239">
        <f>G63+G64</f>
        <v>0</v>
      </c>
      <c r="H62" s="239">
        <f>H63+H64</f>
        <v>0</v>
      </c>
      <c r="I62" s="239">
        <f>I63+I64</f>
        <v>0</v>
      </c>
      <c r="J62" s="297">
        <f t="shared" si="28"/>
        <v>0</v>
      </c>
      <c r="K62" s="239">
        <f>K63+K64</f>
        <v>0</v>
      </c>
      <c r="L62" s="239">
        <f>L63+L64</f>
        <v>0</v>
      </c>
      <c r="M62" s="239">
        <f>M63+M64</f>
        <v>0</v>
      </c>
      <c r="N62" s="239">
        <f>N63+N64</f>
        <v>0</v>
      </c>
      <c r="O62" s="239">
        <f>O63+O64</f>
        <v>0</v>
      </c>
      <c r="P62" s="297">
        <f t="shared" si="29"/>
        <v>60000</v>
      </c>
    </row>
    <row r="63" spans="1:22" ht="274.5" x14ac:dyDescent="0.2">
      <c r="A63" s="271" t="s">
        <v>481</v>
      </c>
      <c r="B63" s="271" t="s">
        <v>482</v>
      </c>
      <c r="C63" s="271" t="s">
        <v>385</v>
      </c>
      <c r="D63" s="303" t="s">
        <v>480</v>
      </c>
      <c r="E63" s="289">
        <f t="shared" si="30"/>
        <v>2000</v>
      </c>
      <c r="F63" s="289">
        <v>2000</v>
      </c>
      <c r="G63" s="289"/>
      <c r="H63" s="289"/>
      <c r="I63" s="289"/>
      <c r="J63" s="289">
        <f t="shared" si="28"/>
        <v>0</v>
      </c>
      <c r="K63" s="289"/>
      <c r="L63" s="289"/>
      <c r="M63" s="289"/>
      <c r="N63" s="289">
        <f>O63</f>
        <v>0</v>
      </c>
      <c r="O63" s="242"/>
      <c r="P63" s="289">
        <f t="shared" si="29"/>
        <v>2000</v>
      </c>
    </row>
    <row r="64" spans="1:22" ht="228.75" x14ac:dyDescent="0.2">
      <c r="A64" s="271" t="s">
        <v>483</v>
      </c>
      <c r="B64" s="271" t="s">
        <v>484</v>
      </c>
      <c r="C64" s="303">
        <v>1060</v>
      </c>
      <c r="D64" s="304" t="s">
        <v>27</v>
      </c>
      <c r="E64" s="190">
        <f t="shared" si="30"/>
        <v>58000</v>
      </c>
      <c r="F64" s="190">
        <f>56400+1600</f>
        <v>58000</v>
      </c>
      <c r="G64" s="190"/>
      <c r="H64" s="190"/>
      <c r="I64" s="190"/>
      <c r="J64" s="190">
        <f t="shared" si="28"/>
        <v>0</v>
      </c>
      <c r="K64" s="190"/>
      <c r="L64" s="190"/>
      <c r="M64" s="190"/>
      <c r="N64" s="190">
        <f>O64</f>
        <v>0</v>
      </c>
      <c r="O64" s="239"/>
      <c r="P64" s="190">
        <f t="shared" si="29"/>
        <v>58000</v>
      </c>
    </row>
    <row r="65" spans="1:16" ht="320.25" x14ac:dyDescent="0.2">
      <c r="A65" s="273" t="s">
        <v>514</v>
      </c>
      <c r="B65" s="273" t="s">
        <v>515</v>
      </c>
      <c r="C65" s="273"/>
      <c r="D65" s="305" t="s">
        <v>513</v>
      </c>
      <c r="E65" s="290">
        <f t="shared" si="30"/>
        <v>66662930</v>
      </c>
      <c r="F65" s="289">
        <f>F66+F67+F68+F69+F70</f>
        <v>66662930</v>
      </c>
      <c r="G65" s="242">
        <f>G66+G67+G68+G69+G70</f>
        <v>0</v>
      </c>
      <c r="H65" s="242">
        <f>H66+H67+H68+H69+H70</f>
        <v>0</v>
      </c>
      <c r="I65" s="289">
        <f>I66+I67+I68+I69+I70</f>
        <v>0</v>
      </c>
      <c r="J65" s="290">
        <f t="shared" si="28"/>
        <v>100000</v>
      </c>
      <c r="K65" s="289">
        <f>K66+K67+K68+K69+K70</f>
        <v>0</v>
      </c>
      <c r="L65" s="242">
        <f>L66+L67+L68+L69+L70</f>
        <v>0</v>
      </c>
      <c r="M65" s="242">
        <f>M66+M67+M68+M69+M70</f>
        <v>0</v>
      </c>
      <c r="N65" s="289">
        <f>N66+N67+N68+N69+N70</f>
        <v>100000</v>
      </c>
      <c r="O65" s="242">
        <f>O66+O67+O68+O69+O70</f>
        <v>100000</v>
      </c>
      <c r="P65" s="290">
        <f t="shared" si="29"/>
        <v>66762930</v>
      </c>
    </row>
    <row r="66" spans="1:16" s="203" customFormat="1" ht="137.25" x14ac:dyDescent="0.2">
      <c r="A66" s="293" t="s">
        <v>516</v>
      </c>
      <c r="B66" s="293" t="s">
        <v>517</v>
      </c>
      <c r="C66" s="293" t="s">
        <v>385</v>
      </c>
      <c r="D66" s="306" t="s">
        <v>518</v>
      </c>
      <c r="E66" s="289">
        <f>F66</f>
        <v>315130</v>
      </c>
      <c r="F66" s="289">
        <v>315130</v>
      </c>
      <c r="G66" s="289"/>
      <c r="H66" s="289"/>
      <c r="I66" s="289"/>
      <c r="J66" s="289">
        <f>K66+N66</f>
        <v>100000</v>
      </c>
      <c r="K66" s="289"/>
      <c r="L66" s="289"/>
      <c r="M66" s="289"/>
      <c r="N66" s="289">
        <f>O66</f>
        <v>100000</v>
      </c>
      <c r="O66" s="289">
        <v>100000</v>
      </c>
      <c r="P66" s="289">
        <f>E66+J66</f>
        <v>415130</v>
      </c>
    </row>
    <row r="67" spans="1:16" s="203" customFormat="1" ht="137.25" x14ac:dyDescent="0.2">
      <c r="A67" s="271" t="s">
        <v>519</v>
      </c>
      <c r="B67" s="271" t="s">
        <v>520</v>
      </c>
      <c r="C67" s="271" t="s">
        <v>386</v>
      </c>
      <c r="D67" s="271" t="s">
        <v>24</v>
      </c>
      <c r="E67" s="190">
        <f t="shared" ref="E67:E108" si="31">F67</f>
        <v>1750000</v>
      </c>
      <c r="F67" s="190">
        <v>1750000</v>
      </c>
      <c r="G67" s="190"/>
      <c r="H67" s="190"/>
      <c r="I67" s="190"/>
      <c r="J67" s="190">
        <f t="shared" ref="J67:J108" si="32">K67+N67</f>
        <v>0</v>
      </c>
      <c r="K67" s="190"/>
      <c r="L67" s="190"/>
      <c r="M67" s="190"/>
      <c r="N67" s="190">
        <f>O67</f>
        <v>0</v>
      </c>
      <c r="O67" s="190"/>
      <c r="P67" s="190">
        <f t="shared" ref="P67:P90" si="33">E67+J67</f>
        <v>1750000</v>
      </c>
    </row>
    <row r="68" spans="1:16" s="203" customFormat="1" ht="183" x14ac:dyDescent="0.2">
      <c r="A68" s="271" t="s">
        <v>522</v>
      </c>
      <c r="B68" s="271" t="s">
        <v>523</v>
      </c>
      <c r="C68" s="271" t="s">
        <v>386</v>
      </c>
      <c r="D68" s="293" t="s">
        <v>25</v>
      </c>
      <c r="E68" s="190">
        <f t="shared" si="31"/>
        <v>5000000</v>
      </c>
      <c r="F68" s="190">
        <v>5000000</v>
      </c>
      <c r="G68" s="190"/>
      <c r="H68" s="190"/>
      <c r="I68" s="190"/>
      <c r="J68" s="190">
        <f t="shared" si="32"/>
        <v>0</v>
      </c>
      <c r="K68" s="190"/>
      <c r="L68" s="190"/>
      <c r="M68" s="190"/>
      <c r="N68" s="190">
        <f>O68</f>
        <v>0</v>
      </c>
      <c r="O68" s="190"/>
      <c r="P68" s="190">
        <f t="shared" si="33"/>
        <v>5000000</v>
      </c>
    </row>
    <row r="69" spans="1:16" s="203" customFormat="1" ht="183" x14ac:dyDescent="0.2">
      <c r="A69" s="293" t="s">
        <v>524</v>
      </c>
      <c r="B69" s="293" t="s">
        <v>521</v>
      </c>
      <c r="C69" s="293" t="s">
        <v>386</v>
      </c>
      <c r="D69" s="293" t="s">
        <v>26</v>
      </c>
      <c r="E69" s="190">
        <f t="shared" si="31"/>
        <v>400000</v>
      </c>
      <c r="F69" s="190">
        <v>400000</v>
      </c>
      <c r="G69" s="190"/>
      <c r="H69" s="190"/>
      <c r="I69" s="190"/>
      <c r="J69" s="190">
        <f t="shared" si="32"/>
        <v>0</v>
      </c>
      <c r="K69" s="190"/>
      <c r="L69" s="190"/>
      <c r="M69" s="190"/>
      <c r="N69" s="190">
        <f>O69</f>
        <v>0</v>
      </c>
      <c r="O69" s="190"/>
      <c r="P69" s="190">
        <f t="shared" si="33"/>
        <v>400000</v>
      </c>
    </row>
    <row r="70" spans="1:16" s="203" customFormat="1" ht="183" x14ac:dyDescent="0.2">
      <c r="A70" s="293" t="s">
        <v>525</v>
      </c>
      <c r="B70" s="293" t="s">
        <v>526</v>
      </c>
      <c r="C70" s="293" t="s">
        <v>386</v>
      </c>
      <c r="D70" s="293" t="s">
        <v>31</v>
      </c>
      <c r="E70" s="190">
        <f t="shared" si="31"/>
        <v>59197800</v>
      </c>
      <c r="F70" s="190">
        <v>59197800</v>
      </c>
      <c r="G70" s="190"/>
      <c r="H70" s="190"/>
      <c r="I70" s="190"/>
      <c r="J70" s="190">
        <f t="shared" si="32"/>
        <v>0</v>
      </c>
      <c r="K70" s="190"/>
      <c r="L70" s="190"/>
      <c r="M70" s="190"/>
      <c r="N70" s="190">
        <f>O70</f>
        <v>0</v>
      </c>
      <c r="O70" s="190"/>
      <c r="P70" s="190">
        <f t="shared" si="33"/>
        <v>59197800</v>
      </c>
    </row>
    <row r="71" spans="1:16" ht="183" x14ac:dyDescent="0.2">
      <c r="A71" s="270" t="s">
        <v>455</v>
      </c>
      <c r="B71" s="270" t="s">
        <v>456</v>
      </c>
      <c r="C71" s="270"/>
      <c r="D71" s="270" t="s">
        <v>733</v>
      </c>
      <c r="E71" s="297">
        <f t="shared" si="31"/>
        <v>231787720</v>
      </c>
      <c r="F71" s="190">
        <f>SUM(F72:F78)</f>
        <v>231787720</v>
      </c>
      <c r="G71" s="239">
        <f>SUM(G72:G78)</f>
        <v>0</v>
      </c>
      <c r="H71" s="239">
        <f>SUM(H72:H78)</f>
        <v>0</v>
      </c>
      <c r="I71" s="190">
        <f>SUM(I72:I78)</f>
        <v>0</v>
      </c>
      <c r="J71" s="297">
        <f t="shared" si="32"/>
        <v>0</v>
      </c>
      <c r="K71" s="190">
        <f>SUM(K72:K78)</f>
        <v>0</v>
      </c>
      <c r="L71" s="239">
        <f>SUM(L72:L78)</f>
        <v>0</v>
      </c>
      <c r="M71" s="239">
        <f>SUM(M72:M78)</f>
        <v>0</v>
      </c>
      <c r="N71" s="190">
        <f>SUM(N72:N78)</f>
        <v>0</v>
      </c>
      <c r="O71" s="239">
        <f>SUM(O72:O78)</f>
        <v>0</v>
      </c>
      <c r="P71" s="297">
        <f t="shared" si="33"/>
        <v>231787720</v>
      </c>
    </row>
    <row r="72" spans="1:16" s="203" customFormat="1" ht="91.5" x14ac:dyDescent="0.2">
      <c r="A72" s="271" t="s">
        <v>465</v>
      </c>
      <c r="B72" s="271" t="s">
        <v>457</v>
      </c>
      <c r="C72" s="271" t="s">
        <v>353</v>
      </c>
      <c r="D72" s="271" t="s">
        <v>18</v>
      </c>
      <c r="E72" s="190">
        <f t="shared" si="31"/>
        <v>2853000</v>
      </c>
      <c r="F72" s="190">
        <v>2853000</v>
      </c>
      <c r="G72" s="190"/>
      <c r="H72" s="190"/>
      <c r="I72" s="190"/>
      <c r="J72" s="190">
        <f t="shared" si="32"/>
        <v>0</v>
      </c>
      <c r="K72" s="190"/>
      <c r="L72" s="190"/>
      <c r="M72" s="190"/>
      <c r="N72" s="190">
        <f t="shared" ref="N72:N87" si="34">O72</f>
        <v>0</v>
      </c>
      <c r="O72" s="190"/>
      <c r="P72" s="190">
        <f t="shared" si="33"/>
        <v>2853000</v>
      </c>
    </row>
    <row r="73" spans="1:16" s="203" customFormat="1" ht="91.5" x14ac:dyDescent="0.2">
      <c r="A73" s="271" t="s">
        <v>466</v>
      </c>
      <c r="B73" s="271" t="s">
        <v>458</v>
      </c>
      <c r="C73" s="271" t="s">
        <v>353</v>
      </c>
      <c r="D73" s="271" t="s">
        <v>464</v>
      </c>
      <c r="E73" s="190">
        <f>F73</f>
        <v>305000</v>
      </c>
      <c r="F73" s="190">
        <v>305000</v>
      </c>
      <c r="G73" s="190"/>
      <c r="H73" s="190"/>
      <c r="I73" s="190"/>
      <c r="J73" s="190">
        <f>K73+N73</f>
        <v>0</v>
      </c>
      <c r="K73" s="190"/>
      <c r="L73" s="190"/>
      <c r="M73" s="190"/>
      <c r="N73" s="190">
        <f>O73</f>
        <v>0</v>
      </c>
      <c r="O73" s="190"/>
      <c r="P73" s="190">
        <f>E73+J73</f>
        <v>305000</v>
      </c>
    </row>
    <row r="74" spans="1:16" s="203" customFormat="1" ht="91.5" x14ac:dyDescent="0.2">
      <c r="A74" s="271" t="s">
        <v>467</v>
      </c>
      <c r="B74" s="271" t="s">
        <v>459</v>
      </c>
      <c r="C74" s="271" t="s">
        <v>353</v>
      </c>
      <c r="D74" s="271" t="s">
        <v>19</v>
      </c>
      <c r="E74" s="190">
        <f t="shared" si="31"/>
        <v>155242720</v>
      </c>
      <c r="F74" s="190">
        <f>155000000+6123900+780000-(6661180)</f>
        <v>155242720</v>
      </c>
      <c r="G74" s="190"/>
      <c r="H74" s="190"/>
      <c r="I74" s="190"/>
      <c r="J74" s="190">
        <f t="shared" si="32"/>
        <v>0</v>
      </c>
      <c r="K74" s="190"/>
      <c r="L74" s="190"/>
      <c r="M74" s="190"/>
      <c r="N74" s="190">
        <f t="shared" si="34"/>
        <v>0</v>
      </c>
      <c r="O74" s="190"/>
      <c r="P74" s="190">
        <f t="shared" si="33"/>
        <v>155242720</v>
      </c>
    </row>
    <row r="75" spans="1:16" s="203" customFormat="1" ht="137.25" x14ac:dyDescent="0.2">
      <c r="A75" s="271" t="s">
        <v>468</v>
      </c>
      <c r="B75" s="271" t="s">
        <v>460</v>
      </c>
      <c r="C75" s="271" t="s">
        <v>353</v>
      </c>
      <c r="D75" s="271" t="s">
        <v>20</v>
      </c>
      <c r="E75" s="190">
        <f t="shared" si="31"/>
        <v>4390000</v>
      </c>
      <c r="F75" s="190">
        <v>4390000</v>
      </c>
      <c r="G75" s="190"/>
      <c r="H75" s="190"/>
      <c r="I75" s="190"/>
      <c r="J75" s="190">
        <f t="shared" si="32"/>
        <v>0</v>
      </c>
      <c r="K75" s="190"/>
      <c r="L75" s="190"/>
      <c r="M75" s="190"/>
      <c r="N75" s="190">
        <f t="shared" si="34"/>
        <v>0</v>
      </c>
      <c r="O75" s="190"/>
      <c r="P75" s="190">
        <f t="shared" si="33"/>
        <v>4390000</v>
      </c>
    </row>
    <row r="76" spans="1:16" s="203" customFormat="1" ht="91.5" x14ac:dyDescent="0.2">
      <c r="A76" s="271" t="s">
        <v>469</v>
      </c>
      <c r="B76" s="271" t="s">
        <v>461</v>
      </c>
      <c r="C76" s="271" t="s">
        <v>353</v>
      </c>
      <c r="D76" s="271" t="s">
        <v>21</v>
      </c>
      <c r="E76" s="190">
        <f t="shared" si="31"/>
        <v>24267000</v>
      </c>
      <c r="F76" s="190">
        <v>24267000</v>
      </c>
      <c r="G76" s="190"/>
      <c r="H76" s="190"/>
      <c r="I76" s="190"/>
      <c r="J76" s="190">
        <f t="shared" si="32"/>
        <v>0</v>
      </c>
      <c r="K76" s="190"/>
      <c r="L76" s="190"/>
      <c r="M76" s="190"/>
      <c r="N76" s="190">
        <f t="shared" si="34"/>
        <v>0</v>
      </c>
      <c r="O76" s="190"/>
      <c r="P76" s="190">
        <f t="shared" si="33"/>
        <v>24267000</v>
      </c>
    </row>
    <row r="77" spans="1:16" s="203" customFormat="1" ht="91.5" x14ac:dyDescent="0.2">
      <c r="A77" s="271" t="s">
        <v>470</v>
      </c>
      <c r="B77" s="271" t="s">
        <v>462</v>
      </c>
      <c r="C77" s="271" t="s">
        <v>353</v>
      </c>
      <c r="D77" s="271" t="s">
        <v>22</v>
      </c>
      <c r="E77" s="190">
        <f t="shared" si="31"/>
        <v>3330000</v>
      </c>
      <c r="F77" s="190">
        <v>3330000</v>
      </c>
      <c r="G77" s="190"/>
      <c r="H77" s="190"/>
      <c r="I77" s="190"/>
      <c r="J77" s="190">
        <f t="shared" si="32"/>
        <v>0</v>
      </c>
      <c r="K77" s="190"/>
      <c r="L77" s="190"/>
      <c r="M77" s="190"/>
      <c r="N77" s="190">
        <f t="shared" si="34"/>
        <v>0</v>
      </c>
      <c r="O77" s="190"/>
      <c r="P77" s="190">
        <f t="shared" si="33"/>
        <v>3330000</v>
      </c>
    </row>
    <row r="78" spans="1:16" s="203" customFormat="1" ht="137.25" x14ac:dyDescent="0.2">
      <c r="A78" s="271" t="s">
        <v>471</v>
      </c>
      <c r="B78" s="271" t="s">
        <v>463</v>
      </c>
      <c r="C78" s="271" t="s">
        <v>353</v>
      </c>
      <c r="D78" s="271" t="s">
        <v>23</v>
      </c>
      <c r="E78" s="190">
        <f t="shared" si="31"/>
        <v>41400000</v>
      </c>
      <c r="F78" s="190">
        <v>41400000</v>
      </c>
      <c r="G78" s="190"/>
      <c r="H78" s="190"/>
      <c r="I78" s="190"/>
      <c r="J78" s="190">
        <f t="shared" si="32"/>
        <v>0</v>
      </c>
      <c r="K78" s="190"/>
      <c r="L78" s="190"/>
      <c r="M78" s="190"/>
      <c r="N78" s="190">
        <f t="shared" si="34"/>
        <v>0</v>
      </c>
      <c r="O78" s="190"/>
      <c r="P78" s="190">
        <f t="shared" si="33"/>
        <v>41400000</v>
      </c>
    </row>
    <row r="79" spans="1:16" ht="183" x14ac:dyDescent="0.2">
      <c r="A79" s="270" t="s">
        <v>485</v>
      </c>
      <c r="B79" s="270" t="s">
        <v>472</v>
      </c>
      <c r="C79" s="270" t="s">
        <v>386</v>
      </c>
      <c r="D79" s="270" t="s">
        <v>17</v>
      </c>
      <c r="E79" s="297">
        <f t="shared" si="31"/>
        <v>174859</v>
      </c>
      <c r="F79" s="190">
        <v>174859</v>
      </c>
      <c r="G79" s="239"/>
      <c r="H79" s="239"/>
      <c r="I79" s="190"/>
      <c r="J79" s="297">
        <f t="shared" si="32"/>
        <v>0</v>
      </c>
      <c r="K79" s="190"/>
      <c r="L79" s="239"/>
      <c r="M79" s="239"/>
      <c r="N79" s="190">
        <f t="shared" si="34"/>
        <v>0</v>
      </c>
      <c r="O79" s="239"/>
      <c r="P79" s="297">
        <f t="shared" si="33"/>
        <v>174859</v>
      </c>
    </row>
    <row r="80" spans="1:16" ht="361.5" customHeight="1" x14ac:dyDescent="0.2">
      <c r="A80" s="720" t="s">
        <v>475</v>
      </c>
      <c r="B80" s="721" t="s">
        <v>473</v>
      </c>
      <c r="C80" s="721"/>
      <c r="D80" s="307" t="s">
        <v>737</v>
      </c>
      <c r="E80" s="723">
        <f t="shared" si="31"/>
        <v>105286800</v>
      </c>
      <c r="F80" s="724">
        <f>SUM(F82:F86)</f>
        <v>105286800</v>
      </c>
      <c r="G80" s="724"/>
      <c r="H80" s="724"/>
      <c r="I80" s="724"/>
      <c r="J80" s="725">
        <f t="shared" si="32"/>
        <v>0</v>
      </c>
      <c r="K80" s="724"/>
      <c r="L80" s="724"/>
      <c r="M80" s="724"/>
      <c r="N80" s="724">
        <f t="shared" si="34"/>
        <v>0</v>
      </c>
      <c r="O80" s="724"/>
      <c r="P80" s="725">
        <f t="shared" si="33"/>
        <v>105286800</v>
      </c>
    </row>
    <row r="81" spans="1:16" ht="336" customHeight="1" x14ac:dyDescent="0.2">
      <c r="A81" s="694"/>
      <c r="B81" s="722"/>
      <c r="C81" s="722"/>
      <c r="D81" s="308" t="s">
        <v>738</v>
      </c>
      <c r="E81" s="722"/>
      <c r="F81" s="719"/>
      <c r="G81" s="694"/>
      <c r="H81" s="694"/>
      <c r="I81" s="719"/>
      <c r="J81" s="694"/>
      <c r="K81" s="719"/>
      <c r="L81" s="694"/>
      <c r="M81" s="694"/>
      <c r="N81" s="719"/>
      <c r="O81" s="694"/>
      <c r="P81" s="694"/>
    </row>
    <row r="82" spans="1:16" s="203" customFormat="1" ht="183" x14ac:dyDescent="0.2">
      <c r="A82" s="271" t="s">
        <v>739</v>
      </c>
      <c r="B82" s="271" t="s">
        <v>740</v>
      </c>
      <c r="C82" s="271" t="s">
        <v>377</v>
      </c>
      <c r="D82" s="271" t="s">
        <v>736</v>
      </c>
      <c r="E82" s="190">
        <f t="shared" ref="E82:E86" si="35">F82</f>
        <v>62560700</v>
      </c>
      <c r="F82" s="190">
        <f>62560700+270822.5-(270822.5)</f>
        <v>62560700</v>
      </c>
      <c r="G82" s="190"/>
      <c r="H82" s="190"/>
      <c r="I82" s="190"/>
      <c r="J82" s="190">
        <f t="shared" ref="J82:J83" si="36">K82+N82</f>
        <v>0</v>
      </c>
      <c r="K82" s="190"/>
      <c r="L82" s="190"/>
      <c r="M82" s="190"/>
      <c r="N82" s="190">
        <f t="shared" ref="N82:N83" si="37">O82</f>
        <v>0</v>
      </c>
      <c r="O82" s="190"/>
      <c r="P82" s="190">
        <f t="shared" ref="P82:P86" si="38">E82+J82</f>
        <v>62560700</v>
      </c>
    </row>
    <row r="83" spans="1:16" s="203" customFormat="1" ht="274.5" x14ac:dyDescent="0.2">
      <c r="A83" s="271" t="s">
        <v>846</v>
      </c>
      <c r="B83" s="271" t="s">
        <v>847</v>
      </c>
      <c r="C83" s="271" t="s">
        <v>377</v>
      </c>
      <c r="D83" s="271" t="s">
        <v>848</v>
      </c>
      <c r="E83" s="190">
        <f t="shared" si="35"/>
        <v>11726448.640000001</v>
      </c>
      <c r="F83" s="190">
        <f>10757096.4+6300+(963212.07+963052.24-963212.07)</f>
        <v>11726448.640000001</v>
      </c>
      <c r="G83" s="190"/>
      <c r="H83" s="190"/>
      <c r="I83" s="190"/>
      <c r="J83" s="190">
        <f t="shared" si="36"/>
        <v>0</v>
      </c>
      <c r="K83" s="190"/>
      <c r="L83" s="190"/>
      <c r="M83" s="190"/>
      <c r="N83" s="190">
        <f t="shared" si="37"/>
        <v>0</v>
      </c>
      <c r="O83" s="190"/>
      <c r="P83" s="190">
        <f t="shared" si="38"/>
        <v>11726448.640000001</v>
      </c>
    </row>
    <row r="84" spans="1:16" s="203" customFormat="1" ht="183" x14ac:dyDescent="0.2">
      <c r="A84" s="271" t="s">
        <v>734</v>
      </c>
      <c r="B84" s="271" t="s">
        <v>735</v>
      </c>
      <c r="C84" s="271" t="s">
        <v>377</v>
      </c>
      <c r="D84" s="271" t="s">
        <v>664</v>
      </c>
      <c r="E84" s="190">
        <f t="shared" si="35"/>
        <v>29237747.760000002</v>
      </c>
      <c r="F84" s="190">
        <f>11605800+18595000-(963052.24)</f>
        <v>29237747.760000002</v>
      </c>
      <c r="G84" s="190"/>
      <c r="H84" s="190"/>
      <c r="I84" s="190"/>
      <c r="J84" s="190">
        <f>K84+N84</f>
        <v>0</v>
      </c>
      <c r="K84" s="190"/>
      <c r="L84" s="190"/>
      <c r="M84" s="190"/>
      <c r="N84" s="190"/>
      <c r="O84" s="190"/>
      <c r="P84" s="190">
        <f t="shared" si="38"/>
        <v>29237747.760000002</v>
      </c>
    </row>
    <row r="85" spans="1:16" s="203" customFormat="1" ht="274.5" x14ac:dyDescent="0.2">
      <c r="A85" s="271" t="s">
        <v>743</v>
      </c>
      <c r="B85" s="271" t="s">
        <v>744</v>
      </c>
      <c r="C85" s="271" t="s">
        <v>377</v>
      </c>
      <c r="D85" s="271" t="s">
        <v>745</v>
      </c>
      <c r="E85" s="190">
        <f t="shared" si="35"/>
        <v>1521903.5999999996</v>
      </c>
      <c r="F85" s="190">
        <f>(12285300)-10757096.4-6300</f>
        <v>1521903.5999999996</v>
      </c>
      <c r="G85" s="190"/>
      <c r="H85" s="190"/>
      <c r="I85" s="190"/>
      <c r="J85" s="190">
        <f>K85+N85</f>
        <v>0</v>
      </c>
      <c r="K85" s="190"/>
      <c r="L85" s="190"/>
      <c r="M85" s="190"/>
      <c r="N85" s="190"/>
      <c r="O85" s="190"/>
      <c r="P85" s="190">
        <f t="shared" si="38"/>
        <v>1521903.5999999996</v>
      </c>
    </row>
    <row r="86" spans="1:16" s="203" customFormat="1" ht="320.25" x14ac:dyDescent="0.2">
      <c r="A86" s="271" t="s">
        <v>741</v>
      </c>
      <c r="B86" s="271" t="s">
        <v>742</v>
      </c>
      <c r="C86" s="271" t="s">
        <v>377</v>
      </c>
      <c r="D86" s="271" t="s">
        <v>746</v>
      </c>
      <c r="E86" s="190">
        <f t="shared" si="35"/>
        <v>240000</v>
      </c>
      <c r="F86" s="190">
        <v>240000</v>
      </c>
      <c r="G86" s="190"/>
      <c r="H86" s="190"/>
      <c r="I86" s="190"/>
      <c r="J86" s="190">
        <f>K86+N86</f>
        <v>0</v>
      </c>
      <c r="K86" s="190"/>
      <c r="L86" s="190"/>
      <c r="M86" s="190"/>
      <c r="N86" s="190"/>
      <c r="O86" s="190"/>
      <c r="P86" s="190">
        <f t="shared" si="38"/>
        <v>240000</v>
      </c>
    </row>
    <row r="87" spans="1:16" ht="163.5" customHeight="1" x14ac:dyDescent="0.2">
      <c r="A87" s="270" t="s">
        <v>486</v>
      </c>
      <c r="B87" s="270" t="s">
        <v>474</v>
      </c>
      <c r="C87" s="270" t="s">
        <v>385</v>
      </c>
      <c r="D87" s="270" t="s">
        <v>665</v>
      </c>
      <c r="E87" s="297">
        <f t="shared" si="31"/>
        <v>188940</v>
      </c>
      <c r="F87" s="190">
        <v>188940</v>
      </c>
      <c r="G87" s="239"/>
      <c r="H87" s="239"/>
      <c r="I87" s="190"/>
      <c r="J87" s="297">
        <f t="shared" si="32"/>
        <v>0</v>
      </c>
      <c r="K87" s="190"/>
      <c r="L87" s="239"/>
      <c r="M87" s="239"/>
      <c r="N87" s="190">
        <f t="shared" si="34"/>
        <v>0</v>
      </c>
      <c r="O87" s="239"/>
      <c r="P87" s="297">
        <f t="shared" si="33"/>
        <v>188940</v>
      </c>
    </row>
    <row r="88" spans="1:16" ht="274.5" x14ac:dyDescent="0.2">
      <c r="A88" s="270" t="s">
        <v>507</v>
      </c>
      <c r="B88" s="270" t="s">
        <v>508</v>
      </c>
      <c r="C88" s="270"/>
      <c r="D88" s="270" t="s">
        <v>666</v>
      </c>
      <c r="E88" s="297">
        <f>F88</f>
        <v>18306443</v>
      </c>
      <c r="F88" s="241">
        <f>F89+F90</f>
        <v>18306443</v>
      </c>
      <c r="G88" s="239">
        <f>G89+G90</f>
        <v>12047900</v>
      </c>
      <c r="H88" s="239">
        <f>H89+H90</f>
        <v>530900</v>
      </c>
      <c r="I88" s="190">
        <f>I89+I90</f>
        <v>0</v>
      </c>
      <c r="J88" s="297">
        <f t="shared" si="32"/>
        <v>668200</v>
      </c>
      <c r="K88" s="190">
        <f>K89+K90</f>
        <v>94000</v>
      </c>
      <c r="L88" s="239">
        <f>L89+L90</f>
        <v>50000</v>
      </c>
      <c r="M88" s="239">
        <f>M89+M90</f>
        <v>4000</v>
      </c>
      <c r="N88" s="190">
        <f>N89+N90</f>
        <v>574200</v>
      </c>
      <c r="O88" s="239">
        <f>O89+O90</f>
        <v>574200</v>
      </c>
      <c r="P88" s="297">
        <f t="shared" si="33"/>
        <v>18974643</v>
      </c>
    </row>
    <row r="89" spans="1:16" ht="301.5" customHeight="1" x14ac:dyDescent="0.2">
      <c r="A89" s="271" t="s">
        <v>511</v>
      </c>
      <c r="B89" s="271" t="s">
        <v>509</v>
      </c>
      <c r="C89" s="271" t="s">
        <v>378</v>
      </c>
      <c r="D89" s="271" t="s">
        <v>52</v>
      </c>
      <c r="E89" s="190">
        <f t="shared" si="31"/>
        <v>13795200</v>
      </c>
      <c r="F89" s="190">
        <f>(13614700)+180500</f>
        <v>13795200</v>
      </c>
      <c r="G89" s="190">
        <v>9134300</v>
      </c>
      <c r="H89" s="190">
        <v>238000</v>
      </c>
      <c r="I89" s="190"/>
      <c r="J89" s="190">
        <f t="shared" si="32"/>
        <v>249500</v>
      </c>
      <c r="K89" s="190">
        <v>94000</v>
      </c>
      <c r="L89" s="190">
        <v>50000</v>
      </c>
      <c r="M89" s="190">
        <v>4000</v>
      </c>
      <c r="N89" s="190">
        <f>O89</f>
        <v>155500</v>
      </c>
      <c r="O89" s="190">
        <f>(112000)+43500</f>
        <v>155500</v>
      </c>
      <c r="P89" s="190">
        <f t="shared" si="33"/>
        <v>14044700</v>
      </c>
    </row>
    <row r="90" spans="1:16" ht="137.25" x14ac:dyDescent="0.2">
      <c r="A90" s="271" t="s">
        <v>512</v>
      </c>
      <c r="B90" s="271" t="s">
        <v>510</v>
      </c>
      <c r="C90" s="271" t="s">
        <v>377</v>
      </c>
      <c r="D90" s="271" t="s">
        <v>667</v>
      </c>
      <c r="E90" s="190">
        <f t="shared" si="31"/>
        <v>4511243</v>
      </c>
      <c r="F90" s="190">
        <f>(2311800+2069300)+75100+16500+500+38043</f>
        <v>4511243</v>
      </c>
      <c r="G90" s="190">
        <f>(1573500+1265000)+75100</f>
        <v>2913600</v>
      </c>
      <c r="H90" s="190">
        <f>(177900+114500)+500</f>
        <v>292900</v>
      </c>
      <c r="I90" s="190"/>
      <c r="J90" s="190">
        <f t="shared" si="32"/>
        <v>418700</v>
      </c>
      <c r="K90" s="190"/>
      <c r="L90" s="190"/>
      <c r="M90" s="190"/>
      <c r="N90" s="190">
        <f>O90</f>
        <v>418700</v>
      </c>
      <c r="O90" s="190">
        <f>(170000)+236700+12000</f>
        <v>418700</v>
      </c>
      <c r="P90" s="190">
        <f t="shared" si="33"/>
        <v>4929943</v>
      </c>
    </row>
    <row r="91" spans="1:16" ht="409.5" x14ac:dyDescent="0.2">
      <c r="A91" s="270" t="s">
        <v>504</v>
      </c>
      <c r="B91" s="270" t="s">
        <v>505</v>
      </c>
      <c r="C91" s="270" t="s">
        <v>377</v>
      </c>
      <c r="D91" s="270" t="s">
        <v>668</v>
      </c>
      <c r="E91" s="297">
        <f t="shared" si="31"/>
        <v>1375600</v>
      </c>
      <c r="F91" s="190">
        <f>1375600+240000-240000</f>
        <v>1375600</v>
      </c>
      <c r="G91" s="239"/>
      <c r="H91" s="239"/>
      <c r="I91" s="190"/>
      <c r="J91" s="297">
        <f t="shared" si="32"/>
        <v>0</v>
      </c>
      <c r="K91" s="190">
        <v>0</v>
      </c>
      <c r="L91" s="239"/>
      <c r="M91" s="239"/>
      <c r="N91" s="190">
        <f>O91</f>
        <v>0</v>
      </c>
      <c r="O91" s="239">
        <v>0</v>
      </c>
      <c r="P91" s="297">
        <f>+J91+E91</f>
        <v>1375600</v>
      </c>
    </row>
    <row r="92" spans="1:16" ht="137.25" x14ac:dyDescent="0.2">
      <c r="A92" s="270" t="s">
        <v>669</v>
      </c>
      <c r="B92" s="270" t="s">
        <v>670</v>
      </c>
      <c r="C92" s="270"/>
      <c r="D92" s="270" t="s">
        <v>671</v>
      </c>
      <c r="E92" s="297">
        <f t="shared" si="31"/>
        <v>123527</v>
      </c>
      <c r="F92" s="190">
        <f>SUM(F93:F94)</f>
        <v>123527</v>
      </c>
      <c r="G92" s="239"/>
      <c r="H92" s="239"/>
      <c r="I92" s="190"/>
      <c r="J92" s="297">
        <f t="shared" si="32"/>
        <v>0</v>
      </c>
      <c r="K92" s="190">
        <v>0</v>
      </c>
      <c r="L92" s="239"/>
      <c r="M92" s="239"/>
      <c r="N92" s="190">
        <f>O92</f>
        <v>0</v>
      </c>
      <c r="O92" s="239">
        <v>0</v>
      </c>
      <c r="P92" s="297">
        <f>+J92+E92</f>
        <v>123527</v>
      </c>
    </row>
    <row r="93" spans="1:16" ht="274.5" x14ac:dyDescent="0.2">
      <c r="A93" s="271" t="s">
        <v>672</v>
      </c>
      <c r="B93" s="271" t="s">
        <v>673</v>
      </c>
      <c r="C93" s="271" t="s">
        <v>377</v>
      </c>
      <c r="D93" s="271" t="s">
        <v>747</v>
      </c>
      <c r="E93" s="190">
        <f t="shared" si="31"/>
        <v>123359</v>
      </c>
      <c r="F93" s="190">
        <v>123359</v>
      </c>
      <c r="G93" s="190"/>
      <c r="H93" s="190"/>
      <c r="I93" s="190"/>
      <c r="J93" s="190">
        <f t="shared" si="32"/>
        <v>0</v>
      </c>
      <c r="K93" s="190"/>
      <c r="L93" s="190"/>
      <c r="M93" s="190"/>
      <c r="N93" s="190">
        <f t="shared" ref="N93:N99" si="39">O93</f>
        <v>0</v>
      </c>
      <c r="O93" s="239"/>
      <c r="P93" s="190">
        <f>+J93+E93</f>
        <v>123359</v>
      </c>
    </row>
    <row r="94" spans="1:16" ht="112.5" customHeight="1" x14ac:dyDescent="0.2">
      <c r="A94" s="271" t="s">
        <v>674</v>
      </c>
      <c r="B94" s="271" t="s">
        <v>675</v>
      </c>
      <c r="C94" s="271" t="s">
        <v>377</v>
      </c>
      <c r="D94" s="271" t="s">
        <v>748</v>
      </c>
      <c r="E94" s="190">
        <f t="shared" si="31"/>
        <v>168</v>
      </c>
      <c r="F94" s="190">
        <v>168</v>
      </c>
      <c r="G94" s="190"/>
      <c r="H94" s="190"/>
      <c r="I94" s="190"/>
      <c r="J94" s="190">
        <f t="shared" si="32"/>
        <v>0</v>
      </c>
      <c r="K94" s="190"/>
      <c r="L94" s="190"/>
      <c r="M94" s="190"/>
      <c r="N94" s="190">
        <f t="shared" si="39"/>
        <v>0</v>
      </c>
      <c r="O94" s="239"/>
      <c r="P94" s="190">
        <f>+J94+E94</f>
        <v>168</v>
      </c>
    </row>
    <row r="95" spans="1:16" ht="366" x14ac:dyDescent="0.2">
      <c r="A95" s="270" t="s">
        <v>751</v>
      </c>
      <c r="B95" s="270" t="s">
        <v>750</v>
      </c>
      <c r="C95" s="270" t="s">
        <v>117</v>
      </c>
      <c r="D95" s="270" t="s">
        <v>749</v>
      </c>
      <c r="E95" s="297">
        <f t="shared" si="31"/>
        <v>2026990</v>
      </c>
      <c r="F95" s="190">
        <v>2026990</v>
      </c>
      <c r="G95" s="239">
        <f t="shared" ref="G95:H96" si="40">G96</f>
        <v>0</v>
      </c>
      <c r="H95" s="239">
        <f t="shared" si="40"/>
        <v>0</v>
      </c>
      <c r="I95" s="190"/>
      <c r="J95" s="297">
        <f t="shared" si="32"/>
        <v>0</v>
      </c>
      <c r="K95" s="190">
        <f t="shared" ref="K95:M98" si="41">K96</f>
        <v>0</v>
      </c>
      <c r="L95" s="239">
        <f t="shared" si="41"/>
        <v>0</v>
      </c>
      <c r="M95" s="239">
        <f t="shared" si="41"/>
        <v>0</v>
      </c>
      <c r="N95" s="190">
        <f t="shared" si="39"/>
        <v>0</v>
      </c>
      <c r="O95" s="239">
        <f>O96</f>
        <v>0</v>
      </c>
      <c r="P95" s="297">
        <f>E95+J95</f>
        <v>2026990</v>
      </c>
    </row>
    <row r="96" spans="1:16" ht="91.5" x14ac:dyDescent="0.2">
      <c r="A96" s="270" t="s">
        <v>676</v>
      </c>
      <c r="B96" s="270" t="s">
        <v>677</v>
      </c>
      <c r="C96" s="270"/>
      <c r="D96" s="309" t="s">
        <v>50</v>
      </c>
      <c r="E96" s="297">
        <f t="shared" si="31"/>
        <v>400000</v>
      </c>
      <c r="F96" s="190">
        <f>F97</f>
        <v>400000</v>
      </c>
      <c r="G96" s="239">
        <f t="shared" si="40"/>
        <v>0</v>
      </c>
      <c r="H96" s="239">
        <f t="shared" si="40"/>
        <v>0</v>
      </c>
      <c r="I96" s="190"/>
      <c r="J96" s="297">
        <f t="shared" si="32"/>
        <v>0</v>
      </c>
      <c r="K96" s="190">
        <f t="shared" si="41"/>
        <v>0</v>
      </c>
      <c r="L96" s="239">
        <f t="shared" si="41"/>
        <v>0</v>
      </c>
      <c r="M96" s="239">
        <f t="shared" si="41"/>
        <v>0</v>
      </c>
      <c r="N96" s="190">
        <f t="shared" si="39"/>
        <v>0</v>
      </c>
      <c r="O96" s="239">
        <f>O97</f>
        <v>0</v>
      </c>
      <c r="P96" s="297">
        <f>E96+J96</f>
        <v>400000</v>
      </c>
    </row>
    <row r="97" spans="1:18" ht="228.75" x14ac:dyDescent="0.2">
      <c r="A97" s="271" t="s">
        <v>678</v>
      </c>
      <c r="B97" s="271" t="s">
        <v>679</v>
      </c>
      <c r="C97" s="271" t="s">
        <v>385</v>
      </c>
      <c r="D97" s="271" t="s">
        <v>752</v>
      </c>
      <c r="E97" s="190">
        <f t="shared" si="31"/>
        <v>400000</v>
      </c>
      <c r="F97" s="190">
        <v>400000</v>
      </c>
      <c r="G97" s="190"/>
      <c r="H97" s="190"/>
      <c r="I97" s="190"/>
      <c r="J97" s="190">
        <f t="shared" si="32"/>
        <v>0</v>
      </c>
      <c r="K97" s="190"/>
      <c r="L97" s="190"/>
      <c r="M97" s="190"/>
      <c r="N97" s="190">
        <f t="shared" si="39"/>
        <v>0</v>
      </c>
      <c r="O97" s="239"/>
      <c r="P97" s="190">
        <f>E97+J97</f>
        <v>400000</v>
      </c>
    </row>
    <row r="98" spans="1:18" ht="228.75" x14ac:dyDescent="0.2">
      <c r="A98" s="270" t="s">
        <v>947</v>
      </c>
      <c r="B98" s="270" t="s">
        <v>948</v>
      </c>
      <c r="C98" s="270"/>
      <c r="D98" s="309" t="s">
        <v>946</v>
      </c>
      <c r="E98" s="297"/>
      <c r="F98" s="190"/>
      <c r="G98" s="239"/>
      <c r="H98" s="239"/>
      <c r="I98" s="190"/>
      <c r="J98" s="297">
        <f t="shared" si="32"/>
        <v>6864875.6299999999</v>
      </c>
      <c r="K98" s="190">
        <f t="shared" si="41"/>
        <v>0</v>
      </c>
      <c r="L98" s="239"/>
      <c r="M98" s="239"/>
      <c r="N98" s="190">
        <f t="shared" si="39"/>
        <v>6864875.6299999999</v>
      </c>
      <c r="O98" s="239">
        <f>O99</f>
        <v>6864875.6299999999</v>
      </c>
      <c r="P98" s="297">
        <f>E98+J98</f>
        <v>6864875.6299999999</v>
      </c>
    </row>
    <row r="99" spans="1:18" s="203" customFormat="1" ht="409.5" x14ac:dyDescent="0.2">
      <c r="A99" s="718" t="s">
        <v>949</v>
      </c>
      <c r="B99" s="718" t="s">
        <v>950</v>
      </c>
      <c r="C99" s="728" t="s">
        <v>117</v>
      </c>
      <c r="D99" s="310" t="s">
        <v>951</v>
      </c>
      <c r="E99" s="730"/>
      <c r="F99" s="730"/>
      <c r="G99" s="730"/>
      <c r="H99" s="730"/>
      <c r="I99" s="730"/>
      <c r="J99" s="724">
        <f t="shared" si="32"/>
        <v>6864875.6299999999</v>
      </c>
      <c r="K99" s="724"/>
      <c r="L99" s="724"/>
      <c r="M99" s="724"/>
      <c r="N99" s="724">
        <f t="shared" si="39"/>
        <v>6864875.6299999999</v>
      </c>
      <c r="O99" s="724">
        <v>6864875.6299999999</v>
      </c>
      <c r="P99" s="724">
        <f>E99+J99</f>
        <v>6864875.6299999999</v>
      </c>
    </row>
    <row r="100" spans="1:18" s="203" customFormat="1" ht="409.5" x14ac:dyDescent="0.2">
      <c r="A100" s="726"/>
      <c r="B100" s="726"/>
      <c r="C100" s="729"/>
      <c r="D100" s="310" t="s">
        <v>952</v>
      </c>
      <c r="E100" s="729"/>
      <c r="F100" s="729"/>
      <c r="G100" s="729"/>
      <c r="H100" s="729"/>
      <c r="I100" s="729"/>
      <c r="J100" s="726"/>
      <c r="K100" s="726"/>
      <c r="L100" s="726"/>
      <c r="M100" s="726"/>
      <c r="N100" s="726"/>
      <c r="O100" s="726"/>
      <c r="P100" s="726"/>
    </row>
    <row r="101" spans="1:18" s="203" customFormat="1" ht="94.5" customHeight="1" x14ac:dyDescent="0.2">
      <c r="A101" s="727"/>
      <c r="B101" s="727"/>
      <c r="C101" s="729"/>
      <c r="D101" s="271" t="s">
        <v>953</v>
      </c>
      <c r="E101" s="729"/>
      <c r="F101" s="729"/>
      <c r="G101" s="729"/>
      <c r="H101" s="729"/>
      <c r="I101" s="729"/>
      <c r="J101" s="727"/>
      <c r="K101" s="727"/>
      <c r="L101" s="727"/>
      <c r="M101" s="727"/>
      <c r="N101" s="727"/>
      <c r="O101" s="727"/>
      <c r="P101" s="727"/>
    </row>
    <row r="102" spans="1:18" ht="409.5" x14ac:dyDescent="0.2">
      <c r="A102" s="720" t="s">
        <v>503</v>
      </c>
      <c r="B102" s="720" t="s">
        <v>362</v>
      </c>
      <c r="C102" s="721" t="s">
        <v>353</v>
      </c>
      <c r="D102" s="307" t="s">
        <v>680</v>
      </c>
      <c r="E102" s="723">
        <f>F102</f>
        <v>851000</v>
      </c>
      <c r="F102" s="724">
        <v>851000</v>
      </c>
      <c r="G102" s="724"/>
      <c r="H102" s="724"/>
      <c r="I102" s="724"/>
      <c r="J102" s="725">
        <f>K102+N102</f>
        <v>0</v>
      </c>
      <c r="K102" s="724"/>
      <c r="L102" s="724"/>
      <c r="M102" s="724"/>
      <c r="N102" s="724">
        <f>O102</f>
        <v>0</v>
      </c>
      <c r="O102" s="724"/>
      <c r="P102" s="725">
        <f>E102+J102</f>
        <v>851000</v>
      </c>
    </row>
    <row r="103" spans="1:18" ht="327.75" customHeight="1" x14ac:dyDescent="0.2">
      <c r="A103" s="694"/>
      <c r="B103" s="694"/>
      <c r="C103" s="722"/>
      <c r="D103" s="321" t="s">
        <v>681</v>
      </c>
      <c r="E103" s="722"/>
      <c r="F103" s="719"/>
      <c r="G103" s="694"/>
      <c r="H103" s="694"/>
      <c r="I103" s="719"/>
      <c r="J103" s="694"/>
      <c r="K103" s="719"/>
      <c r="L103" s="694"/>
      <c r="M103" s="694"/>
      <c r="N103" s="719"/>
      <c r="O103" s="694"/>
      <c r="P103" s="694"/>
    </row>
    <row r="104" spans="1:18" ht="46.5" x14ac:dyDescent="0.2">
      <c r="A104" s="270" t="s">
        <v>684</v>
      </c>
      <c r="B104" s="270" t="s">
        <v>685</v>
      </c>
      <c r="C104" s="270"/>
      <c r="D104" s="270" t="s">
        <v>364</v>
      </c>
      <c r="E104" s="297">
        <f t="shared" si="31"/>
        <v>24359700</v>
      </c>
      <c r="F104" s="190">
        <f>F105+F106</f>
        <v>24359700</v>
      </c>
      <c r="G104" s="179">
        <f>G105+G106</f>
        <v>2035400</v>
      </c>
      <c r="H104" s="179">
        <f>H105+H106</f>
        <v>330200</v>
      </c>
      <c r="I104" s="47"/>
      <c r="J104" s="297">
        <f t="shared" si="32"/>
        <v>505800</v>
      </c>
      <c r="K104" s="190">
        <f>K105+K106</f>
        <v>0</v>
      </c>
      <c r="L104" s="179">
        <f>L105+L106</f>
        <v>0</v>
      </c>
      <c r="M104" s="179">
        <f>M105+M106</f>
        <v>0</v>
      </c>
      <c r="N104" s="47">
        <f>N105+N106</f>
        <v>505800</v>
      </c>
      <c r="O104" s="179">
        <f>O105+O106</f>
        <v>505800</v>
      </c>
      <c r="P104" s="297">
        <f>E104+J104</f>
        <v>24865500</v>
      </c>
    </row>
    <row r="105" spans="1:18" ht="183" x14ac:dyDescent="0.2">
      <c r="A105" s="271" t="s">
        <v>682</v>
      </c>
      <c r="B105" s="271" t="s">
        <v>686</v>
      </c>
      <c r="C105" s="271" t="s">
        <v>363</v>
      </c>
      <c r="D105" s="298" t="s">
        <v>688</v>
      </c>
      <c r="E105" s="190">
        <f t="shared" si="31"/>
        <v>3358400</v>
      </c>
      <c r="F105" s="190">
        <f>(5404100-2069300)+23600</f>
        <v>3358400</v>
      </c>
      <c r="G105" s="47">
        <f>3300400-1265000</f>
        <v>2035400</v>
      </c>
      <c r="H105" s="47">
        <f>444700-114500</f>
        <v>330200</v>
      </c>
      <c r="I105" s="190"/>
      <c r="J105" s="190">
        <f t="shared" si="32"/>
        <v>105800</v>
      </c>
      <c r="K105" s="190"/>
      <c r="L105" s="190"/>
      <c r="M105" s="190"/>
      <c r="N105" s="190">
        <f t="shared" ref="N105:N108" si="42">O105</f>
        <v>105800</v>
      </c>
      <c r="O105" s="190">
        <f>24000+81800</f>
        <v>105800</v>
      </c>
      <c r="P105" s="190">
        <f t="shared" ref="P105:P106" si="43">E105+J105</f>
        <v>3464200</v>
      </c>
    </row>
    <row r="106" spans="1:18" ht="137.25" x14ac:dyDescent="0.2">
      <c r="A106" s="271" t="s">
        <v>683</v>
      </c>
      <c r="B106" s="271" t="s">
        <v>687</v>
      </c>
      <c r="C106" s="271" t="s">
        <v>363</v>
      </c>
      <c r="D106" s="298" t="s">
        <v>689</v>
      </c>
      <c r="E106" s="190">
        <f t="shared" si="31"/>
        <v>21001300</v>
      </c>
      <c r="F106" s="190">
        <f>(19868590+12285300-12285300-2026990)+3159700</f>
        <v>21001300</v>
      </c>
      <c r="G106" s="190"/>
      <c r="H106" s="190"/>
      <c r="I106" s="190"/>
      <c r="J106" s="190">
        <f t="shared" si="32"/>
        <v>400000</v>
      </c>
      <c r="K106" s="190"/>
      <c r="L106" s="190"/>
      <c r="M106" s="190"/>
      <c r="N106" s="190">
        <f t="shared" si="42"/>
        <v>400000</v>
      </c>
      <c r="O106" s="190">
        <v>400000</v>
      </c>
      <c r="P106" s="190">
        <f t="shared" si="43"/>
        <v>21401300</v>
      </c>
    </row>
    <row r="107" spans="1:18" ht="91.5" x14ac:dyDescent="0.2">
      <c r="A107" s="270" t="s">
        <v>832</v>
      </c>
      <c r="B107" s="270" t="s">
        <v>706</v>
      </c>
      <c r="C107" s="270"/>
      <c r="D107" s="270" t="s">
        <v>833</v>
      </c>
      <c r="E107" s="297">
        <f t="shared" si="31"/>
        <v>0</v>
      </c>
      <c r="F107" s="190">
        <f>F108</f>
        <v>0</v>
      </c>
      <c r="G107" s="239">
        <f t="shared" ref="G107:H107" si="44">G108</f>
        <v>0</v>
      </c>
      <c r="H107" s="239">
        <f t="shared" si="44"/>
        <v>0</v>
      </c>
      <c r="I107" s="190"/>
      <c r="J107" s="297">
        <f t="shared" si="32"/>
        <v>2500000</v>
      </c>
      <c r="K107" s="190">
        <f t="shared" ref="K107:M107" si="45">K108</f>
        <v>0</v>
      </c>
      <c r="L107" s="239">
        <f t="shared" si="45"/>
        <v>0</v>
      </c>
      <c r="M107" s="239">
        <f t="shared" si="45"/>
        <v>0</v>
      </c>
      <c r="N107" s="190">
        <f t="shared" si="42"/>
        <v>2500000</v>
      </c>
      <c r="O107" s="239">
        <f>O108</f>
        <v>2500000</v>
      </c>
      <c r="P107" s="297">
        <f>E107+J107</f>
        <v>2500000</v>
      </c>
    </row>
    <row r="108" spans="1:18" ht="137.25" x14ac:dyDescent="0.2">
      <c r="A108" s="271" t="s">
        <v>836</v>
      </c>
      <c r="B108" s="271" t="s">
        <v>834</v>
      </c>
      <c r="C108" s="271" t="s">
        <v>708</v>
      </c>
      <c r="D108" s="298" t="s">
        <v>835</v>
      </c>
      <c r="E108" s="190">
        <f t="shared" si="31"/>
        <v>0</v>
      </c>
      <c r="F108" s="190"/>
      <c r="G108" s="190"/>
      <c r="H108" s="190"/>
      <c r="I108" s="190"/>
      <c r="J108" s="190">
        <f t="shared" si="32"/>
        <v>2500000</v>
      </c>
      <c r="K108" s="190"/>
      <c r="L108" s="190"/>
      <c r="M108" s="190"/>
      <c r="N108" s="190">
        <f t="shared" si="42"/>
        <v>2500000</v>
      </c>
      <c r="O108" s="239">
        <v>2500000</v>
      </c>
      <c r="P108" s="190">
        <f>E108+J108</f>
        <v>2500000</v>
      </c>
    </row>
    <row r="109" spans="1:18" ht="180" x14ac:dyDescent="0.2">
      <c r="A109" s="445">
        <v>1000000</v>
      </c>
      <c r="B109" s="445"/>
      <c r="C109" s="445"/>
      <c r="D109" s="433" t="s">
        <v>68</v>
      </c>
      <c r="E109" s="440">
        <f>E110</f>
        <v>72111900</v>
      </c>
      <c r="F109" s="440">
        <f t="shared" ref="F109:P109" si="46">F110</f>
        <v>72111900</v>
      </c>
      <c r="G109" s="440">
        <f t="shared" si="46"/>
        <v>50790400</v>
      </c>
      <c r="H109" s="440">
        <f t="shared" si="46"/>
        <v>3320500</v>
      </c>
      <c r="I109" s="440">
        <f t="shared" si="46"/>
        <v>0</v>
      </c>
      <c r="J109" s="440">
        <f t="shared" si="46"/>
        <v>15521220</v>
      </c>
      <c r="K109" s="440">
        <f t="shared" si="46"/>
        <v>6593800</v>
      </c>
      <c r="L109" s="440">
        <f t="shared" si="46"/>
        <v>4801700</v>
      </c>
      <c r="M109" s="440">
        <f t="shared" si="46"/>
        <v>184500</v>
      </c>
      <c r="N109" s="440">
        <f t="shared" si="46"/>
        <v>8927420</v>
      </c>
      <c r="O109" s="439">
        <f t="shared" si="46"/>
        <v>8859520</v>
      </c>
      <c r="P109" s="440">
        <f t="shared" si="46"/>
        <v>87633120</v>
      </c>
    </row>
    <row r="110" spans="1:18" ht="180" x14ac:dyDescent="0.2">
      <c r="A110" s="446">
        <v>1010000</v>
      </c>
      <c r="B110" s="446"/>
      <c r="C110" s="446"/>
      <c r="D110" s="437" t="s">
        <v>94</v>
      </c>
      <c r="E110" s="439">
        <f>E112+E113+E114+E115+E111+E117+E116+E120</f>
        <v>72111900</v>
      </c>
      <c r="F110" s="440">
        <f>F112+F113+F114+F115+F111+F117+F116+F120</f>
        <v>72111900</v>
      </c>
      <c r="G110" s="439">
        <f>G112+G113+G114+G115+G111+G117+G116+G120</f>
        <v>50790400</v>
      </c>
      <c r="H110" s="439">
        <f>H112+H113+H114+H115+H111+H117+H116+H120</f>
        <v>3320500</v>
      </c>
      <c r="I110" s="440">
        <v>0</v>
      </c>
      <c r="J110" s="439">
        <f t="shared" ref="J110:J116" si="47">K110+N110</f>
        <v>15521220</v>
      </c>
      <c r="K110" s="440">
        <f>K112+K113+K114+K115+K111+K117+K116+K120</f>
        <v>6593800</v>
      </c>
      <c r="L110" s="439">
        <f>L112+L113+L114+L115+L111+L117+L116+L120</f>
        <v>4801700</v>
      </c>
      <c r="M110" s="439">
        <f>M112+M113+M114+M115+M111+M117+M116+M120</f>
        <v>184500</v>
      </c>
      <c r="N110" s="440">
        <f>N112+N113+N114+N115+N111+N117+N116+N120</f>
        <v>8927420</v>
      </c>
      <c r="O110" s="439">
        <f>O112+O113+O114+O115+O111+O117+O116+O120</f>
        <v>8859520</v>
      </c>
      <c r="P110" s="439">
        <f t="shared" ref="P110:P115" si="48">E110+J110</f>
        <v>87633120</v>
      </c>
      <c r="Q110" s="311" t="b">
        <f>P110=P111+P112+P113+P114+P115+P116+P118+P119+P120</f>
        <v>1</v>
      </c>
      <c r="R110" s="325" t="b">
        <f>O110='dod5'!J74</f>
        <v>0</v>
      </c>
    </row>
    <row r="111" spans="1:18" ht="274.5" x14ac:dyDescent="0.2">
      <c r="A111" s="270" t="s">
        <v>49</v>
      </c>
      <c r="B111" s="270" t="s">
        <v>343</v>
      </c>
      <c r="C111" s="270" t="s">
        <v>344</v>
      </c>
      <c r="D111" s="270" t="s">
        <v>342</v>
      </c>
      <c r="E111" s="297">
        <f>F111</f>
        <v>41628400</v>
      </c>
      <c r="F111" s="190">
        <f>(41587600)+40800</f>
        <v>41628400</v>
      </c>
      <c r="G111" s="239">
        <v>32071000</v>
      </c>
      <c r="H111" s="239">
        <v>1995800</v>
      </c>
      <c r="I111" s="190"/>
      <c r="J111" s="297">
        <f>K111+N111</f>
        <v>7724100</v>
      </c>
      <c r="K111" s="190">
        <v>6080900</v>
      </c>
      <c r="L111" s="239">
        <v>4609600</v>
      </c>
      <c r="M111" s="239">
        <v>126600</v>
      </c>
      <c r="N111" s="190">
        <f>O111+36200</f>
        <v>1643200</v>
      </c>
      <c r="O111" s="239">
        <v>1607000</v>
      </c>
      <c r="P111" s="297">
        <f>E111+J111</f>
        <v>49352500</v>
      </c>
    </row>
    <row r="112" spans="1:18" ht="46.5" x14ac:dyDescent="0.2">
      <c r="A112" s="270" t="s">
        <v>325</v>
      </c>
      <c r="B112" s="270" t="s">
        <v>326</v>
      </c>
      <c r="C112" s="270" t="s">
        <v>330</v>
      </c>
      <c r="D112" s="270" t="s">
        <v>331</v>
      </c>
      <c r="E112" s="297">
        <f t="shared" ref="E112:E116" si="49">F112</f>
        <v>623000</v>
      </c>
      <c r="F112" s="190">
        <v>623000</v>
      </c>
      <c r="G112" s="239"/>
      <c r="H112" s="239"/>
      <c r="I112" s="190"/>
      <c r="J112" s="297">
        <f t="shared" si="47"/>
        <v>0</v>
      </c>
      <c r="K112" s="190"/>
      <c r="L112" s="239"/>
      <c r="M112" s="239"/>
      <c r="N112" s="190">
        <f t="shared" ref="N112:N114" si="50">O112</f>
        <v>0</v>
      </c>
      <c r="O112" s="239"/>
      <c r="P112" s="297">
        <f t="shared" si="48"/>
        <v>623000</v>
      </c>
    </row>
    <row r="113" spans="1:18" ht="91.5" x14ac:dyDescent="0.2">
      <c r="A113" s="270" t="s">
        <v>332</v>
      </c>
      <c r="B113" s="270" t="s">
        <v>333</v>
      </c>
      <c r="C113" s="270" t="s">
        <v>334</v>
      </c>
      <c r="D113" s="270" t="s">
        <v>335</v>
      </c>
      <c r="E113" s="297">
        <f t="shared" si="49"/>
        <v>7110500</v>
      </c>
      <c r="F113" s="190">
        <v>7110500</v>
      </c>
      <c r="G113" s="239">
        <v>5288800</v>
      </c>
      <c r="H113" s="239">
        <v>477900</v>
      </c>
      <c r="I113" s="190"/>
      <c r="J113" s="297">
        <f t="shared" si="47"/>
        <v>610000</v>
      </c>
      <c r="K113" s="190">
        <v>80000</v>
      </c>
      <c r="L113" s="239">
        <v>9800</v>
      </c>
      <c r="M113" s="239">
        <v>18500</v>
      </c>
      <c r="N113" s="190">
        <f t="shared" si="50"/>
        <v>530000</v>
      </c>
      <c r="O113" s="239">
        <f>(0)+530000</f>
        <v>530000</v>
      </c>
      <c r="P113" s="297">
        <f t="shared" si="48"/>
        <v>7720500</v>
      </c>
    </row>
    <row r="114" spans="1:18" ht="91.5" x14ac:dyDescent="0.2">
      <c r="A114" s="270" t="s">
        <v>336</v>
      </c>
      <c r="B114" s="270" t="s">
        <v>337</v>
      </c>
      <c r="C114" s="270" t="s">
        <v>334</v>
      </c>
      <c r="D114" s="270" t="s">
        <v>338</v>
      </c>
      <c r="E114" s="297">
        <f t="shared" si="49"/>
        <v>1097900</v>
      </c>
      <c r="F114" s="190">
        <v>1097900</v>
      </c>
      <c r="G114" s="239">
        <v>672100</v>
      </c>
      <c r="H114" s="239">
        <v>208000</v>
      </c>
      <c r="I114" s="190"/>
      <c r="J114" s="297">
        <f t="shared" si="47"/>
        <v>3492820</v>
      </c>
      <c r="K114" s="190">
        <v>70100</v>
      </c>
      <c r="L114" s="239">
        <v>6100</v>
      </c>
      <c r="M114" s="239">
        <v>3200</v>
      </c>
      <c r="N114" s="190">
        <f t="shared" si="50"/>
        <v>3422720</v>
      </c>
      <c r="O114" s="239">
        <f>(3000000)+422720</f>
        <v>3422720</v>
      </c>
      <c r="P114" s="297">
        <f t="shared" si="48"/>
        <v>4590720</v>
      </c>
    </row>
    <row r="115" spans="1:18" ht="183" x14ac:dyDescent="0.2">
      <c r="A115" s="270" t="s">
        <v>339</v>
      </c>
      <c r="B115" s="270" t="s">
        <v>327</v>
      </c>
      <c r="C115" s="270" t="s">
        <v>340</v>
      </c>
      <c r="D115" s="270" t="s">
        <v>341</v>
      </c>
      <c r="E115" s="297">
        <f t="shared" si="49"/>
        <v>5268100</v>
      </c>
      <c r="F115" s="190">
        <v>5268100</v>
      </c>
      <c r="G115" s="239">
        <v>3736300</v>
      </c>
      <c r="H115" s="239">
        <v>604100</v>
      </c>
      <c r="I115" s="190"/>
      <c r="J115" s="297">
        <f t="shared" si="47"/>
        <v>3520000</v>
      </c>
      <c r="K115" s="190">
        <v>303000</v>
      </c>
      <c r="L115" s="239">
        <v>172700</v>
      </c>
      <c r="M115" s="239">
        <v>36200</v>
      </c>
      <c r="N115" s="190">
        <f>O115+31700</f>
        <v>3217000</v>
      </c>
      <c r="O115" s="239">
        <f>(1229800)+1955500</f>
        <v>3185300</v>
      </c>
      <c r="P115" s="297">
        <f t="shared" si="48"/>
        <v>8788100</v>
      </c>
    </row>
    <row r="116" spans="1:18" ht="91.5" x14ac:dyDescent="0.2">
      <c r="A116" s="270" t="s">
        <v>815</v>
      </c>
      <c r="B116" s="270" t="s">
        <v>816</v>
      </c>
      <c r="C116" s="270" t="s">
        <v>817</v>
      </c>
      <c r="D116" s="270" t="s">
        <v>814</v>
      </c>
      <c r="E116" s="297">
        <f t="shared" si="49"/>
        <v>60000</v>
      </c>
      <c r="F116" s="190">
        <v>60000</v>
      </c>
      <c r="G116" s="239"/>
      <c r="H116" s="239"/>
      <c r="I116" s="190"/>
      <c r="J116" s="297">
        <f t="shared" si="47"/>
        <v>0</v>
      </c>
      <c r="K116" s="190"/>
      <c r="L116" s="239"/>
      <c r="M116" s="239"/>
      <c r="N116" s="190">
        <f>O116</f>
        <v>0</v>
      </c>
      <c r="O116" s="239"/>
      <c r="P116" s="297">
        <f>E116+J116</f>
        <v>60000</v>
      </c>
    </row>
    <row r="117" spans="1:18" ht="91.5" x14ac:dyDescent="0.2">
      <c r="A117" s="270" t="s">
        <v>346</v>
      </c>
      <c r="B117" s="270" t="s">
        <v>347</v>
      </c>
      <c r="C117" s="270"/>
      <c r="D117" s="270" t="s">
        <v>345</v>
      </c>
      <c r="E117" s="297">
        <f>F117</f>
        <v>16324000</v>
      </c>
      <c r="F117" s="190">
        <f>F118+F119</f>
        <v>16324000</v>
      </c>
      <c r="G117" s="239">
        <f>G118+G119</f>
        <v>9022200</v>
      </c>
      <c r="H117" s="239">
        <f>H118+H119</f>
        <v>34700</v>
      </c>
      <c r="I117" s="190"/>
      <c r="J117" s="297">
        <f>K117+N117</f>
        <v>147300</v>
      </c>
      <c r="K117" s="190">
        <f>K118+K119</f>
        <v>59800</v>
      </c>
      <c r="L117" s="239">
        <f>L118+L119</f>
        <v>3500</v>
      </c>
      <c r="M117" s="239">
        <f>M118+M119</f>
        <v>0</v>
      </c>
      <c r="N117" s="190">
        <f>N118+N119</f>
        <v>87500</v>
      </c>
      <c r="O117" s="239">
        <f>O118+O119</f>
        <v>87500</v>
      </c>
      <c r="P117" s="297">
        <f>E117+J117</f>
        <v>16471300</v>
      </c>
    </row>
    <row r="118" spans="1:18" ht="137.25" x14ac:dyDescent="0.2">
      <c r="A118" s="271" t="s">
        <v>691</v>
      </c>
      <c r="B118" s="271" t="s">
        <v>692</v>
      </c>
      <c r="C118" s="271" t="s">
        <v>348</v>
      </c>
      <c r="D118" s="271" t="s">
        <v>690</v>
      </c>
      <c r="E118" s="190">
        <f>F118</f>
        <v>11589000</v>
      </c>
      <c r="F118" s="190">
        <f>(10587000)+1002000</f>
        <v>11589000</v>
      </c>
      <c r="G118" s="190">
        <f>(8201200)+821000</f>
        <v>9022200</v>
      </c>
      <c r="H118" s="190">
        <v>34700</v>
      </c>
      <c r="I118" s="190"/>
      <c r="J118" s="190">
        <f>K118+N118</f>
        <v>147300</v>
      </c>
      <c r="K118" s="190">
        <v>59800</v>
      </c>
      <c r="L118" s="190">
        <v>3500</v>
      </c>
      <c r="M118" s="190"/>
      <c r="N118" s="190">
        <f>O118</f>
        <v>87500</v>
      </c>
      <c r="O118" s="190">
        <f>(0)+87500</f>
        <v>87500</v>
      </c>
      <c r="P118" s="190">
        <f>E118+J118</f>
        <v>11736300</v>
      </c>
    </row>
    <row r="119" spans="1:18" ht="91.5" x14ac:dyDescent="0.2">
      <c r="A119" s="271" t="s">
        <v>693</v>
      </c>
      <c r="B119" s="271" t="s">
        <v>694</v>
      </c>
      <c r="C119" s="271" t="s">
        <v>348</v>
      </c>
      <c r="D119" s="271" t="s">
        <v>695</v>
      </c>
      <c r="E119" s="190">
        <f>F119</f>
        <v>4735000</v>
      </c>
      <c r="F119" s="190">
        <f>(3600000)+1135000</f>
        <v>4735000</v>
      </c>
      <c r="G119" s="190"/>
      <c r="H119" s="190"/>
      <c r="I119" s="190"/>
      <c r="J119" s="190">
        <f>K119+N119</f>
        <v>0</v>
      </c>
      <c r="K119" s="190"/>
      <c r="L119" s="190"/>
      <c r="M119" s="190"/>
      <c r="N119" s="190">
        <f>O119</f>
        <v>0</v>
      </c>
      <c r="O119" s="190"/>
      <c r="P119" s="190">
        <f>E119+J119</f>
        <v>4735000</v>
      </c>
    </row>
    <row r="120" spans="1:18" ht="91.5" x14ac:dyDescent="0.2">
      <c r="A120" s="270" t="s">
        <v>819</v>
      </c>
      <c r="B120" s="270" t="s">
        <v>373</v>
      </c>
      <c r="C120" s="270" t="s">
        <v>324</v>
      </c>
      <c r="D120" s="270" t="s">
        <v>818</v>
      </c>
      <c r="E120" s="297">
        <f t="shared" ref="E120" si="51">F120</f>
        <v>0</v>
      </c>
      <c r="F120" s="190"/>
      <c r="G120" s="239"/>
      <c r="H120" s="239"/>
      <c r="I120" s="190"/>
      <c r="J120" s="297">
        <f t="shared" ref="J120" si="52">K120+N120</f>
        <v>27000</v>
      </c>
      <c r="K120" s="190"/>
      <c r="L120" s="239"/>
      <c r="M120" s="239"/>
      <c r="N120" s="190">
        <f>O120</f>
        <v>27000</v>
      </c>
      <c r="O120" s="239">
        <v>27000</v>
      </c>
      <c r="P120" s="297">
        <f>E120+J120</f>
        <v>27000</v>
      </c>
    </row>
    <row r="121" spans="1:18" ht="135" x14ac:dyDescent="0.2">
      <c r="A121" s="433" t="s">
        <v>65</v>
      </c>
      <c r="B121" s="433"/>
      <c r="C121" s="433"/>
      <c r="D121" s="433" t="s">
        <v>66</v>
      </c>
      <c r="E121" s="440">
        <f>E122</f>
        <v>37582757</v>
      </c>
      <c r="F121" s="440">
        <f t="shared" ref="F121:P121" si="53">F122</f>
        <v>37582757</v>
      </c>
      <c r="G121" s="440">
        <f t="shared" si="53"/>
        <v>14695777</v>
      </c>
      <c r="H121" s="440">
        <f t="shared" si="53"/>
        <v>1591457</v>
      </c>
      <c r="I121" s="440">
        <f t="shared" si="53"/>
        <v>0</v>
      </c>
      <c r="J121" s="440">
        <f t="shared" si="53"/>
        <v>7998728.3200000003</v>
      </c>
      <c r="K121" s="440">
        <f t="shared" si="53"/>
        <v>1892800</v>
      </c>
      <c r="L121" s="440">
        <f t="shared" si="53"/>
        <v>869800</v>
      </c>
      <c r="M121" s="440">
        <f t="shared" si="53"/>
        <v>289700</v>
      </c>
      <c r="N121" s="440">
        <f t="shared" si="53"/>
        <v>6105928.3200000003</v>
      </c>
      <c r="O121" s="439">
        <f t="shared" si="53"/>
        <v>6060428.3200000003</v>
      </c>
      <c r="P121" s="440">
        <f t="shared" si="53"/>
        <v>45581485.32</v>
      </c>
    </row>
    <row r="122" spans="1:18" ht="135" x14ac:dyDescent="0.2">
      <c r="A122" s="437" t="s">
        <v>64</v>
      </c>
      <c r="B122" s="437"/>
      <c r="C122" s="437"/>
      <c r="D122" s="437" t="s">
        <v>90</v>
      </c>
      <c r="E122" s="439">
        <f>E123+E125+E129+E132+E134+E137+E142+E140</f>
        <v>37582757</v>
      </c>
      <c r="F122" s="440">
        <f>F123+F125+F129+F132+F134+F137+F142+F140</f>
        <v>37582757</v>
      </c>
      <c r="G122" s="439">
        <f>G123+G125+G129+G132+G134+G137+G142</f>
        <v>14695777</v>
      </c>
      <c r="H122" s="439">
        <f>H123+H125+H129+H132+H134+H137+H142</f>
        <v>1591457</v>
      </c>
      <c r="I122" s="440">
        <f>I123+I125+I129+I132+I134+I137+I142</f>
        <v>0</v>
      </c>
      <c r="J122" s="441">
        <f t="shared" ref="J122:J142" si="54">K122+N122</f>
        <v>7998728.3200000003</v>
      </c>
      <c r="K122" s="440">
        <f>K123+K125+K129+K132+K134+K137+K142</f>
        <v>1892800</v>
      </c>
      <c r="L122" s="439">
        <f>L123+L125+L129+L132+L134+L137+L142</f>
        <v>869800</v>
      </c>
      <c r="M122" s="439">
        <f>M123+M125+M129+M132+M134+M137+M142</f>
        <v>289700</v>
      </c>
      <c r="N122" s="440">
        <f>N123+N125+N129+N132+N134+N137+N142</f>
        <v>6105928.3200000003</v>
      </c>
      <c r="O122" s="439">
        <f>O123+O125+O129+O132+O134+O137+O142</f>
        <v>6060428.3200000003</v>
      </c>
      <c r="P122" s="439">
        <f>E122+J122</f>
        <v>45581485.32</v>
      </c>
      <c r="Q122" s="311" t="b">
        <f>P122=P124+P126+P127+P128+P130+P131+P133+P135+P136+P138+P139+P141+P142</f>
        <v>1</v>
      </c>
      <c r="R122" s="325" t="b">
        <f>O122='dod5'!J89</f>
        <v>0</v>
      </c>
    </row>
    <row r="123" spans="1:18" ht="137.25" x14ac:dyDescent="0.2">
      <c r="A123" s="270" t="s">
        <v>349</v>
      </c>
      <c r="B123" s="270" t="s">
        <v>350</v>
      </c>
      <c r="C123" s="270"/>
      <c r="D123" s="270" t="s">
        <v>106</v>
      </c>
      <c r="E123" s="248">
        <f t="shared" ref="E123:E138" si="55">F123</f>
        <v>2670218</v>
      </c>
      <c r="F123" s="190">
        <f>F124</f>
        <v>2670218</v>
      </c>
      <c r="G123" s="239">
        <f>G124</f>
        <v>2040830</v>
      </c>
      <c r="H123" s="239">
        <f>H124</f>
        <v>69750</v>
      </c>
      <c r="I123" s="190">
        <f>I124</f>
        <v>0</v>
      </c>
      <c r="J123" s="248">
        <f t="shared" si="54"/>
        <v>153092</v>
      </c>
      <c r="K123" s="190">
        <f>K124</f>
        <v>0</v>
      </c>
      <c r="L123" s="239">
        <f>L124</f>
        <v>0</v>
      </c>
      <c r="M123" s="239">
        <f>M124</f>
        <v>0</v>
      </c>
      <c r="N123" s="268">
        <f>O123</f>
        <v>153092</v>
      </c>
      <c r="O123" s="239">
        <f>O124</f>
        <v>153092</v>
      </c>
      <c r="P123" s="297">
        <f>+J123+E123</f>
        <v>2823310</v>
      </c>
    </row>
    <row r="124" spans="1:18" ht="183" x14ac:dyDescent="0.2">
      <c r="A124" s="271" t="s">
        <v>351</v>
      </c>
      <c r="B124" s="271" t="s">
        <v>352</v>
      </c>
      <c r="C124" s="271" t="s">
        <v>353</v>
      </c>
      <c r="D124" s="271" t="s">
        <v>354</v>
      </c>
      <c r="E124" s="47">
        <f t="shared" si="55"/>
        <v>2670218</v>
      </c>
      <c r="F124" s="47">
        <f>(2411785)+258433</f>
        <v>2670218</v>
      </c>
      <c r="G124" s="47">
        <f>(1829000)+211830</f>
        <v>2040830</v>
      </c>
      <c r="H124" s="47">
        <v>69750</v>
      </c>
      <c r="I124" s="47"/>
      <c r="J124" s="47">
        <f t="shared" si="54"/>
        <v>153092</v>
      </c>
      <c r="K124" s="268"/>
      <c r="L124" s="268"/>
      <c r="M124" s="268"/>
      <c r="N124" s="268">
        <f>O124</f>
        <v>153092</v>
      </c>
      <c r="O124" s="324">
        <f>(0)+153092</f>
        <v>153092</v>
      </c>
      <c r="P124" s="190">
        <f>+J124+E124</f>
        <v>2823310</v>
      </c>
    </row>
    <row r="125" spans="1:18" ht="91.5" x14ac:dyDescent="0.2">
      <c r="A125" s="270" t="s">
        <v>105</v>
      </c>
      <c r="B125" s="270" t="s">
        <v>328</v>
      </c>
      <c r="C125" s="270"/>
      <c r="D125" s="270" t="s">
        <v>76</v>
      </c>
      <c r="E125" s="248">
        <f t="shared" si="55"/>
        <v>4380097</v>
      </c>
      <c r="F125" s="47">
        <f>F126+F127+F128</f>
        <v>4380097</v>
      </c>
      <c r="G125" s="47">
        <f>G126+G127</f>
        <v>1397600</v>
      </c>
      <c r="H125" s="179">
        <f>H126+H127</f>
        <v>497977</v>
      </c>
      <c r="I125" s="47">
        <f>I126+I127</f>
        <v>0</v>
      </c>
      <c r="J125" s="248">
        <f t="shared" si="54"/>
        <v>956872</v>
      </c>
      <c r="K125" s="47">
        <f>K126+K127+K128</f>
        <v>320000</v>
      </c>
      <c r="L125" s="179">
        <f>L126+L127</f>
        <v>148900</v>
      </c>
      <c r="M125" s="179">
        <f>M126+M127</f>
        <v>95400</v>
      </c>
      <c r="N125" s="268">
        <f t="shared" ref="N125:N136" si="56">O125</f>
        <v>636872</v>
      </c>
      <c r="O125" s="179">
        <f>O126+O127+O128</f>
        <v>636872</v>
      </c>
      <c r="P125" s="297">
        <f>+J125+E125</f>
        <v>5336969</v>
      </c>
    </row>
    <row r="126" spans="1:18" ht="228.75" x14ac:dyDescent="0.2">
      <c r="A126" s="271" t="s">
        <v>104</v>
      </c>
      <c r="B126" s="271" t="s">
        <v>329</v>
      </c>
      <c r="C126" s="271" t="s">
        <v>353</v>
      </c>
      <c r="D126" s="271" t="s">
        <v>33</v>
      </c>
      <c r="E126" s="47">
        <f t="shared" si="55"/>
        <v>769000</v>
      </c>
      <c r="F126" s="47">
        <v>769000</v>
      </c>
      <c r="G126" s="47"/>
      <c r="H126" s="47"/>
      <c r="I126" s="47"/>
      <c r="J126" s="47">
        <f t="shared" si="54"/>
        <v>0</v>
      </c>
      <c r="K126" s="268"/>
      <c r="L126" s="268"/>
      <c r="M126" s="268"/>
      <c r="N126" s="268">
        <f t="shared" si="56"/>
        <v>0</v>
      </c>
      <c r="O126" s="268"/>
      <c r="P126" s="190">
        <f>+J126+E126</f>
        <v>769000</v>
      </c>
    </row>
    <row r="127" spans="1:18" ht="137.25" x14ac:dyDescent="0.2">
      <c r="A127" s="271" t="s">
        <v>360</v>
      </c>
      <c r="B127" s="271" t="s">
        <v>361</v>
      </c>
      <c r="C127" s="271" t="s">
        <v>353</v>
      </c>
      <c r="D127" s="271" t="s">
        <v>34</v>
      </c>
      <c r="E127" s="47">
        <f t="shared" si="55"/>
        <v>2850097</v>
      </c>
      <c r="F127" s="47">
        <f>(2617077)+233020</f>
        <v>2850097</v>
      </c>
      <c r="G127" s="47">
        <v>1397600</v>
      </c>
      <c r="H127" s="47">
        <v>497977</v>
      </c>
      <c r="I127" s="47"/>
      <c r="J127" s="47">
        <f t="shared" si="54"/>
        <v>956872</v>
      </c>
      <c r="K127" s="268">
        <v>320000</v>
      </c>
      <c r="L127" s="268">
        <v>148900</v>
      </c>
      <c r="M127" s="268">
        <v>95400</v>
      </c>
      <c r="N127" s="268">
        <f t="shared" si="56"/>
        <v>636872</v>
      </c>
      <c r="O127" s="268">
        <f>(0)+636872</f>
        <v>636872</v>
      </c>
      <c r="P127" s="190">
        <f t="shared" ref="P127:P142" si="57">E127+J127</f>
        <v>3806969</v>
      </c>
    </row>
    <row r="128" spans="1:18" ht="91.5" x14ac:dyDescent="0.2">
      <c r="A128" s="271" t="s">
        <v>761</v>
      </c>
      <c r="B128" s="271" t="s">
        <v>762</v>
      </c>
      <c r="C128" s="271" t="s">
        <v>353</v>
      </c>
      <c r="D128" s="271" t="s">
        <v>763</v>
      </c>
      <c r="E128" s="47">
        <f t="shared" si="55"/>
        <v>761000</v>
      </c>
      <c r="F128" s="47">
        <v>761000</v>
      </c>
      <c r="G128" s="47"/>
      <c r="H128" s="47"/>
      <c r="I128" s="47"/>
      <c r="J128" s="47">
        <f t="shared" si="54"/>
        <v>0</v>
      </c>
      <c r="K128" s="268"/>
      <c r="L128" s="268"/>
      <c r="M128" s="268"/>
      <c r="N128" s="268"/>
      <c r="O128" s="268"/>
      <c r="P128" s="190">
        <f t="shared" si="57"/>
        <v>761000</v>
      </c>
    </row>
    <row r="129" spans="1:18" ht="91.5" x14ac:dyDescent="0.2">
      <c r="A129" s="270" t="s">
        <v>107</v>
      </c>
      <c r="B129" s="270" t="s">
        <v>355</v>
      </c>
      <c r="C129" s="270"/>
      <c r="D129" s="270" t="s">
        <v>108</v>
      </c>
      <c r="E129" s="248">
        <f t="shared" si="55"/>
        <v>9297100</v>
      </c>
      <c r="F129" s="47">
        <f>F130+F131</f>
        <v>9297100</v>
      </c>
      <c r="G129" s="47">
        <f>G130+G131</f>
        <v>0</v>
      </c>
      <c r="H129" s="47">
        <f>H130+H131</f>
        <v>0</v>
      </c>
      <c r="I129" s="328"/>
      <c r="J129" s="248">
        <f t="shared" si="54"/>
        <v>0</v>
      </c>
      <c r="K129" s="47">
        <f>K130+K131</f>
        <v>0</v>
      </c>
      <c r="L129" s="269"/>
      <c r="M129" s="269"/>
      <c r="N129" s="268">
        <f t="shared" si="56"/>
        <v>0</v>
      </c>
      <c r="O129" s="179">
        <f>O130+O131</f>
        <v>0</v>
      </c>
      <c r="P129" s="297">
        <f t="shared" si="57"/>
        <v>9297100</v>
      </c>
    </row>
    <row r="130" spans="1:18" ht="137.25" x14ac:dyDescent="0.2">
      <c r="A130" s="271" t="s">
        <v>109</v>
      </c>
      <c r="B130" s="271" t="s">
        <v>356</v>
      </c>
      <c r="C130" s="271" t="s">
        <v>370</v>
      </c>
      <c r="D130" s="271" t="s">
        <v>110</v>
      </c>
      <c r="E130" s="47">
        <f t="shared" si="55"/>
        <v>7759900</v>
      </c>
      <c r="F130" s="47">
        <f>(7229900)+30000+500000</f>
        <v>7759900</v>
      </c>
      <c r="G130" s="190"/>
      <c r="H130" s="190"/>
      <c r="I130" s="190"/>
      <c r="J130" s="190">
        <f t="shared" si="54"/>
        <v>0</v>
      </c>
      <c r="K130" s="190"/>
      <c r="L130" s="190"/>
      <c r="M130" s="190"/>
      <c r="N130" s="268">
        <f t="shared" si="56"/>
        <v>0</v>
      </c>
      <c r="O130" s="239"/>
      <c r="P130" s="190">
        <f t="shared" si="57"/>
        <v>7759900</v>
      </c>
    </row>
    <row r="131" spans="1:18" ht="137.25" x14ac:dyDescent="0.2">
      <c r="A131" s="271" t="s">
        <v>111</v>
      </c>
      <c r="B131" s="271" t="s">
        <v>357</v>
      </c>
      <c r="C131" s="271" t="s">
        <v>370</v>
      </c>
      <c r="D131" s="271" t="s">
        <v>11</v>
      </c>
      <c r="E131" s="47">
        <f t="shared" si="55"/>
        <v>1537200</v>
      </c>
      <c r="F131" s="47">
        <f>(1472200)+565000-500000</f>
        <v>1537200</v>
      </c>
      <c r="G131" s="190"/>
      <c r="H131" s="190"/>
      <c r="I131" s="190"/>
      <c r="J131" s="190">
        <f t="shared" si="54"/>
        <v>0</v>
      </c>
      <c r="K131" s="190"/>
      <c r="L131" s="190"/>
      <c r="M131" s="190"/>
      <c r="N131" s="268">
        <f t="shared" si="56"/>
        <v>0</v>
      </c>
      <c r="O131" s="239"/>
      <c r="P131" s="190">
        <f t="shared" si="57"/>
        <v>1537200</v>
      </c>
    </row>
    <row r="132" spans="1:18" ht="183" x14ac:dyDescent="0.2">
      <c r="A132" s="270" t="s">
        <v>112</v>
      </c>
      <c r="B132" s="270" t="s">
        <v>358</v>
      </c>
      <c r="C132" s="270"/>
      <c r="D132" s="270" t="s">
        <v>753</v>
      </c>
      <c r="E132" s="248">
        <f t="shared" si="55"/>
        <v>11500</v>
      </c>
      <c r="F132" s="47">
        <f>F133</f>
        <v>11500</v>
      </c>
      <c r="G132" s="179">
        <f>G133</f>
        <v>0</v>
      </c>
      <c r="H132" s="179">
        <f>H133</f>
        <v>0</v>
      </c>
      <c r="I132" s="190"/>
      <c r="J132" s="297">
        <f t="shared" si="54"/>
        <v>0</v>
      </c>
      <c r="K132" s="47">
        <f>K133</f>
        <v>0</v>
      </c>
      <c r="L132" s="179">
        <f>L133</f>
        <v>0</v>
      </c>
      <c r="M132" s="179">
        <f>M133</f>
        <v>0</v>
      </c>
      <c r="N132" s="268">
        <f>N133</f>
        <v>0</v>
      </c>
      <c r="O132" s="179">
        <f>O133</f>
        <v>0</v>
      </c>
      <c r="P132" s="297">
        <f t="shared" si="57"/>
        <v>11500</v>
      </c>
    </row>
    <row r="133" spans="1:18" ht="183" x14ac:dyDescent="0.2">
      <c r="A133" s="271" t="s">
        <v>113</v>
      </c>
      <c r="B133" s="271" t="s">
        <v>359</v>
      </c>
      <c r="C133" s="271" t="s">
        <v>370</v>
      </c>
      <c r="D133" s="271" t="s">
        <v>754</v>
      </c>
      <c r="E133" s="47">
        <f>F133</f>
        <v>11500</v>
      </c>
      <c r="F133" s="47">
        <v>11500</v>
      </c>
      <c r="G133" s="47"/>
      <c r="H133" s="47"/>
      <c r="I133" s="190"/>
      <c r="J133" s="190">
        <f t="shared" si="54"/>
        <v>0</v>
      </c>
      <c r="K133" s="47"/>
      <c r="L133" s="47"/>
      <c r="M133" s="47"/>
      <c r="N133" s="268">
        <f>N136</f>
        <v>0</v>
      </c>
      <c r="O133" s="47"/>
      <c r="P133" s="190">
        <f t="shared" si="57"/>
        <v>11500</v>
      </c>
    </row>
    <row r="134" spans="1:18" ht="91.5" x14ac:dyDescent="0.2">
      <c r="A134" s="270" t="s">
        <v>78</v>
      </c>
      <c r="B134" s="270" t="s">
        <v>365</v>
      </c>
      <c r="C134" s="270"/>
      <c r="D134" s="270" t="s">
        <v>79</v>
      </c>
      <c r="E134" s="248">
        <f t="shared" si="55"/>
        <v>19741364</v>
      </c>
      <c r="F134" s="47">
        <f>F135+F136</f>
        <v>19741364</v>
      </c>
      <c r="G134" s="179">
        <f>G135+G136</f>
        <v>10666900</v>
      </c>
      <c r="H134" s="179">
        <f>H135+H136</f>
        <v>1023730</v>
      </c>
      <c r="I134" s="47">
        <f>I135+I136</f>
        <v>0</v>
      </c>
      <c r="J134" s="297">
        <f t="shared" si="54"/>
        <v>4286364.32</v>
      </c>
      <c r="K134" s="47">
        <f>K135+K136</f>
        <v>1547800</v>
      </c>
      <c r="L134" s="179">
        <f>L135+L136</f>
        <v>720900</v>
      </c>
      <c r="M134" s="179">
        <f>M135+M136</f>
        <v>194300</v>
      </c>
      <c r="N134" s="268">
        <f>N135+N136</f>
        <v>2738564.3200000003</v>
      </c>
      <c r="O134" s="47">
        <f>O135+O136</f>
        <v>2693064.3200000003</v>
      </c>
      <c r="P134" s="297">
        <f t="shared" si="57"/>
        <v>24027728.32</v>
      </c>
    </row>
    <row r="135" spans="1:18" ht="183" x14ac:dyDescent="0.2">
      <c r="A135" s="271" t="s">
        <v>77</v>
      </c>
      <c r="B135" s="271" t="s">
        <v>366</v>
      </c>
      <c r="C135" s="271" t="s">
        <v>370</v>
      </c>
      <c r="D135" s="271" t="s">
        <v>114</v>
      </c>
      <c r="E135" s="47">
        <f t="shared" si="55"/>
        <v>16018778</v>
      </c>
      <c r="F135" s="47">
        <f>(15491860)+526918</f>
        <v>16018778</v>
      </c>
      <c r="G135" s="47">
        <v>10666900</v>
      </c>
      <c r="H135" s="47">
        <v>1023730</v>
      </c>
      <c r="I135" s="47"/>
      <c r="J135" s="47">
        <f t="shared" si="54"/>
        <v>4286364.32</v>
      </c>
      <c r="K135" s="47">
        <v>1547800</v>
      </c>
      <c r="L135" s="47">
        <v>720900</v>
      </c>
      <c r="M135" s="47">
        <f>222700-(28400)</f>
        <v>194300</v>
      </c>
      <c r="N135" s="268">
        <f>O135+45500</f>
        <v>2738564.3200000003</v>
      </c>
      <c r="O135" s="179">
        <f>(1436800)+1120764.32+135500</f>
        <v>2693064.3200000003</v>
      </c>
      <c r="P135" s="190">
        <f t="shared" si="57"/>
        <v>20305142.32</v>
      </c>
    </row>
    <row r="136" spans="1:18" ht="183" x14ac:dyDescent="0.2">
      <c r="A136" s="271" t="s">
        <v>80</v>
      </c>
      <c r="B136" s="271" t="s">
        <v>367</v>
      </c>
      <c r="C136" s="271" t="s">
        <v>370</v>
      </c>
      <c r="D136" s="271" t="s">
        <v>115</v>
      </c>
      <c r="E136" s="47">
        <f t="shared" si="55"/>
        <v>3722586</v>
      </c>
      <c r="F136" s="47">
        <f>(3262600)+459986</f>
        <v>3722586</v>
      </c>
      <c r="G136" s="47"/>
      <c r="H136" s="47"/>
      <c r="I136" s="47"/>
      <c r="J136" s="47">
        <f t="shared" si="54"/>
        <v>0</v>
      </c>
      <c r="K136" s="47"/>
      <c r="L136" s="47"/>
      <c r="M136" s="47"/>
      <c r="N136" s="268">
        <f t="shared" si="56"/>
        <v>0</v>
      </c>
      <c r="O136" s="179"/>
      <c r="P136" s="190">
        <f t="shared" si="57"/>
        <v>3722586</v>
      </c>
    </row>
    <row r="137" spans="1:18" ht="91.5" x14ac:dyDescent="0.2">
      <c r="A137" s="270" t="s">
        <v>116</v>
      </c>
      <c r="B137" s="270" t="s">
        <v>368</v>
      </c>
      <c r="C137" s="270"/>
      <c r="D137" s="270" t="s">
        <v>81</v>
      </c>
      <c r="E137" s="248">
        <f t="shared" si="55"/>
        <v>1471558</v>
      </c>
      <c r="F137" s="47">
        <f>F138+F139</f>
        <v>1471558</v>
      </c>
      <c r="G137" s="179">
        <f>G138+G139</f>
        <v>590447</v>
      </c>
      <c r="H137" s="179">
        <f>H138+H139</f>
        <v>0</v>
      </c>
      <c r="I137" s="47">
        <f>I138+I139</f>
        <v>0</v>
      </c>
      <c r="J137" s="297">
        <f t="shared" si="54"/>
        <v>102400</v>
      </c>
      <c r="K137" s="47">
        <f>K138+K139</f>
        <v>25000</v>
      </c>
      <c r="L137" s="179">
        <f>L138+L139</f>
        <v>0</v>
      </c>
      <c r="M137" s="179">
        <f>M138+M139</f>
        <v>0</v>
      </c>
      <c r="N137" s="268">
        <f>N138+N139</f>
        <v>77400</v>
      </c>
      <c r="O137" s="239">
        <f>O138+O139</f>
        <v>77400</v>
      </c>
      <c r="P137" s="297">
        <f t="shared" si="57"/>
        <v>1573958</v>
      </c>
    </row>
    <row r="138" spans="1:18" ht="274.5" x14ac:dyDescent="0.2">
      <c r="A138" s="329" t="s">
        <v>82</v>
      </c>
      <c r="B138" s="329" t="s">
        <v>369</v>
      </c>
      <c r="C138" s="329" t="s">
        <v>370</v>
      </c>
      <c r="D138" s="271" t="s">
        <v>83</v>
      </c>
      <c r="E138" s="47">
        <f t="shared" si="55"/>
        <v>557400</v>
      </c>
      <c r="F138" s="47">
        <v>557400</v>
      </c>
      <c r="G138" s="190"/>
      <c r="H138" s="190"/>
      <c r="I138" s="190"/>
      <c r="J138" s="190">
        <f>K138+N138</f>
        <v>0</v>
      </c>
      <c r="K138" s="190"/>
      <c r="L138" s="190"/>
      <c r="M138" s="190"/>
      <c r="N138" s="268">
        <f>O138</f>
        <v>0</v>
      </c>
      <c r="O138" s="190"/>
      <c r="P138" s="190">
        <f t="shared" si="57"/>
        <v>557400</v>
      </c>
    </row>
    <row r="139" spans="1:18" ht="91.5" x14ac:dyDescent="0.2">
      <c r="A139" s="329" t="s">
        <v>84</v>
      </c>
      <c r="B139" s="329" t="s">
        <v>371</v>
      </c>
      <c r="C139" s="329" t="s">
        <v>370</v>
      </c>
      <c r="D139" s="271" t="s">
        <v>85</v>
      </c>
      <c r="E139" s="47">
        <f>F139</f>
        <v>914158</v>
      </c>
      <c r="F139" s="47">
        <v>914158</v>
      </c>
      <c r="G139" s="190">
        <v>590447</v>
      </c>
      <c r="H139" s="190"/>
      <c r="I139" s="190"/>
      <c r="J139" s="190">
        <f t="shared" si="54"/>
        <v>102400</v>
      </c>
      <c r="K139" s="190">
        <f>20900+4100</f>
        <v>25000</v>
      </c>
      <c r="L139" s="190"/>
      <c r="M139" s="190"/>
      <c r="N139" s="268">
        <f>O139</f>
        <v>77400</v>
      </c>
      <c r="O139" s="190">
        <f>32400+45000</f>
        <v>77400</v>
      </c>
      <c r="P139" s="190">
        <f t="shared" si="57"/>
        <v>1016558</v>
      </c>
    </row>
    <row r="140" spans="1:18" ht="91.5" x14ac:dyDescent="0.2">
      <c r="A140" s="272" t="s">
        <v>704</v>
      </c>
      <c r="B140" s="272" t="s">
        <v>706</v>
      </c>
      <c r="C140" s="272"/>
      <c r="D140" s="270" t="s">
        <v>705</v>
      </c>
      <c r="E140" s="248">
        <f>F140</f>
        <v>10920</v>
      </c>
      <c r="F140" s="47">
        <f>F141</f>
        <v>10920</v>
      </c>
      <c r="G140" s="179"/>
      <c r="H140" s="179"/>
      <c r="I140" s="47"/>
      <c r="J140" s="297">
        <f t="shared" si="54"/>
        <v>0</v>
      </c>
      <c r="K140" s="47"/>
      <c r="L140" s="179"/>
      <c r="M140" s="179"/>
      <c r="N140" s="268">
        <f>O140</f>
        <v>0</v>
      </c>
      <c r="O140" s="239"/>
      <c r="P140" s="297">
        <f t="shared" si="57"/>
        <v>10920</v>
      </c>
    </row>
    <row r="141" spans="1:18" ht="320.25" x14ac:dyDescent="0.2">
      <c r="A141" s="329" t="s">
        <v>710</v>
      </c>
      <c r="B141" s="329" t="s">
        <v>709</v>
      </c>
      <c r="C141" s="329" t="s">
        <v>708</v>
      </c>
      <c r="D141" s="271" t="s">
        <v>707</v>
      </c>
      <c r="E141" s="47">
        <f>F141</f>
        <v>10920</v>
      </c>
      <c r="F141" s="47">
        <v>10920</v>
      </c>
      <c r="G141" s="190"/>
      <c r="H141" s="190"/>
      <c r="I141" s="190"/>
      <c r="J141" s="190">
        <f t="shared" si="54"/>
        <v>0</v>
      </c>
      <c r="K141" s="190"/>
      <c r="L141" s="190"/>
      <c r="M141" s="190"/>
      <c r="N141" s="268">
        <f>O141</f>
        <v>0</v>
      </c>
      <c r="O141" s="190"/>
      <c r="P141" s="190">
        <f t="shared" si="57"/>
        <v>10920</v>
      </c>
    </row>
    <row r="142" spans="1:18" ht="91.5" x14ac:dyDescent="0.2">
      <c r="A142" s="272" t="s">
        <v>372</v>
      </c>
      <c r="B142" s="272" t="s">
        <v>373</v>
      </c>
      <c r="C142" s="272" t="s">
        <v>324</v>
      </c>
      <c r="D142" s="270" t="s">
        <v>89</v>
      </c>
      <c r="E142" s="248">
        <f>F142</f>
        <v>0</v>
      </c>
      <c r="F142" s="47"/>
      <c r="G142" s="179"/>
      <c r="H142" s="179"/>
      <c r="I142" s="47"/>
      <c r="J142" s="297">
        <f t="shared" si="54"/>
        <v>2500000</v>
      </c>
      <c r="K142" s="47"/>
      <c r="L142" s="179"/>
      <c r="M142" s="179"/>
      <c r="N142" s="268">
        <f>O142</f>
        <v>2500000</v>
      </c>
      <c r="O142" s="239">
        <v>2500000</v>
      </c>
      <c r="P142" s="297">
        <f t="shared" si="57"/>
        <v>2500000</v>
      </c>
    </row>
    <row r="143" spans="1:18" ht="180" x14ac:dyDescent="0.2">
      <c r="A143" s="433" t="s">
        <v>312</v>
      </c>
      <c r="B143" s="433"/>
      <c r="C143" s="433"/>
      <c r="D143" s="433" t="s">
        <v>67</v>
      </c>
      <c r="E143" s="440">
        <f>E144</f>
        <v>170547835</v>
      </c>
      <c r="F143" s="440">
        <f t="shared" ref="F143:P143" si="58">F144</f>
        <v>170547835</v>
      </c>
      <c r="G143" s="440">
        <f t="shared" si="58"/>
        <v>839900</v>
      </c>
      <c r="H143" s="440">
        <f t="shared" si="58"/>
        <v>11500</v>
      </c>
      <c r="I143" s="440">
        <f t="shared" si="58"/>
        <v>0</v>
      </c>
      <c r="J143" s="440">
        <f t="shared" si="58"/>
        <v>230002144.09</v>
      </c>
      <c r="K143" s="440">
        <f t="shared" si="58"/>
        <v>7400</v>
      </c>
      <c r="L143" s="440">
        <f t="shared" si="58"/>
        <v>0</v>
      </c>
      <c r="M143" s="440">
        <f t="shared" si="58"/>
        <v>0</v>
      </c>
      <c r="N143" s="440">
        <f t="shared" si="58"/>
        <v>229994744.09</v>
      </c>
      <c r="O143" s="439">
        <f t="shared" si="58"/>
        <v>229480521</v>
      </c>
      <c r="P143" s="440">
        <f t="shared" si="58"/>
        <v>400549979.09000003</v>
      </c>
    </row>
    <row r="144" spans="1:18" ht="180" x14ac:dyDescent="0.2">
      <c r="A144" s="437" t="s">
        <v>313</v>
      </c>
      <c r="B144" s="437"/>
      <c r="C144" s="437"/>
      <c r="D144" s="437" t="s">
        <v>95</v>
      </c>
      <c r="E144" s="439">
        <f>E145+E150+E151+E152+E154+E156+E158+E159+E160+E161</f>
        <v>170547835</v>
      </c>
      <c r="F144" s="440">
        <f>F145+F150+F151+F152+F154+F156+F158+F159+F160+F161</f>
        <v>170547835</v>
      </c>
      <c r="G144" s="439">
        <f>G145+G150+G151+G152+G154+G156+G158+G159+G160+G161</f>
        <v>839900</v>
      </c>
      <c r="H144" s="439">
        <f>H145+H150+H151+H152+H154+H156+H158+H159+H160+H161</f>
        <v>11500</v>
      </c>
      <c r="I144" s="440">
        <f>I145+I150+I151+I152+I154+I156+I158+I159+I160+I161</f>
        <v>0</v>
      </c>
      <c r="J144" s="439">
        <f t="shared" ref="J144:J161" si="59">K144+N144</f>
        <v>230002144.09</v>
      </c>
      <c r="K144" s="440">
        <f>K145+K150+K151+K152+K154+K156+K158+K159+K160+K161</f>
        <v>7400</v>
      </c>
      <c r="L144" s="439">
        <f>L145+L150+L151+L152+L154+L156+L158+L159+L160+L161</f>
        <v>0</v>
      </c>
      <c r="M144" s="439">
        <f>M145+M150+M151+M152+M154+M156+M158+M159+M160+M161</f>
        <v>0</v>
      </c>
      <c r="N144" s="440">
        <f>N145+N150+N151+N152+N153+N154+N156+N158+N159+N160+N161</f>
        <v>229994744.09</v>
      </c>
      <c r="O144" s="439">
        <f>O145+O150+O151+O152+O153+O154+O156+O158+O159+O160+O161</f>
        <v>229480521</v>
      </c>
      <c r="P144" s="439">
        <f>E144+J144</f>
        <v>400549979.09000003</v>
      </c>
      <c r="Q144" s="311" t="b">
        <f>P144=P146+P147+P148+P149+P150+P151+P152+P153+P155+P157+P158+P159+P160+P161</f>
        <v>1</v>
      </c>
      <c r="R144" s="325" t="b">
        <f>O144='dod5'!J107</f>
        <v>0</v>
      </c>
    </row>
    <row r="145" spans="1:16" ht="137.25" x14ac:dyDescent="0.2">
      <c r="A145" s="270" t="s">
        <v>527</v>
      </c>
      <c r="B145" s="270" t="s">
        <v>528</v>
      </c>
      <c r="C145" s="270"/>
      <c r="D145" s="270" t="s">
        <v>531</v>
      </c>
      <c r="E145" s="297">
        <f t="shared" ref="E145:E161" si="60">F145</f>
        <v>4482550</v>
      </c>
      <c r="F145" s="190">
        <f>SUM(F146:F149)</f>
        <v>4482550</v>
      </c>
      <c r="G145" s="179"/>
      <c r="H145" s="239"/>
      <c r="I145" s="190"/>
      <c r="J145" s="297">
        <f t="shared" si="59"/>
        <v>45266500</v>
      </c>
      <c r="K145" s="190">
        <f>SUM(K146:K149)</f>
        <v>0</v>
      </c>
      <c r="L145" s="239"/>
      <c r="M145" s="239"/>
      <c r="N145" s="190">
        <f t="shared" ref="N145:N149" si="61">O145</f>
        <v>45266500</v>
      </c>
      <c r="O145" s="190">
        <f>SUM(O146:O149)</f>
        <v>45266500</v>
      </c>
      <c r="P145" s="297">
        <f t="shared" ref="P145" si="62">E145+J145</f>
        <v>49749050</v>
      </c>
    </row>
    <row r="146" spans="1:16" ht="137.25" x14ac:dyDescent="0.2">
      <c r="A146" s="271" t="s">
        <v>529</v>
      </c>
      <c r="B146" s="271" t="s">
        <v>530</v>
      </c>
      <c r="C146" s="271" t="s">
        <v>533</v>
      </c>
      <c r="D146" s="271" t="s">
        <v>532</v>
      </c>
      <c r="E146" s="47">
        <f t="shared" si="60"/>
        <v>3937750</v>
      </c>
      <c r="F146" s="47">
        <f>(3189750)+748000</f>
        <v>3937750</v>
      </c>
      <c r="G146" s="47"/>
      <c r="H146" s="47"/>
      <c r="I146" s="47"/>
      <c r="J146" s="47">
        <f t="shared" si="59"/>
        <v>4266500</v>
      </c>
      <c r="K146" s="268"/>
      <c r="L146" s="268"/>
      <c r="M146" s="268"/>
      <c r="N146" s="268">
        <f t="shared" si="61"/>
        <v>4266500</v>
      </c>
      <c r="O146" s="268">
        <f>(1400000)+2866500</f>
        <v>4266500</v>
      </c>
      <c r="P146" s="190">
        <f>+J146+E146</f>
        <v>8204250</v>
      </c>
    </row>
    <row r="147" spans="1:16" ht="137.25" x14ac:dyDescent="0.2">
      <c r="A147" s="271" t="s">
        <v>537</v>
      </c>
      <c r="B147" s="271" t="s">
        <v>538</v>
      </c>
      <c r="C147" s="271" t="s">
        <v>533</v>
      </c>
      <c r="D147" s="271" t="s">
        <v>539</v>
      </c>
      <c r="E147" s="47">
        <f t="shared" si="60"/>
        <v>484800</v>
      </c>
      <c r="F147" s="47">
        <v>484800</v>
      </c>
      <c r="G147" s="47"/>
      <c r="H147" s="47"/>
      <c r="I147" s="47"/>
      <c r="J147" s="47">
        <f t="shared" si="59"/>
        <v>0</v>
      </c>
      <c r="K147" s="268"/>
      <c r="L147" s="268"/>
      <c r="M147" s="268"/>
      <c r="N147" s="268">
        <f t="shared" si="61"/>
        <v>0</v>
      </c>
      <c r="O147" s="268"/>
      <c r="P147" s="190">
        <f>+J147+E147</f>
        <v>484800</v>
      </c>
    </row>
    <row r="148" spans="1:16" ht="137.25" x14ac:dyDescent="0.2">
      <c r="A148" s="271" t="s">
        <v>567</v>
      </c>
      <c r="B148" s="271" t="s">
        <v>568</v>
      </c>
      <c r="C148" s="271" t="s">
        <v>533</v>
      </c>
      <c r="D148" s="271" t="s">
        <v>569</v>
      </c>
      <c r="E148" s="47">
        <f t="shared" si="60"/>
        <v>0</v>
      </c>
      <c r="F148" s="47"/>
      <c r="G148" s="47"/>
      <c r="H148" s="47"/>
      <c r="I148" s="47"/>
      <c r="J148" s="47">
        <f t="shared" si="59"/>
        <v>5000000</v>
      </c>
      <c r="K148" s="268"/>
      <c r="L148" s="268"/>
      <c r="M148" s="268"/>
      <c r="N148" s="268">
        <f t="shared" si="61"/>
        <v>5000000</v>
      </c>
      <c r="O148" s="268">
        <v>5000000</v>
      </c>
      <c r="P148" s="190">
        <f>+J148+E148</f>
        <v>5000000</v>
      </c>
    </row>
    <row r="149" spans="1:16" ht="183" x14ac:dyDescent="0.2">
      <c r="A149" s="271" t="s">
        <v>534</v>
      </c>
      <c r="B149" s="271" t="s">
        <v>535</v>
      </c>
      <c r="C149" s="271" t="s">
        <v>533</v>
      </c>
      <c r="D149" s="271" t="s">
        <v>536</v>
      </c>
      <c r="E149" s="47">
        <f t="shared" si="60"/>
        <v>60000</v>
      </c>
      <c r="F149" s="47">
        <v>60000</v>
      </c>
      <c r="G149" s="47"/>
      <c r="H149" s="47"/>
      <c r="I149" s="47"/>
      <c r="J149" s="47">
        <f t="shared" si="59"/>
        <v>36000000</v>
      </c>
      <c r="K149" s="268"/>
      <c r="L149" s="268"/>
      <c r="M149" s="268"/>
      <c r="N149" s="268">
        <f t="shared" si="61"/>
        <v>36000000</v>
      </c>
      <c r="O149" s="268">
        <f>(34000000)+2000000</f>
        <v>36000000</v>
      </c>
      <c r="P149" s="190">
        <f>+J149+E149</f>
        <v>36060000</v>
      </c>
    </row>
    <row r="150" spans="1:16" ht="228.75" x14ac:dyDescent="0.2">
      <c r="A150" s="270" t="s">
        <v>561</v>
      </c>
      <c r="B150" s="270" t="s">
        <v>562</v>
      </c>
      <c r="C150" s="270" t="s">
        <v>533</v>
      </c>
      <c r="D150" s="270" t="s">
        <v>563</v>
      </c>
      <c r="E150" s="248">
        <f t="shared" si="60"/>
        <v>7279201</v>
      </c>
      <c r="F150" s="47">
        <f>(138000+1109401)+81800+6500000-550000</f>
        <v>7279201</v>
      </c>
      <c r="G150" s="179"/>
      <c r="H150" s="179"/>
      <c r="I150" s="47"/>
      <c r="J150" s="297">
        <f t="shared" si="59"/>
        <v>0</v>
      </c>
      <c r="K150" s="47"/>
      <c r="L150" s="179"/>
      <c r="M150" s="179"/>
      <c r="N150" s="268">
        <f>O150</f>
        <v>0</v>
      </c>
      <c r="O150" s="239"/>
      <c r="P150" s="297">
        <f t="shared" ref="P150:P154" si="63">E150+J150</f>
        <v>7279201</v>
      </c>
    </row>
    <row r="151" spans="1:16" ht="91.5" x14ac:dyDescent="0.2">
      <c r="A151" s="270" t="s">
        <v>540</v>
      </c>
      <c r="B151" s="270" t="s">
        <v>541</v>
      </c>
      <c r="C151" s="270" t="s">
        <v>533</v>
      </c>
      <c r="D151" s="270" t="s">
        <v>542</v>
      </c>
      <c r="E151" s="248">
        <f t="shared" si="60"/>
        <v>92671006</v>
      </c>
      <c r="F151" s="47">
        <f>(88681880)+3989126</f>
        <v>92671006</v>
      </c>
      <c r="G151" s="179"/>
      <c r="H151" s="179"/>
      <c r="I151" s="47"/>
      <c r="J151" s="297">
        <f t="shared" si="59"/>
        <v>18877842</v>
      </c>
      <c r="K151" s="47"/>
      <c r="L151" s="179"/>
      <c r="M151" s="179"/>
      <c r="N151" s="268">
        <f>O151</f>
        <v>18877842</v>
      </c>
      <c r="O151" s="239">
        <f>(10282110)+8145732+450000</f>
        <v>18877842</v>
      </c>
      <c r="P151" s="297">
        <f t="shared" si="63"/>
        <v>111548848</v>
      </c>
    </row>
    <row r="152" spans="1:16" ht="92.25" x14ac:dyDescent="0.2">
      <c r="A152" s="270" t="s">
        <v>571</v>
      </c>
      <c r="B152" s="270" t="s">
        <v>572</v>
      </c>
      <c r="C152" s="270" t="s">
        <v>570</v>
      </c>
      <c r="D152" s="270" t="s">
        <v>573</v>
      </c>
      <c r="E152" s="248">
        <f t="shared" si="60"/>
        <v>0</v>
      </c>
      <c r="F152" s="47"/>
      <c r="G152" s="179"/>
      <c r="H152" s="179"/>
      <c r="I152" s="47"/>
      <c r="J152" s="297">
        <f t="shared" si="59"/>
        <v>25000000</v>
      </c>
      <c r="K152" s="47"/>
      <c r="L152" s="179"/>
      <c r="M152" s="179"/>
      <c r="N152" s="268">
        <f>O152</f>
        <v>25000000</v>
      </c>
      <c r="O152" s="239">
        <f>(20000000)+5000000</f>
        <v>25000000</v>
      </c>
      <c r="P152" s="297">
        <f t="shared" si="63"/>
        <v>25000000</v>
      </c>
    </row>
    <row r="153" spans="1:16" ht="183" x14ac:dyDescent="0.2">
      <c r="A153" s="270" t="s">
        <v>722</v>
      </c>
      <c r="B153" s="270" t="s">
        <v>609</v>
      </c>
      <c r="C153" s="270" t="s">
        <v>570</v>
      </c>
      <c r="D153" s="270" t="s">
        <v>607</v>
      </c>
      <c r="E153" s="248">
        <v>0</v>
      </c>
      <c r="F153" s="47"/>
      <c r="G153" s="179"/>
      <c r="H153" s="179"/>
      <c r="I153" s="47"/>
      <c r="J153" s="297">
        <f t="shared" si="59"/>
        <v>700000</v>
      </c>
      <c r="K153" s="47"/>
      <c r="L153" s="179"/>
      <c r="M153" s="179"/>
      <c r="N153" s="268">
        <f>O153</f>
        <v>700000</v>
      </c>
      <c r="O153" s="239">
        <v>700000</v>
      </c>
      <c r="P153" s="297">
        <f t="shared" si="63"/>
        <v>700000</v>
      </c>
    </row>
    <row r="154" spans="1:16" ht="137.25" x14ac:dyDescent="0.2">
      <c r="A154" s="270" t="s">
        <v>544</v>
      </c>
      <c r="B154" s="270" t="s">
        <v>545</v>
      </c>
      <c r="C154" s="270"/>
      <c r="D154" s="270" t="s">
        <v>547</v>
      </c>
      <c r="E154" s="297">
        <f t="shared" si="60"/>
        <v>15000000</v>
      </c>
      <c r="F154" s="190">
        <f>SUM(F155)</f>
        <v>15000000</v>
      </c>
      <c r="G154" s="179"/>
      <c r="H154" s="239"/>
      <c r="I154" s="190"/>
      <c r="J154" s="297">
        <f t="shared" si="59"/>
        <v>0</v>
      </c>
      <c r="K154" s="190">
        <f>SUM(K155)</f>
        <v>0</v>
      </c>
      <c r="L154" s="239"/>
      <c r="M154" s="239"/>
      <c r="N154" s="190">
        <f t="shared" ref="N154:N155" si="64">O154</f>
        <v>0</v>
      </c>
      <c r="O154" s="190">
        <f>SUM(O155)</f>
        <v>0</v>
      </c>
      <c r="P154" s="297">
        <f t="shared" si="63"/>
        <v>15000000</v>
      </c>
    </row>
    <row r="155" spans="1:16" ht="91.5" x14ac:dyDescent="0.2">
      <c r="A155" s="271" t="s">
        <v>543</v>
      </c>
      <c r="B155" s="271" t="s">
        <v>546</v>
      </c>
      <c r="C155" s="271" t="s">
        <v>549</v>
      </c>
      <c r="D155" s="271" t="s">
        <v>548</v>
      </c>
      <c r="E155" s="47">
        <f t="shared" si="60"/>
        <v>15000000</v>
      </c>
      <c r="F155" s="47">
        <v>15000000</v>
      </c>
      <c r="G155" s="47"/>
      <c r="H155" s="47"/>
      <c r="I155" s="47"/>
      <c r="J155" s="47">
        <f t="shared" si="59"/>
        <v>0</v>
      </c>
      <c r="K155" s="268"/>
      <c r="L155" s="268"/>
      <c r="M155" s="268"/>
      <c r="N155" s="268">
        <f t="shared" si="64"/>
        <v>0</v>
      </c>
      <c r="O155" s="268"/>
      <c r="P155" s="190">
        <f>+J155+E155</f>
        <v>15000000</v>
      </c>
    </row>
    <row r="156" spans="1:16" ht="137.25" x14ac:dyDescent="0.2">
      <c r="A156" s="270" t="s">
        <v>550</v>
      </c>
      <c r="B156" s="270" t="s">
        <v>551</v>
      </c>
      <c r="C156" s="270"/>
      <c r="D156" s="270" t="s">
        <v>552</v>
      </c>
      <c r="E156" s="297">
        <f t="shared" si="60"/>
        <v>48578600</v>
      </c>
      <c r="F156" s="190">
        <f>SUM(F157)</f>
        <v>48578600</v>
      </c>
      <c r="G156" s="179"/>
      <c r="H156" s="239"/>
      <c r="I156" s="190"/>
      <c r="J156" s="297">
        <f t="shared" si="59"/>
        <v>83480433.090000004</v>
      </c>
      <c r="K156" s="190">
        <f>SUM(K157)</f>
        <v>0</v>
      </c>
      <c r="L156" s="239"/>
      <c r="M156" s="239"/>
      <c r="N156" s="190">
        <f>N157</f>
        <v>83480433.090000004</v>
      </c>
      <c r="O156" s="190">
        <f>SUM(O157)</f>
        <v>82966210</v>
      </c>
      <c r="P156" s="297">
        <f t="shared" ref="P156" si="65">E156+J156</f>
        <v>132059033.09</v>
      </c>
    </row>
    <row r="157" spans="1:16" ht="228.75" x14ac:dyDescent="0.2">
      <c r="A157" s="271" t="s">
        <v>553</v>
      </c>
      <c r="B157" s="271" t="s">
        <v>554</v>
      </c>
      <c r="C157" s="271" t="s">
        <v>556</v>
      </c>
      <c r="D157" s="271" t="s">
        <v>555</v>
      </c>
      <c r="E157" s="47">
        <f t="shared" si="60"/>
        <v>48578600</v>
      </c>
      <c r="F157" s="47">
        <f>(30000000)+18578600</f>
        <v>48578600</v>
      </c>
      <c r="G157" s="47"/>
      <c r="H157" s="47"/>
      <c r="I157" s="47"/>
      <c r="J157" s="47">
        <f t="shared" si="59"/>
        <v>83480433.090000004</v>
      </c>
      <c r="K157" s="268"/>
      <c r="L157" s="268"/>
      <c r="M157" s="268"/>
      <c r="N157" s="268">
        <f>O157+514223.09</f>
        <v>83480433.090000004</v>
      </c>
      <c r="O157" s="268">
        <f>(58865000)+25301210-1200000</f>
        <v>82966210</v>
      </c>
      <c r="P157" s="190">
        <f>+J157+E157</f>
        <v>132059033.09</v>
      </c>
    </row>
    <row r="158" spans="1:16" ht="46.5" x14ac:dyDescent="0.2">
      <c r="A158" s="270" t="s">
        <v>557</v>
      </c>
      <c r="B158" s="270" t="s">
        <v>403</v>
      </c>
      <c r="C158" s="270" t="s">
        <v>404</v>
      </c>
      <c r="D158" s="270" t="s">
        <v>99</v>
      </c>
      <c r="E158" s="248">
        <f t="shared" si="60"/>
        <v>1118300</v>
      </c>
      <c r="F158" s="47">
        <f>(1018300)+100000</f>
        <v>1118300</v>
      </c>
      <c r="G158" s="179"/>
      <c r="H158" s="179"/>
      <c r="I158" s="47"/>
      <c r="J158" s="297">
        <f t="shared" si="59"/>
        <v>3500000</v>
      </c>
      <c r="K158" s="47"/>
      <c r="L158" s="179"/>
      <c r="M158" s="179"/>
      <c r="N158" s="268">
        <f>O158</f>
        <v>3500000</v>
      </c>
      <c r="O158" s="239">
        <f>(2000000)+1500000</f>
        <v>3500000</v>
      </c>
      <c r="P158" s="297">
        <f t="shared" ref="P158:P161" si="66">E158+J158</f>
        <v>4618300</v>
      </c>
    </row>
    <row r="159" spans="1:16" ht="91.5" x14ac:dyDescent="0.2">
      <c r="A159" s="270" t="s">
        <v>575</v>
      </c>
      <c r="B159" s="270" t="s">
        <v>373</v>
      </c>
      <c r="C159" s="270" t="s">
        <v>324</v>
      </c>
      <c r="D159" s="270" t="s">
        <v>89</v>
      </c>
      <c r="E159" s="248">
        <f t="shared" si="60"/>
        <v>0</v>
      </c>
      <c r="F159" s="47"/>
      <c r="G159" s="179"/>
      <c r="H159" s="179"/>
      <c r="I159" s="47"/>
      <c r="J159" s="297">
        <f t="shared" si="59"/>
        <v>53169969</v>
      </c>
      <c r="K159" s="47"/>
      <c r="L159" s="179"/>
      <c r="M159" s="179"/>
      <c r="N159" s="268">
        <f>O159</f>
        <v>53169969</v>
      </c>
      <c r="O159" s="239">
        <f>(7653700)+47016269-450000-2800000+(1750000)</f>
        <v>53169969</v>
      </c>
      <c r="P159" s="297">
        <f t="shared" si="66"/>
        <v>53169969</v>
      </c>
    </row>
    <row r="160" spans="1:16" ht="183" x14ac:dyDescent="0.2">
      <c r="A160" s="270" t="s">
        <v>558</v>
      </c>
      <c r="B160" s="270" t="s">
        <v>559</v>
      </c>
      <c r="C160" s="270" t="s">
        <v>490</v>
      </c>
      <c r="D160" s="270" t="s">
        <v>703</v>
      </c>
      <c r="E160" s="248">
        <f t="shared" si="60"/>
        <v>252990</v>
      </c>
      <c r="F160" s="47">
        <v>252990</v>
      </c>
      <c r="G160" s="179"/>
      <c r="H160" s="179"/>
      <c r="I160" s="47"/>
      <c r="J160" s="297">
        <f t="shared" si="59"/>
        <v>0</v>
      </c>
      <c r="K160" s="47"/>
      <c r="L160" s="179"/>
      <c r="M160" s="179"/>
      <c r="N160" s="268">
        <f>O160</f>
        <v>0</v>
      </c>
      <c r="O160" s="239"/>
      <c r="P160" s="297">
        <f t="shared" si="66"/>
        <v>252990</v>
      </c>
    </row>
    <row r="161" spans="1:18" ht="91.5" x14ac:dyDescent="0.2">
      <c r="A161" s="270" t="s">
        <v>488</v>
      </c>
      <c r="B161" s="270" t="s">
        <v>489</v>
      </c>
      <c r="C161" s="270" t="s">
        <v>490</v>
      </c>
      <c r="D161" s="270" t="s">
        <v>487</v>
      </c>
      <c r="E161" s="248">
        <f t="shared" si="60"/>
        <v>1165188</v>
      </c>
      <c r="F161" s="47">
        <f>1050500+95000+19688</f>
        <v>1165188</v>
      </c>
      <c r="G161" s="179">
        <v>839900</v>
      </c>
      <c r="H161" s="179">
        <v>11500</v>
      </c>
      <c r="I161" s="47"/>
      <c r="J161" s="297">
        <f t="shared" si="59"/>
        <v>7400</v>
      </c>
      <c r="K161" s="47">
        <v>7400</v>
      </c>
      <c r="L161" s="179"/>
      <c r="M161" s="179"/>
      <c r="N161" s="268">
        <f>O161</f>
        <v>0</v>
      </c>
      <c r="O161" s="239"/>
      <c r="P161" s="297">
        <f t="shared" si="66"/>
        <v>1172588</v>
      </c>
    </row>
    <row r="162" spans="1:18" ht="315" x14ac:dyDescent="0.2">
      <c r="A162" s="433" t="s">
        <v>69</v>
      </c>
      <c r="B162" s="433"/>
      <c r="C162" s="433"/>
      <c r="D162" s="433" t="s">
        <v>933</v>
      </c>
      <c r="E162" s="440">
        <f>E163</f>
        <v>0</v>
      </c>
      <c r="F162" s="440">
        <f t="shared" ref="F162:P162" si="67">F163</f>
        <v>0</v>
      </c>
      <c r="G162" s="440">
        <f t="shared" si="67"/>
        <v>0</v>
      </c>
      <c r="H162" s="440">
        <f t="shared" si="67"/>
        <v>0</v>
      </c>
      <c r="I162" s="440">
        <f t="shared" si="67"/>
        <v>0</v>
      </c>
      <c r="J162" s="440">
        <f t="shared" si="67"/>
        <v>126000000</v>
      </c>
      <c r="K162" s="440">
        <f t="shared" si="67"/>
        <v>0</v>
      </c>
      <c r="L162" s="440">
        <f t="shared" si="67"/>
        <v>0</v>
      </c>
      <c r="M162" s="440">
        <f t="shared" si="67"/>
        <v>0</v>
      </c>
      <c r="N162" s="440">
        <f t="shared" si="67"/>
        <v>126000000</v>
      </c>
      <c r="O162" s="439">
        <f>O163</f>
        <v>126000000</v>
      </c>
      <c r="P162" s="440">
        <f t="shared" si="67"/>
        <v>126000000</v>
      </c>
    </row>
    <row r="163" spans="1:18" ht="270" x14ac:dyDescent="0.2">
      <c r="A163" s="437" t="s">
        <v>70</v>
      </c>
      <c r="B163" s="437"/>
      <c r="C163" s="437"/>
      <c r="D163" s="437" t="s">
        <v>932</v>
      </c>
      <c r="E163" s="439">
        <f>E164+E167+E168</f>
        <v>0</v>
      </c>
      <c r="F163" s="440">
        <f t="shared" ref="F163:I163" si="68">F164+F167+F168</f>
        <v>0</v>
      </c>
      <c r="G163" s="439">
        <f t="shared" si="68"/>
        <v>0</v>
      </c>
      <c r="H163" s="439">
        <f t="shared" si="68"/>
        <v>0</v>
      </c>
      <c r="I163" s="440">
        <f t="shared" si="68"/>
        <v>0</v>
      </c>
      <c r="J163" s="439">
        <f t="shared" ref="J163:J168" si="69">K163+N163</f>
        <v>126000000</v>
      </c>
      <c r="K163" s="440">
        <f t="shared" ref="K163:O163" si="70">K164+K167+K168</f>
        <v>0</v>
      </c>
      <c r="L163" s="439">
        <f t="shared" si="70"/>
        <v>0</v>
      </c>
      <c r="M163" s="439">
        <f t="shared" si="70"/>
        <v>0</v>
      </c>
      <c r="N163" s="440">
        <f t="shared" si="70"/>
        <v>126000000</v>
      </c>
      <c r="O163" s="439">
        <f t="shared" si="70"/>
        <v>126000000</v>
      </c>
      <c r="P163" s="439">
        <f t="shared" ref="P163" si="71">+J163+E163</f>
        <v>126000000</v>
      </c>
      <c r="Q163" s="311" t="b">
        <f>P163=P165+P166+P167+P168</f>
        <v>1</v>
      </c>
      <c r="R163" s="325" t="b">
        <f>O163='dod5'!J206</f>
        <v>0</v>
      </c>
    </row>
    <row r="164" spans="1:18" ht="137.25" x14ac:dyDescent="0.2">
      <c r="A164" s="270" t="s">
        <v>599</v>
      </c>
      <c r="B164" s="270" t="s">
        <v>600</v>
      </c>
      <c r="C164" s="270"/>
      <c r="D164" s="270" t="s">
        <v>598</v>
      </c>
      <c r="E164" s="248">
        <f t="shared" ref="E164:E166" si="72">F164</f>
        <v>0</v>
      </c>
      <c r="F164" s="47">
        <f>F165+F166</f>
        <v>0</v>
      </c>
      <c r="G164" s="179">
        <f>G165+G166</f>
        <v>0</v>
      </c>
      <c r="H164" s="179">
        <f>H165+H166</f>
        <v>0</v>
      </c>
      <c r="I164" s="47">
        <f>I165+I166</f>
        <v>0</v>
      </c>
      <c r="J164" s="297">
        <f t="shared" si="69"/>
        <v>94478000</v>
      </c>
      <c r="K164" s="47">
        <f>K165+K166</f>
        <v>0</v>
      </c>
      <c r="L164" s="179">
        <f>L165+L166</f>
        <v>0</v>
      </c>
      <c r="M164" s="179">
        <f>M165+M166</f>
        <v>0</v>
      </c>
      <c r="N164" s="268">
        <f>N165+N166</f>
        <v>94478000</v>
      </c>
      <c r="O164" s="47">
        <f>O165+O166</f>
        <v>94478000</v>
      </c>
      <c r="P164" s="297">
        <f t="shared" ref="P164:P166" si="73">E164+J164</f>
        <v>94478000</v>
      </c>
    </row>
    <row r="165" spans="1:18" ht="91.5" x14ac:dyDescent="0.2">
      <c r="A165" s="271" t="s">
        <v>602</v>
      </c>
      <c r="B165" s="271" t="s">
        <v>603</v>
      </c>
      <c r="C165" s="271" t="s">
        <v>570</v>
      </c>
      <c r="D165" s="271" t="s">
        <v>601</v>
      </c>
      <c r="E165" s="190">
        <f t="shared" si="72"/>
        <v>0</v>
      </c>
      <c r="F165" s="190"/>
      <c r="G165" s="190"/>
      <c r="H165" s="190"/>
      <c r="I165" s="190"/>
      <c r="J165" s="190">
        <f t="shared" si="69"/>
        <v>59438000</v>
      </c>
      <c r="K165" s="190"/>
      <c r="L165" s="190"/>
      <c r="M165" s="190"/>
      <c r="N165" s="190">
        <f>O165</f>
        <v>59438000</v>
      </c>
      <c r="O165" s="239">
        <f>(35888000)+18550000+(5000000)</f>
        <v>59438000</v>
      </c>
      <c r="P165" s="190">
        <f t="shared" si="73"/>
        <v>59438000</v>
      </c>
    </row>
    <row r="166" spans="1:18" ht="137.25" x14ac:dyDescent="0.2">
      <c r="A166" s="271" t="s">
        <v>604</v>
      </c>
      <c r="B166" s="271" t="s">
        <v>605</v>
      </c>
      <c r="C166" s="271" t="s">
        <v>570</v>
      </c>
      <c r="D166" s="271" t="s">
        <v>606</v>
      </c>
      <c r="E166" s="190">
        <f t="shared" si="72"/>
        <v>0</v>
      </c>
      <c r="F166" s="190"/>
      <c r="G166" s="190"/>
      <c r="H166" s="190"/>
      <c r="I166" s="190"/>
      <c r="J166" s="190">
        <f t="shared" si="69"/>
        <v>35040000</v>
      </c>
      <c r="K166" s="190"/>
      <c r="L166" s="190"/>
      <c r="M166" s="190"/>
      <c r="N166" s="190">
        <f>O166</f>
        <v>35040000</v>
      </c>
      <c r="O166" s="190">
        <f>(5000000+510000)+480000-1000000+250000+5000000-2200000+(27000000)</f>
        <v>35040000</v>
      </c>
      <c r="P166" s="190">
        <f t="shared" si="73"/>
        <v>35040000</v>
      </c>
    </row>
    <row r="167" spans="1:18" ht="183" x14ac:dyDescent="0.2">
      <c r="A167" s="270" t="s">
        <v>608</v>
      </c>
      <c r="B167" s="270" t="s">
        <v>609</v>
      </c>
      <c r="C167" s="270" t="s">
        <v>570</v>
      </c>
      <c r="D167" s="270" t="s">
        <v>607</v>
      </c>
      <c r="E167" s="297">
        <f>F167</f>
        <v>0</v>
      </c>
      <c r="F167" s="190"/>
      <c r="G167" s="239"/>
      <c r="H167" s="239"/>
      <c r="I167" s="190"/>
      <c r="J167" s="297">
        <f t="shared" si="69"/>
        <v>31342000</v>
      </c>
      <c r="K167" s="190"/>
      <c r="L167" s="239"/>
      <c r="M167" s="239"/>
      <c r="N167" s="190">
        <f t="shared" ref="N167" si="74">O167</f>
        <v>31342000</v>
      </c>
      <c r="O167" s="333">
        <f>(14952000+360000)+15280000+1000000-250000</f>
        <v>31342000</v>
      </c>
      <c r="P167" s="297">
        <f>E167+J167</f>
        <v>31342000</v>
      </c>
    </row>
    <row r="168" spans="1:18" ht="91.5" x14ac:dyDescent="0.2">
      <c r="A168" s="270" t="s">
        <v>610</v>
      </c>
      <c r="B168" s="270" t="s">
        <v>373</v>
      </c>
      <c r="C168" s="270" t="s">
        <v>324</v>
      </c>
      <c r="D168" s="270" t="s">
        <v>89</v>
      </c>
      <c r="E168" s="248">
        <f t="shared" ref="E168" si="75">F168</f>
        <v>0</v>
      </c>
      <c r="F168" s="47"/>
      <c r="G168" s="179"/>
      <c r="H168" s="179"/>
      <c r="I168" s="47"/>
      <c r="J168" s="297">
        <f t="shared" si="69"/>
        <v>180000</v>
      </c>
      <c r="K168" s="47"/>
      <c r="L168" s="179"/>
      <c r="M168" s="179"/>
      <c r="N168" s="268">
        <f>O168</f>
        <v>180000</v>
      </c>
      <c r="O168" s="239">
        <v>180000</v>
      </c>
      <c r="P168" s="297">
        <f t="shared" ref="P168" si="76">E168+J168</f>
        <v>180000</v>
      </c>
    </row>
    <row r="169" spans="1:18" ht="270" x14ac:dyDescent="0.2">
      <c r="A169" s="433" t="s">
        <v>314</v>
      </c>
      <c r="B169" s="433"/>
      <c r="C169" s="433"/>
      <c r="D169" s="433" t="s">
        <v>71</v>
      </c>
      <c r="E169" s="440">
        <f>E170</f>
        <v>0</v>
      </c>
      <c r="F169" s="440">
        <f t="shared" ref="F169:P170" si="77">F170</f>
        <v>0</v>
      </c>
      <c r="G169" s="440">
        <f t="shared" si="77"/>
        <v>0</v>
      </c>
      <c r="H169" s="440">
        <f t="shared" si="77"/>
        <v>0</v>
      </c>
      <c r="I169" s="440">
        <f t="shared" si="77"/>
        <v>0</v>
      </c>
      <c r="J169" s="440">
        <f t="shared" si="77"/>
        <v>3306300</v>
      </c>
      <c r="K169" s="440">
        <f t="shared" si="77"/>
        <v>0</v>
      </c>
      <c r="L169" s="440">
        <f t="shared" si="77"/>
        <v>0</v>
      </c>
      <c r="M169" s="440">
        <f t="shared" si="77"/>
        <v>0</v>
      </c>
      <c r="N169" s="440">
        <f t="shared" si="77"/>
        <v>3306300</v>
      </c>
      <c r="O169" s="439">
        <f t="shared" si="77"/>
        <v>3306300</v>
      </c>
      <c r="P169" s="440">
        <f t="shared" si="77"/>
        <v>3306300</v>
      </c>
    </row>
    <row r="170" spans="1:18" ht="270" x14ac:dyDescent="0.2">
      <c r="A170" s="437" t="s">
        <v>315</v>
      </c>
      <c r="B170" s="437"/>
      <c r="C170" s="437"/>
      <c r="D170" s="437" t="s">
        <v>96</v>
      </c>
      <c r="E170" s="439">
        <f>E171</f>
        <v>0</v>
      </c>
      <c r="F170" s="440">
        <f>E170</f>
        <v>0</v>
      </c>
      <c r="G170" s="439">
        <f t="shared" si="77"/>
        <v>0</v>
      </c>
      <c r="H170" s="439">
        <f t="shared" si="77"/>
        <v>0</v>
      </c>
      <c r="I170" s="440">
        <f t="shared" si="77"/>
        <v>0</v>
      </c>
      <c r="J170" s="439">
        <f>K170+N170</f>
        <v>3306300</v>
      </c>
      <c r="K170" s="440">
        <f t="shared" si="77"/>
        <v>0</v>
      </c>
      <c r="L170" s="439">
        <f t="shared" si="77"/>
        <v>0</v>
      </c>
      <c r="M170" s="439">
        <f>M171</f>
        <v>0</v>
      </c>
      <c r="N170" s="440">
        <f>N171</f>
        <v>3306300</v>
      </c>
      <c r="O170" s="439">
        <f>O171</f>
        <v>3306300</v>
      </c>
      <c r="P170" s="439">
        <f>+J170+E170</f>
        <v>3306300</v>
      </c>
      <c r="Q170" s="311" t="b">
        <f>P170=P171</f>
        <v>1</v>
      </c>
      <c r="R170" s="325" t="b">
        <f>P170='dod5'!J240</f>
        <v>0</v>
      </c>
    </row>
    <row r="171" spans="1:18" ht="137.25" x14ac:dyDescent="0.2">
      <c r="A171" s="270" t="s">
        <v>580</v>
      </c>
      <c r="B171" s="270" t="s">
        <v>581</v>
      </c>
      <c r="C171" s="270" t="s">
        <v>570</v>
      </c>
      <c r="D171" s="270" t="s">
        <v>582</v>
      </c>
      <c r="E171" s="297">
        <f>F171</f>
        <v>0</v>
      </c>
      <c r="F171" s="190">
        <v>0</v>
      </c>
      <c r="G171" s="239"/>
      <c r="H171" s="239"/>
      <c r="I171" s="190"/>
      <c r="J171" s="297">
        <f>K171+N171</f>
        <v>3306300</v>
      </c>
      <c r="K171" s="190"/>
      <c r="L171" s="239"/>
      <c r="M171" s="239"/>
      <c r="N171" s="190">
        <f>O171</f>
        <v>3306300</v>
      </c>
      <c r="O171" s="239">
        <f>(780000)+2376000+150300</f>
        <v>3306300</v>
      </c>
      <c r="P171" s="297">
        <f>E171+J171</f>
        <v>3306300</v>
      </c>
    </row>
    <row r="172" spans="1:18" ht="135" x14ac:dyDescent="0.2">
      <c r="A172" s="433" t="s">
        <v>320</v>
      </c>
      <c r="B172" s="433"/>
      <c r="C172" s="433"/>
      <c r="D172" s="433" t="s">
        <v>764</v>
      </c>
      <c r="E172" s="440">
        <f>E173</f>
        <v>4970800</v>
      </c>
      <c r="F172" s="440">
        <f t="shared" ref="F172:P172" si="78">F173</f>
        <v>4970800</v>
      </c>
      <c r="G172" s="440">
        <f t="shared" si="78"/>
        <v>0</v>
      </c>
      <c r="H172" s="440">
        <f t="shared" si="78"/>
        <v>0</v>
      </c>
      <c r="I172" s="440">
        <f t="shared" si="78"/>
        <v>0</v>
      </c>
      <c r="J172" s="440">
        <f t="shared" si="78"/>
        <v>900000</v>
      </c>
      <c r="K172" s="440">
        <f t="shared" si="78"/>
        <v>0</v>
      </c>
      <c r="L172" s="440">
        <f t="shared" si="78"/>
        <v>0</v>
      </c>
      <c r="M172" s="440">
        <f t="shared" si="78"/>
        <v>0</v>
      </c>
      <c r="N172" s="440">
        <f t="shared" si="78"/>
        <v>900000</v>
      </c>
      <c r="O172" s="439">
        <f t="shared" si="78"/>
        <v>900000</v>
      </c>
      <c r="P172" s="440">
        <f t="shared" si="78"/>
        <v>5870800</v>
      </c>
    </row>
    <row r="173" spans="1:18" ht="135" x14ac:dyDescent="0.2">
      <c r="A173" s="437" t="s">
        <v>321</v>
      </c>
      <c r="B173" s="437"/>
      <c r="C173" s="437"/>
      <c r="D173" s="437" t="s">
        <v>765</v>
      </c>
      <c r="E173" s="439">
        <f>SUM(E174:E177)</f>
        <v>4970800</v>
      </c>
      <c r="F173" s="440">
        <f t="shared" ref="F173:I173" si="79">SUM(F174:F177)</f>
        <v>4970800</v>
      </c>
      <c r="G173" s="440">
        <f t="shared" si="79"/>
        <v>0</v>
      </c>
      <c r="H173" s="440">
        <f t="shared" si="79"/>
        <v>0</v>
      </c>
      <c r="I173" s="440">
        <f t="shared" si="79"/>
        <v>0</v>
      </c>
      <c r="J173" s="439">
        <f>K173+N173</f>
        <v>900000</v>
      </c>
      <c r="K173" s="440">
        <f>SUM(K174:K177)</f>
        <v>0</v>
      </c>
      <c r="L173" s="439">
        <f t="shared" ref="L173:M173" si="80">SUM(L174:L177)</f>
        <v>0</v>
      </c>
      <c r="M173" s="439">
        <f t="shared" si="80"/>
        <v>0</v>
      </c>
      <c r="N173" s="440">
        <f>SUM(N174:N177)</f>
        <v>900000</v>
      </c>
      <c r="O173" s="439">
        <f>SUM(O174:O177)</f>
        <v>900000</v>
      </c>
      <c r="P173" s="439">
        <f>E173+J173</f>
        <v>5870800</v>
      </c>
      <c r="Q173" s="311" t="b">
        <f>P173=P174+P175+P176+P178</f>
        <v>1</v>
      </c>
      <c r="R173" s="325" t="b">
        <f>O173='dod5'!J247</f>
        <v>0</v>
      </c>
    </row>
    <row r="174" spans="1:18" ht="137.25" x14ac:dyDescent="0.2">
      <c r="A174" s="270" t="s">
        <v>755</v>
      </c>
      <c r="B174" s="270" t="s">
        <v>756</v>
      </c>
      <c r="C174" s="270" t="s">
        <v>324</v>
      </c>
      <c r="D174" s="270" t="s">
        <v>502</v>
      </c>
      <c r="E174" s="297">
        <f>F174</f>
        <v>0</v>
      </c>
      <c r="F174" s="190"/>
      <c r="G174" s="239"/>
      <c r="H174" s="239"/>
      <c r="I174" s="190"/>
      <c r="J174" s="297">
        <f>K174+N174</f>
        <v>500000</v>
      </c>
      <c r="K174" s="190"/>
      <c r="L174" s="239"/>
      <c r="M174" s="239"/>
      <c r="N174" s="190">
        <f>O174</f>
        <v>500000</v>
      </c>
      <c r="O174" s="239">
        <f>(1000000+200000)-700000</f>
        <v>500000</v>
      </c>
      <c r="P174" s="297">
        <f>E174+J174</f>
        <v>500000</v>
      </c>
    </row>
    <row r="175" spans="1:18" ht="91.5" x14ac:dyDescent="0.2">
      <c r="A175" s="270" t="s">
        <v>500</v>
      </c>
      <c r="B175" s="270" t="s">
        <v>501</v>
      </c>
      <c r="C175" s="270" t="s">
        <v>499</v>
      </c>
      <c r="D175" s="270" t="s">
        <v>498</v>
      </c>
      <c r="E175" s="297">
        <f t="shared" ref="E175:E178" si="81">F175</f>
        <v>2200000</v>
      </c>
      <c r="F175" s="190">
        <f>(1500000)+700000</f>
        <v>2200000</v>
      </c>
      <c r="G175" s="239"/>
      <c r="H175" s="239"/>
      <c r="I175" s="190"/>
      <c r="J175" s="297">
        <f t="shared" ref="J175:J178" si="82">K175+N175</f>
        <v>0</v>
      </c>
      <c r="K175" s="190"/>
      <c r="L175" s="239"/>
      <c r="M175" s="239"/>
      <c r="N175" s="190">
        <f t="shared" ref="N175:N178" si="83">O175</f>
        <v>0</v>
      </c>
      <c r="O175" s="239"/>
      <c r="P175" s="297">
        <f t="shared" ref="P175:P178" si="84">E175+J175</f>
        <v>2200000</v>
      </c>
    </row>
    <row r="176" spans="1:18" ht="137.25" x14ac:dyDescent="0.2">
      <c r="A176" s="270" t="s">
        <v>491</v>
      </c>
      <c r="B176" s="270" t="s">
        <v>493</v>
      </c>
      <c r="C176" s="270" t="s">
        <v>404</v>
      </c>
      <c r="D176" s="270" t="s">
        <v>492</v>
      </c>
      <c r="E176" s="297">
        <f t="shared" si="81"/>
        <v>475000</v>
      </c>
      <c r="F176" s="190">
        <v>475000</v>
      </c>
      <c r="G176" s="239"/>
      <c r="H176" s="239"/>
      <c r="I176" s="190"/>
      <c r="J176" s="297">
        <f t="shared" si="82"/>
        <v>0</v>
      </c>
      <c r="K176" s="190"/>
      <c r="L176" s="239"/>
      <c r="M176" s="239"/>
      <c r="N176" s="190">
        <f t="shared" si="83"/>
        <v>0</v>
      </c>
      <c r="O176" s="239"/>
      <c r="P176" s="297">
        <f t="shared" si="84"/>
        <v>475000</v>
      </c>
    </row>
    <row r="177" spans="1:18" ht="46.5" x14ac:dyDescent="0.2">
      <c r="A177" s="270" t="s">
        <v>495</v>
      </c>
      <c r="B177" s="270" t="s">
        <v>449</v>
      </c>
      <c r="C177" s="270" t="s">
        <v>324</v>
      </c>
      <c r="D177" s="270" t="s">
        <v>447</v>
      </c>
      <c r="E177" s="297">
        <f t="shared" si="81"/>
        <v>2295800</v>
      </c>
      <c r="F177" s="190">
        <f>SUM(F178:F178)</f>
        <v>2295800</v>
      </c>
      <c r="G177" s="239"/>
      <c r="H177" s="239"/>
      <c r="I177" s="190"/>
      <c r="J177" s="297">
        <f t="shared" si="82"/>
        <v>400000</v>
      </c>
      <c r="K177" s="190">
        <f>SUM(K178:K178)</f>
        <v>0</v>
      </c>
      <c r="L177" s="239"/>
      <c r="M177" s="239"/>
      <c r="N177" s="190">
        <f t="shared" si="83"/>
        <v>400000</v>
      </c>
      <c r="O177" s="239">
        <f>SUM(O178:O178)</f>
        <v>400000</v>
      </c>
      <c r="P177" s="297">
        <f t="shared" si="84"/>
        <v>2695800</v>
      </c>
    </row>
    <row r="178" spans="1:18" ht="91.5" x14ac:dyDescent="0.2">
      <c r="A178" s="271" t="s">
        <v>496</v>
      </c>
      <c r="B178" s="271" t="s">
        <v>497</v>
      </c>
      <c r="C178" s="271" t="s">
        <v>324</v>
      </c>
      <c r="D178" s="271" t="s">
        <v>494</v>
      </c>
      <c r="E178" s="190">
        <f t="shared" si="81"/>
        <v>2295800</v>
      </c>
      <c r="F178" s="190">
        <f>(4195800-1965302-34698)+100000</f>
        <v>2295800</v>
      </c>
      <c r="G178" s="190"/>
      <c r="H178" s="190"/>
      <c r="I178" s="190"/>
      <c r="J178" s="190">
        <f t="shared" si="82"/>
        <v>400000</v>
      </c>
      <c r="K178" s="190"/>
      <c r="L178" s="190"/>
      <c r="M178" s="190"/>
      <c r="N178" s="190">
        <f t="shared" si="83"/>
        <v>400000</v>
      </c>
      <c r="O178" s="190">
        <f>(0)+400000</f>
        <v>400000</v>
      </c>
      <c r="P178" s="190">
        <f t="shared" si="84"/>
        <v>2695800</v>
      </c>
    </row>
    <row r="179" spans="1:18" ht="180" x14ac:dyDescent="0.2">
      <c r="A179" s="433" t="s">
        <v>318</v>
      </c>
      <c r="B179" s="433"/>
      <c r="C179" s="433"/>
      <c r="D179" s="433" t="s">
        <v>72</v>
      </c>
      <c r="E179" s="440">
        <f>E180</f>
        <v>0</v>
      </c>
      <c r="F179" s="440">
        <f t="shared" ref="F179:P179" si="85">F180</f>
        <v>0</v>
      </c>
      <c r="G179" s="440">
        <f t="shared" si="85"/>
        <v>0</v>
      </c>
      <c r="H179" s="440">
        <f t="shared" si="85"/>
        <v>0</v>
      </c>
      <c r="I179" s="440">
        <f t="shared" si="85"/>
        <v>0</v>
      </c>
      <c r="J179" s="440">
        <f t="shared" si="85"/>
        <v>1271148.6600000001</v>
      </c>
      <c r="K179" s="440">
        <f t="shared" si="85"/>
        <v>0</v>
      </c>
      <c r="L179" s="440">
        <f t="shared" si="85"/>
        <v>0</v>
      </c>
      <c r="M179" s="440">
        <f t="shared" si="85"/>
        <v>0</v>
      </c>
      <c r="N179" s="440">
        <f t="shared" si="85"/>
        <v>1271148.6600000001</v>
      </c>
      <c r="O179" s="439">
        <f t="shared" si="85"/>
        <v>0</v>
      </c>
      <c r="P179" s="440">
        <f t="shared" si="85"/>
        <v>1271148.6600000001</v>
      </c>
    </row>
    <row r="180" spans="1:18" ht="180" x14ac:dyDescent="0.2">
      <c r="A180" s="437" t="s">
        <v>319</v>
      </c>
      <c r="B180" s="437"/>
      <c r="C180" s="437"/>
      <c r="D180" s="437" t="s">
        <v>97</v>
      </c>
      <c r="E180" s="439">
        <v>0</v>
      </c>
      <c r="F180" s="440">
        <f>F184+F185+F181</f>
        <v>0</v>
      </c>
      <c r="G180" s="439">
        <f>G184+G185+G181</f>
        <v>0</v>
      </c>
      <c r="H180" s="439">
        <f>H184+H185+H181</f>
        <v>0</v>
      </c>
      <c r="I180" s="440">
        <f>I184+I185+I181</f>
        <v>0</v>
      </c>
      <c r="J180" s="439">
        <f>K180+N180</f>
        <v>1271148.6600000001</v>
      </c>
      <c r="K180" s="440">
        <f>K184+K185+K181</f>
        <v>0</v>
      </c>
      <c r="L180" s="439">
        <f>L184+L185+L181</f>
        <v>0</v>
      </c>
      <c r="M180" s="439">
        <f>M184+M185+M181</f>
        <v>0</v>
      </c>
      <c r="N180" s="440">
        <f>N184+N185+N181</f>
        <v>1271148.6600000001</v>
      </c>
      <c r="O180" s="439">
        <f>O184+O185+O181</f>
        <v>0</v>
      </c>
      <c r="P180" s="439">
        <f>E180+J180</f>
        <v>1271148.6600000001</v>
      </c>
      <c r="Q180" s="311" t="b">
        <f>P180=P182+P183+P184+P185</f>
        <v>1</v>
      </c>
      <c r="R180" s="325" t="b">
        <f>P180='dod7'!F18</f>
        <v>1</v>
      </c>
    </row>
    <row r="181" spans="1:18" ht="137.25" x14ac:dyDescent="0.2">
      <c r="A181" s="270" t="s">
        <v>583</v>
      </c>
      <c r="B181" s="270" t="s">
        <v>584</v>
      </c>
      <c r="C181" s="270"/>
      <c r="D181" s="270" t="s">
        <v>585</v>
      </c>
      <c r="E181" s="248">
        <f t="shared" ref="E181:E183" si="86">F181</f>
        <v>0</v>
      </c>
      <c r="F181" s="47">
        <f>F182+F183</f>
        <v>0</v>
      </c>
      <c r="G181" s="179">
        <f>G182+G183</f>
        <v>0</v>
      </c>
      <c r="H181" s="179">
        <f>H182+H183</f>
        <v>0</v>
      </c>
      <c r="I181" s="47">
        <f>I182+I183</f>
        <v>0</v>
      </c>
      <c r="J181" s="297">
        <f t="shared" ref="J181:J183" si="87">K181+N181</f>
        <v>937148.66</v>
      </c>
      <c r="K181" s="47">
        <f>K182+K183</f>
        <v>0</v>
      </c>
      <c r="L181" s="179">
        <f>L182+L183</f>
        <v>0</v>
      </c>
      <c r="M181" s="179">
        <f>M182+M183</f>
        <v>0</v>
      </c>
      <c r="N181" s="268">
        <f>N182+N183</f>
        <v>937148.66</v>
      </c>
      <c r="O181" s="47">
        <f>O182+O183</f>
        <v>0</v>
      </c>
      <c r="P181" s="297">
        <f t="shared" ref="P181:P183" si="88">E181+J181</f>
        <v>937148.66</v>
      </c>
    </row>
    <row r="182" spans="1:18" ht="137.25" x14ac:dyDescent="0.2">
      <c r="A182" s="271" t="s">
        <v>586</v>
      </c>
      <c r="B182" s="271" t="s">
        <v>587</v>
      </c>
      <c r="C182" s="271" t="s">
        <v>119</v>
      </c>
      <c r="D182" s="271" t="s">
        <v>120</v>
      </c>
      <c r="E182" s="190">
        <f t="shared" si="86"/>
        <v>0</v>
      </c>
      <c r="F182" s="190"/>
      <c r="G182" s="190"/>
      <c r="H182" s="190"/>
      <c r="I182" s="190"/>
      <c r="J182" s="190">
        <f t="shared" si="87"/>
        <v>629148.66</v>
      </c>
      <c r="K182" s="190"/>
      <c r="L182" s="190"/>
      <c r="M182" s="190"/>
      <c r="N182" s="190">
        <f>(O182+276000)+68148.66+285000</f>
        <v>629148.66</v>
      </c>
      <c r="O182" s="239"/>
      <c r="P182" s="190">
        <f t="shared" si="88"/>
        <v>629148.66</v>
      </c>
    </row>
    <row r="183" spans="1:18" ht="46.5" x14ac:dyDescent="0.2">
      <c r="A183" s="271" t="s">
        <v>588</v>
      </c>
      <c r="B183" s="271" t="s">
        <v>589</v>
      </c>
      <c r="C183" s="271" t="s">
        <v>121</v>
      </c>
      <c r="D183" s="271" t="s">
        <v>590</v>
      </c>
      <c r="E183" s="190">
        <f t="shared" si="86"/>
        <v>0</v>
      </c>
      <c r="F183" s="190"/>
      <c r="G183" s="190"/>
      <c r="H183" s="190"/>
      <c r="I183" s="190"/>
      <c r="J183" s="190">
        <f t="shared" si="87"/>
        <v>308000</v>
      </c>
      <c r="K183" s="190"/>
      <c r="L183" s="190"/>
      <c r="M183" s="190"/>
      <c r="N183" s="190">
        <f>(O183+70000)+238000</f>
        <v>308000</v>
      </c>
      <c r="O183" s="190"/>
      <c r="P183" s="190">
        <f t="shared" si="88"/>
        <v>308000</v>
      </c>
    </row>
    <row r="184" spans="1:18" ht="91.5" x14ac:dyDescent="0.2">
      <c r="A184" s="270" t="s">
        <v>591</v>
      </c>
      <c r="B184" s="270" t="s">
        <v>592</v>
      </c>
      <c r="C184" s="270" t="s">
        <v>123</v>
      </c>
      <c r="D184" s="270" t="s">
        <v>130</v>
      </c>
      <c r="E184" s="297">
        <v>0</v>
      </c>
      <c r="F184" s="190"/>
      <c r="G184" s="239"/>
      <c r="H184" s="239"/>
      <c r="I184" s="190"/>
      <c r="J184" s="297">
        <f>K184+N184</f>
        <v>125000</v>
      </c>
      <c r="K184" s="190"/>
      <c r="L184" s="239"/>
      <c r="M184" s="239"/>
      <c r="N184" s="268">
        <f>(O184+40000)+85000</f>
        <v>125000</v>
      </c>
      <c r="O184" s="239"/>
      <c r="P184" s="297">
        <f>E184+J184</f>
        <v>125000</v>
      </c>
    </row>
    <row r="185" spans="1:18" ht="137.25" x14ac:dyDescent="0.2">
      <c r="A185" s="270" t="s">
        <v>593</v>
      </c>
      <c r="B185" s="270" t="s">
        <v>594</v>
      </c>
      <c r="C185" s="270" t="s">
        <v>122</v>
      </c>
      <c r="D185" s="270" t="s">
        <v>595</v>
      </c>
      <c r="E185" s="297">
        <v>0</v>
      </c>
      <c r="F185" s="190"/>
      <c r="G185" s="239"/>
      <c r="H185" s="239"/>
      <c r="I185" s="190"/>
      <c r="J185" s="297">
        <f>K185+N185</f>
        <v>209000</v>
      </c>
      <c r="K185" s="190"/>
      <c r="L185" s="239"/>
      <c r="M185" s="239"/>
      <c r="N185" s="268">
        <f>(O185+179000)+30000</f>
        <v>209000</v>
      </c>
      <c r="O185" s="239"/>
      <c r="P185" s="297">
        <f>E185+J185</f>
        <v>209000</v>
      </c>
    </row>
    <row r="186" spans="1:18" ht="315" x14ac:dyDescent="0.2">
      <c r="A186" s="433" t="s">
        <v>316</v>
      </c>
      <c r="B186" s="433"/>
      <c r="C186" s="433"/>
      <c r="D186" s="433" t="s">
        <v>766</v>
      </c>
      <c r="E186" s="440">
        <f>E187</f>
        <v>0</v>
      </c>
      <c r="F186" s="440">
        <f t="shared" ref="F186:P186" si="89">F187</f>
        <v>0</v>
      </c>
      <c r="G186" s="440">
        <f t="shared" si="89"/>
        <v>0</v>
      </c>
      <c r="H186" s="440">
        <f t="shared" si="89"/>
        <v>0</v>
      </c>
      <c r="I186" s="440">
        <f t="shared" si="89"/>
        <v>0</v>
      </c>
      <c r="J186" s="440">
        <f t="shared" si="89"/>
        <v>1705000</v>
      </c>
      <c r="K186" s="440">
        <f t="shared" si="89"/>
        <v>0</v>
      </c>
      <c r="L186" s="440">
        <f t="shared" si="89"/>
        <v>0</v>
      </c>
      <c r="M186" s="440">
        <f t="shared" si="89"/>
        <v>0</v>
      </c>
      <c r="N186" s="440">
        <f t="shared" si="89"/>
        <v>1705000</v>
      </c>
      <c r="O186" s="439">
        <f t="shared" si="89"/>
        <v>1705000</v>
      </c>
      <c r="P186" s="440">
        <f t="shared" si="89"/>
        <v>1705000</v>
      </c>
    </row>
    <row r="187" spans="1:18" ht="315" x14ac:dyDescent="0.2">
      <c r="A187" s="437" t="s">
        <v>317</v>
      </c>
      <c r="B187" s="437"/>
      <c r="C187" s="437"/>
      <c r="D187" s="437" t="s">
        <v>767</v>
      </c>
      <c r="E187" s="439">
        <f>E188+E189</f>
        <v>0</v>
      </c>
      <c r="F187" s="440">
        <f>F188+F189</f>
        <v>0</v>
      </c>
      <c r="G187" s="439">
        <f>G188+G189</f>
        <v>0</v>
      </c>
      <c r="H187" s="439">
        <f>H188+H189</f>
        <v>0</v>
      </c>
      <c r="I187" s="440">
        <f>I188+I189</f>
        <v>0</v>
      </c>
      <c r="J187" s="439">
        <f>K187+N187</f>
        <v>1705000</v>
      </c>
      <c r="K187" s="440">
        <f>K188+K189</f>
        <v>0</v>
      </c>
      <c r="L187" s="439">
        <f>L188+L189</f>
        <v>0</v>
      </c>
      <c r="M187" s="439">
        <f>M188+M189</f>
        <v>0</v>
      </c>
      <c r="N187" s="440">
        <f>O187</f>
        <v>1705000</v>
      </c>
      <c r="O187" s="439">
        <f>O188+O189</f>
        <v>1705000</v>
      </c>
      <c r="P187" s="439">
        <f>+J187+E187</f>
        <v>1705000</v>
      </c>
      <c r="Q187" s="311" t="b">
        <f>P187=P188+P189</f>
        <v>1</v>
      </c>
      <c r="R187" s="325" t="b">
        <f>P187='dod5'!J253</f>
        <v>0</v>
      </c>
    </row>
    <row r="188" spans="1:18" ht="91.5" x14ac:dyDescent="0.2">
      <c r="A188" s="270" t="s">
        <v>577</v>
      </c>
      <c r="B188" s="270" t="s">
        <v>578</v>
      </c>
      <c r="C188" s="270" t="s">
        <v>579</v>
      </c>
      <c r="D188" s="270" t="s">
        <v>576</v>
      </c>
      <c r="E188" s="297">
        <f>F188</f>
        <v>0</v>
      </c>
      <c r="F188" s="190">
        <v>0</v>
      </c>
      <c r="G188" s="239"/>
      <c r="H188" s="239"/>
      <c r="I188" s="190"/>
      <c r="J188" s="297">
        <f>K188+N188</f>
        <v>1653000</v>
      </c>
      <c r="K188" s="190"/>
      <c r="L188" s="239"/>
      <c r="M188" s="239"/>
      <c r="N188" s="190">
        <f>O188</f>
        <v>1653000</v>
      </c>
      <c r="O188" s="239">
        <f>(300000)-52000+1405000</f>
        <v>1653000</v>
      </c>
      <c r="P188" s="297">
        <f>E188+J188</f>
        <v>1653000</v>
      </c>
    </row>
    <row r="189" spans="1:18" ht="137.25" x14ac:dyDescent="0.2">
      <c r="A189" s="270" t="s">
        <v>839</v>
      </c>
      <c r="B189" s="270" t="s">
        <v>840</v>
      </c>
      <c r="C189" s="270" t="s">
        <v>324</v>
      </c>
      <c r="D189" s="270" t="s">
        <v>841</v>
      </c>
      <c r="E189" s="297">
        <f>F189</f>
        <v>0</v>
      </c>
      <c r="F189" s="190">
        <v>0</v>
      </c>
      <c r="G189" s="239"/>
      <c r="H189" s="239"/>
      <c r="I189" s="190"/>
      <c r="J189" s="297">
        <f>K189+N189</f>
        <v>52000</v>
      </c>
      <c r="K189" s="190"/>
      <c r="L189" s="239"/>
      <c r="M189" s="239"/>
      <c r="N189" s="190">
        <f>O189</f>
        <v>52000</v>
      </c>
      <c r="O189" s="239">
        <v>52000</v>
      </c>
      <c r="P189" s="297">
        <f>E189+J189</f>
        <v>52000</v>
      </c>
    </row>
    <row r="190" spans="1:18" ht="135" x14ac:dyDescent="0.2">
      <c r="A190" s="433" t="s">
        <v>322</v>
      </c>
      <c r="B190" s="433"/>
      <c r="C190" s="433"/>
      <c r="D190" s="433" t="s">
        <v>74</v>
      </c>
      <c r="E190" s="440">
        <f>E191</f>
        <v>30259414.259999998</v>
      </c>
      <c r="F190" s="440">
        <f t="shared" ref="F190:P190" si="90">F191</f>
        <v>30259414.259999998</v>
      </c>
      <c r="G190" s="440">
        <f t="shared" si="90"/>
        <v>0</v>
      </c>
      <c r="H190" s="440">
        <f t="shared" si="90"/>
        <v>0</v>
      </c>
      <c r="I190" s="440">
        <f t="shared" si="90"/>
        <v>0</v>
      </c>
      <c r="J190" s="440">
        <f t="shared" si="90"/>
        <v>0</v>
      </c>
      <c r="K190" s="440">
        <f t="shared" si="90"/>
        <v>0</v>
      </c>
      <c r="L190" s="440">
        <f t="shared" si="90"/>
        <v>0</v>
      </c>
      <c r="M190" s="440">
        <f t="shared" si="90"/>
        <v>0</v>
      </c>
      <c r="N190" s="440">
        <f t="shared" si="90"/>
        <v>0</v>
      </c>
      <c r="O190" s="439">
        <f t="shared" si="90"/>
        <v>0</v>
      </c>
      <c r="P190" s="440">
        <f t="shared" si="90"/>
        <v>30259414.259999998</v>
      </c>
    </row>
    <row r="191" spans="1:18" ht="135" x14ac:dyDescent="0.2">
      <c r="A191" s="437" t="s">
        <v>323</v>
      </c>
      <c r="B191" s="437"/>
      <c r="C191" s="437"/>
      <c r="D191" s="437" t="s">
        <v>98</v>
      </c>
      <c r="E191" s="439">
        <f>E193+E192+E194</f>
        <v>30259414.259999998</v>
      </c>
      <c r="F191" s="440">
        <f>F193+F192+F194</f>
        <v>30259414.259999998</v>
      </c>
      <c r="G191" s="439">
        <f>SUM(G192:G194)</f>
        <v>0</v>
      </c>
      <c r="H191" s="439">
        <f>SUM(H192:H194)</f>
        <v>0</v>
      </c>
      <c r="I191" s="440">
        <v>0</v>
      </c>
      <c r="J191" s="439">
        <f>K191+N191</f>
        <v>0</v>
      </c>
      <c r="K191" s="440">
        <f>SUM(K192:K192)</f>
        <v>0</v>
      </c>
      <c r="L191" s="439">
        <f>SUM(L192:L194)</f>
        <v>0</v>
      </c>
      <c r="M191" s="439">
        <f>SUM(M192:M194)</f>
        <v>0</v>
      </c>
      <c r="N191" s="440">
        <f>SUM(N192:N192)</f>
        <v>0</v>
      </c>
      <c r="O191" s="439">
        <f>SUM(O192:O192)</f>
        <v>0</v>
      </c>
      <c r="P191" s="439">
        <f>E191+J191</f>
        <v>30259414.259999998</v>
      </c>
      <c r="Q191" s="311" t="b">
        <f>P191=P192+P193+P194</f>
        <v>1</v>
      </c>
      <c r="R191" s="325"/>
    </row>
    <row r="192" spans="1:18" ht="91.5" x14ac:dyDescent="0.2">
      <c r="A192" s="335">
        <v>3718600</v>
      </c>
      <c r="B192" s="335">
        <v>8600</v>
      </c>
      <c r="C192" s="270" t="s">
        <v>781</v>
      </c>
      <c r="D192" s="335" t="s">
        <v>782</v>
      </c>
      <c r="E192" s="297">
        <f>F192</f>
        <v>281515.26</v>
      </c>
      <c r="F192" s="190">
        <v>281515.26</v>
      </c>
      <c r="G192" s="239"/>
      <c r="H192" s="239"/>
      <c r="I192" s="190"/>
      <c r="J192" s="297">
        <f t="shared" ref="J192" si="91">K192+N192</f>
        <v>0</v>
      </c>
      <c r="K192" s="190"/>
      <c r="L192" s="239"/>
      <c r="M192" s="239"/>
      <c r="N192" s="190"/>
      <c r="O192" s="239"/>
      <c r="P192" s="297">
        <f>E192+J192</f>
        <v>281515.26</v>
      </c>
    </row>
    <row r="193" spans="1:17" ht="69" customHeight="1" x14ac:dyDescent="0.2">
      <c r="A193" s="335">
        <v>3718700</v>
      </c>
      <c r="B193" s="335">
        <v>8700</v>
      </c>
      <c r="C193" s="270" t="s">
        <v>102</v>
      </c>
      <c r="D193" s="309" t="s">
        <v>100</v>
      </c>
      <c r="E193" s="297">
        <f>F193</f>
        <v>1870999</v>
      </c>
      <c r="F193" s="190">
        <f>(3000000+1200000+1500000-700000-1969600-1109401)-50000</f>
        <v>1870999</v>
      </c>
      <c r="G193" s="239"/>
      <c r="H193" s="239"/>
      <c r="I193" s="190"/>
      <c r="J193" s="297">
        <f>K193+N193</f>
        <v>0</v>
      </c>
      <c r="K193" s="190"/>
      <c r="L193" s="239"/>
      <c r="M193" s="239"/>
      <c r="N193" s="190"/>
      <c r="O193" s="239"/>
      <c r="P193" s="297">
        <f>E193+J193</f>
        <v>1870999</v>
      </c>
    </row>
    <row r="194" spans="1:17" ht="65.25" customHeight="1" x14ac:dyDescent="0.2">
      <c r="A194" s="335">
        <v>3719110</v>
      </c>
      <c r="B194" s="335">
        <v>9110</v>
      </c>
      <c r="C194" s="270" t="s">
        <v>103</v>
      </c>
      <c r="D194" s="309" t="s">
        <v>101</v>
      </c>
      <c r="E194" s="297">
        <f>F194</f>
        <v>28106900</v>
      </c>
      <c r="F194" s="190">
        <v>28106900</v>
      </c>
      <c r="G194" s="239"/>
      <c r="H194" s="239"/>
      <c r="I194" s="190"/>
      <c r="J194" s="297">
        <f>K194+N194</f>
        <v>0</v>
      </c>
      <c r="K194" s="190"/>
      <c r="L194" s="239"/>
      <c r="M194" s="239"/>
      <c r="N194" s="190"/>
      <c r="O194" s="239"/>
      <c r="P194" s="297">
        <f>E194+J194</f>
        <v>28106900</v>
      </c>
    </row>
    <row r="195" spans="1:17" s="5" customFormat="1" ht="81.75" customHeight="1" x14ac:dyDescent="0.55000000000000004">
      <c r="A195" s="731" t="s">
        <v>8</v>
      </c>
      <c r="B195" s="731"/>
      <c r="C195" s="731"/>
      <c r="D195" s="731"/>
      <c r="E195" s="249">
        <f>E13+E30+E122+E43+E58+E110+E144+E163+E170+E191+E173+E180+E187</f>
        <v>2665201319.2600002</v>
      </c>
      <c r="F195" s="250">
        <f>F13+F30+F122+F43+F57+F110+F144+F163+F170+F191+F173+F180+F187</f>
        <v>2665201319.2600002</v>
      </c>
      <c r="G195" s="249">
        <f t="shared" ref="G195:O195" si="92">G13+G30+G122+G43+G58+G110+G144+G163+G170+G191+G173+G180+G187</f>
        <v>736786598</v>
      </c>
      <c r="H195" s="249">
        <f t="shared" si="92"/>
        <v>97545265</v>
      </c>
      <c r="I195" s="250">
        <f t="shared" si="92"/>
        <v>0</v>
      </c>
      <c r="J195" s="249">
        <f t="shared" si="92"/>
        <v>583591157.31999993</v>
      </c>
      <c r="K195" s="250">
        <f t="shared" si="92"/>
        <v>114652727.62</v>
      </c>
      <c r="L195" s="249">
        <f t="shared" si="92"/>
        <v>27261672</v>
      </c>
      <c r="M195" s="249">
        <f t="shared" si="92"/>
        <v>7617512</v>
      </c>
      <c r="N195" s="250">
        <f t="shared" si="92"/>
        <v>468938429.69999999</v>
      </c>
      <c r="O195" s="249">
        <f t="shared" si="92"/>
        <v>464828657.94999999</v>
      </c>
      <c r="P195" s="249">
        <f>P13+P30+P122+P43+P57+P110+P144+P163+P170+P191+P173+P180+P187</f>
        <v>3248792476.5799999</v>
      </c>
      <c r="Q195" s="182" t="b">
        <f>O195='dod5'!J260</f>
        <v>0</v>
      </c>
    </row>
    <row r="196" spans="1:17" ht="31.5" customHeight="1" x14ac:dyDescent="0.2">
      <c r="A196" s="732" t="s">
        <v>574</v>
      </c>
      <c r="B196" s="733"/>
      <c r="C196" s="733"/>
      <c r="D196" s="733"/>
      <c r="E196" s="733"/>
      <c r="F196" s="733"/>
      <c r="G196" s="733"/>
      <c r="H196" s="733"/>
      <c r="I196" s="733"/>
      <c r="J196" s="733"/>
      <c r="K196" s="733"/>
      <c r="L196" s="733"/>
      <c r="M196" s="733"/>
      <c r="N196" s="733"/>
      <c r="O196" s="733"/>
      <c r="P196" s="733"/>
      <c r="Q196" s="24"/>
    </row>
    <row r="197" spans="1:17" ht="31.5" customHeight="1" x14ac:dyDescent="0.2">
      <c r="A197" s="198"/>
      <c r="B197" s="199"/>
      <c r="C197" s="199"/>
      <c r="D197" s="199"/>
      <c r="E197" s="199"/>
      <c r="F197" s="200"/>
      <c r="G197" s="199"/>
      <c r="H197" s="199"/>
      <c r="I197" s="200"/>
      <c r="J197" s="199"/>
      <c r="K197" s="200"/>
      <c r="L197" s="199"/>
      <c r="M197" s="199"/>
      <c r="N197" s="200"/>
      <c r="O197" s="199"/>
      <c r="P197" s="199"/>
      <c r="Q197" s="24"/>
    </row>
    <row r="198" spans="1:17" ht="61.5" customHeight="1" x14ac:dyDescent="0.65">
      <c r="A198" s="295"/>
      <c r="B198" s="295"/>
      <c r="C198" s="295"/>
      <c r="D198" s="734" t="s">
        <v>290</v>
      </c>
      <c r="E198" s="734"/>
      <c r="F198" s="734"/>
      <c r="G198" s="734"/>
      <c r="H198" s="734"/>
      <c r="I198" s="734"/>
      <c r="J198" s="734"/>
      <c r="K198" s="734"/>
      <c r="L198" s="734"/>
      <c r="M198" s="734"/>
      <c r="N198" s="734"/>
      <c r="O198" s="734"/>
      <c r="P198" s="734"/>
      <c r="Q198" s="25"/>
    </row>
    <row r="199" spans="1:17" ht="45.75" x14ac:dyDescent="0.2">
      <c r="E199" s="57"/>
      <c r="F199" s="12"/>
      <c r="J199" s="10"/>
      <c r="N199" s="52"/>
      <c r="O199" s="56"/>
      <c r="P199" s="48"/>
    </row>
    <row r="200" spans="1:17" ht="45" x14ac:dyDescent="0.55000000000000004">
      <c r="D200" s="7"/>
      <c r="E200" s="51"/>
      <c r="F200" s="230"/>
      <c r="H200" s="7"/>
      <c r="I200" s="205"/>
      <c r="J200" s="51"/>
      <c r="N200" s="205"/>
      <c r="O200" s="51"/>
      <c r="P200" s="51"/>
      <c r="Q200" s="26"/>
    </row>
    <row r="201" spans="1:17" x14ac:dyDescent="0.2">
      <c r="E201" s="8"/>
      <c r="F201" s="12"/>
      <c r="J201" s="8"/>
      <c r="O201" s="6"/>
    </row>
    <row r="202" spans="1:17" x14ac:dyDescent="0.2">
      <c r="E202" s="8"/>
      <c r="F202" s="12"/>
      <c r="J202" s="8"/>
    </row>
    <row r="203" spans="1:17" ht="45.75" x14ac:dyDescent="0.55000000000000004">
      <c r="E203" s="48"/>
      <c r="F203" s="50"/>
      <c r="G203" s="6"/>
      <c r="I203" s="202"/>
      <c r="J203" s="187"/>
      <c r="K203" s="202"/>
      <c r="L203" s="186"/>
      <c r="M203" s="186"/>
      <c r="N203" s="206"/>
      <c r="O203" s="188"/>
      <c r="P203" s="182" t="b">
        <f>E195+J195=P195</f>
        <v>1</v>
      </c>
    </row>
    <row r="204" spans="1:17" ht="13.5" x14ac:dyDescent="0.2">
      <c r="E204" s="11"/>
      <c r="F204" s="14"/>
      <c r="G204" s="4"/>
      <c r="H204" s="4"/>
      <c r="I204" s="4"/>
      <c r="J204" s="8"/>
    </row>
    <row r="205" spans="1:17" ht="45.75" x14ac:dyDescent="0.2">
      <c r="A205"/>
      <c r="B205"/>
      <c r="C205"/>
      <c r="D205" s="266" t="s">
        <v>943</v>
      </c>
      <c r="E205" s="267" t="b">
        <f>E195=F195</f>
        <v>1</v>
      </c>
      <c r="F205" s="52">
        <f>F193/P195*100</f>
        <v>5.759059753701469E-2</v>
      </c>
      <c r="G205" s="218" t="s">
        <v>650</v>
      </c>
      <c r="I205" s="266"/>
      <c r="J205" s="267"/>
      <c r="K205" s="203"/>
      <c r="L205"/>
      <c r="M205"/>
      <c r="N205" s="203"/>
      <c r="O205"/>
      <c r="P205"/>
    </row>
    <row r="206" spans="1:17" ht="60.75" x14ac:dyDescent="0.2">
      <c r="D206" s="266" t="s">
        <v>944</v>
      </c>
      <c r="E206" s="267" t="b">
        <f>G195=839900+735946698</f>
        <v>1</v>
      </c>
      <c r="G206" s="55"/>
      <c r="I206" s="266" t="s">
        <v>944</v>
      </c>
      <c r="J206" s="267" t="b">
        <f>L195=0+27261672</f>
        <v>1</v>
      </c>
      <c r="P206" s="196"/>
      <c r="Q206" s="197"/>
    </row>
    <row r="207" spans="1:17" ht="60.75" x14ac:dyDescent="0.2">
      <c r="A207"/>
      <c r="B207"/>
      <c r="C207"/>
      <c r="D207" s="266" t="s">
        <v>945</v>
      </c>
      <c r="E207" s="267" t="b">
        <f>H195=97533765+11500</f>
        <v>1</v>
      </c>
      <c r="F207" s="52"/>
      <c r="G207" s="6"/>
      <c r="I207" s="266" t="s">
        <v>945</v>
      </c>
      <c r="J207" s="267" t="b">
        <f>M195=0+7617512</f>
        <v>1</v>
      </c>
      <c r="K207" s="203"/>
      <c r="L207"/>
      <c r="M207"/>
      <c r="N207" s="203"/>
      <c r="O207"/>
      <c r="P207" s="196"/>
      <c r="Q207" s="197"/>
    </row>
    <row r="208" spans="1:17" ht="60.75" x14ac:dyDescent="0.2">
      <c r="D208" s="266"/>
      <c r="E208" s="267"/>
      <c r="F208" s="54"/>
      <c r="P208" s="196"/>
    </row>
    <row r="209" spans="1:16" ht="60.75" x14ac:dyDescent="0.2">
      <c r="A209"/>
      <c r="B209"/>
      <c r="C209"/>
      <c r="D209" s="266"/>
      <c r="E209" s="267"/>
      <c r="F209" s="52"/>
      <c r="G209" s="6"/>
      <c r="J209" s="8"/>
      <c r="K209" s="203"/>
      <c r="L209"/>
      <c r="M209"/>
      <c r="N209" s="203"/>
      <c r="O209"/>
      <c r="P209" s="196"/>
    </row>
    <row r="210" spans="1:16" ht="45.75" x14ac:dyDescent="0.2">
      <c r="A210"/>
      <c r="B210"/>
      <c r="C210"/>
      <c r="D210"/>
      <c r="E210" s="51"/>
      <c r="F210" s="52"/>
      <c r="J210" s="8"/>
      <c r="K210" s="203"/>
      <c r="L210"/>
      <c r="M210"/>
      <c r="N210" s="203"/>
      <c r="O210"/>
      <c r="P210"/>
    </row>
    <row r="211" spans="1:16" ht="45.75" x14ac:dyDescent="0.2">
      <c r="E211" s="53"/>
      <c r="F211" s="54"/>
    </row>
    <row r="212" spans="1:16" ht="45.75" x14ac:dyDescent="0.2">
      <c r="A212"/>
      <c r="B212"/>
      <c r="C212"/>
      <c r="D212"/>
      <c r="E212" s="51"/>
      <c r="F212" s="52"/>
      <c r="K212" s="203"/>
      <c r="L212"/>
      <c r="M212"/>
      <c r="N212" s="203"/>
      <c r="O212"/>
      <c r="P212"/>
    </row>
    <row r="213" spans="1:16" ht="45.75" x14ac:dyDescent="0.2">
      <c r="E213" s="53"/>
      <c r="F213" s="54"/>
    </row>
    <row r="214" spans="1:16" ht="45.75" x14ac:dyDescent="0.2">
      <c r="E214" s="53"/>
      <c r="F214" s="54"/>
    </row>
    <row r="215" spans="1:16" ht="45.75" x14ac:dyDescent="0.2">
      <c r="E215" s="53"/>
      <c r="F215" s="54"/>
    </row>
    <row r="216" spans="1:16" ht="45.75" x14ac:dyDescent="0.2">
      <c r="A216"/>
      <c r="B216"/>
      <c r="C216"/>
      <c r="D216"/>
      <c r="E216" s="53"/>
      <c r="F216" s="54"/>
      <c r="G216"/>
      <c r="H216"/>
      <c r="I216" s="203"/>
      <c r="J216"/>
      <c r="K216" s="203"/>
      <c r="L216"/>
      <c r="M216"/>
      <c r="N216" s="203"/>
      <c r="O216"/>
      <c r="P216"/>
    </row>
    <row r="217" spans="1:16" ht="45.75" x14ac:dyDescent="0.2">
      <c r="A217"/>
      <c r="B217"/>
      <c r="C217"/>
      <c r="D217"/>
      <c r="E217" s="53"/>
      <c r="F217" s="54"/>
      <c r="G217"/>
      <c r="H217"/>
      <c r="I217" s="203"/>
      <c r="J217"/>
      <c r="K217" s="203"/>
      <c r="L217"/>
      <c r="M217"/>
      <c r="N217" s="203"/>
      <c r="O217"/>
      <c r="P217"/>
    </row>
    <row r="218" spans="1:16" ht="45.75" x14ac:dyDescent="0.2">
      <c r="A218"/>
      <c r="B218"/>
      <c r="C218"/>
      <c r="D218"/>
      <c r="E218" s="53"/>
      <c r="F218" s="54"/>
      <c r="G218"/>
      <c r="H218"/>
      <c r="I218" s="203"/>
      <c r="J218"/>
      <c r="K218" s="203"/>
      <c r="L218"/>
      <c r="M218"/>
      <c r="N218" s="203"/>
      <c r="O218"/>
      <c r="P218"/>
    </row>
    <row r="219" spans="1:16" ht="45.75" x14ac:dyDescent="0.2">
      <c r="A219"/>
      <c r="B219"/>
      <c r="C219"/>
      <c r="D219"/>
      <c r="E219" s="53"/>
      <c r="F219" s="54"/>
      <c r="G219"/>
      <c r="H219"/>
      <c r="I219" s="203"/>
      <c r="J219"/>
      <c r="K219" s="203"/>
      <c r="L219"/>
      <c r="M219"/>
      <c r="N219" s="203"/>
      <c r="O219"/>
      <c r="P219"/>
    </row>
  </sheetData>
  <mergeCells count="83">
    <mergeCell ref="A195:D195"/>
    <mergeCell ref="A196:P196"/>
    <mergeCell ref="D198:P198"/>
    <mergeCell ref="K102:K103"/>
    <mergeCell ref="L102:L103"/>
    <mergeCell ref="M102:M103"/>
    <mergeCell ref="N102:N103"/>
    <mergeCell ref="O102:O103"/>
    <mergeCell ref="P102:P103"/>
    <mergeCell ref="P99:P101"/>
    <mergeCell ref="A102:A103"/>
    <mergeCell ref="B102:B103"/>
    <mergeCell ref="C102:C103"/>
    <mergeCell ref="E102:E103"/>
    <mergeCell ref="F102:F103"/>
    <mergeCell ref="G102:G103"/>
    <mergeCell ref="H102:H103"/>
    <mergeCell ref="I102:I103"/>
    <mergeCell ref="J102:J103"/>
    <mergeCell ref="J99:J101"/>
    <mergeCell ref="K99:K101"/>
    <mergeCell ref="L99:L101"/>
    <mergeCell ref="M99:M101"/>
    <mergeCell ref="N99:N101"/>
    <mergeCell ref="O99:O101"/>
    <mergeCell ref="O80:O81"/>
    <mergeCell ref="P80:P81"/>
    <mergeCell ref="A99:A101"/>
    <mergeCell ref="B99:B101"/>
    <mergeCell ref="C99:C101"/>
    <mergeCell ref="E99:E101"/>
    <mergeCell ref="F99:F101"/>
    <mergeCell ref="G99:G101"/>
    <mergeCell ref="H99:H101"/>
    <mergeCell ref="I99:I101"/>
    <mergeCell ref="I80:I81"/>
    <mergeCell ref="J80:J81"/>
    <mergeCell ref="K80:K81"/>
    <mergeCell ref="L80:L81"/>
    <mergeCell ref="M80:M81"/>
    <mergeCell ref="N80:N81"/>
    <mergeCell ref="G80:G81"/>
    <mergeCell ref="H80:H81"/>
    <mergeCell ref="H24:H25"/>
    <mergeCell ref="I24:I25"/>
    <mergeCell ref="J24:J25"/>
    <mergeCell ref="G24:G25"/>
    <mergeCell ref="A80:A81"/>
    <mergeCell ref="B80:B81"/>
    <mergeCell ref="C80:C81"/>
    <mergeCell ref="E80:E81"/>
    <mergeCell ref="F80:F81"/>
    <mergeCell ref="A24:A25"/>
    <mergeCell ref="B24:B25"/>
    <mergeCell ref="C24:C25"/>
    <mergeCell ref="E24:E25"/>
    <mergeCell ref="F24:F25"/>
    <mergeCell ref="J8:N8"/>
    <mergeCell ref="P8:P10"/>
    <mergeCell ref="E9:E10"/>
    <mergeCell ref="F9:F10"/>
    <mergeCell ref="G9:H9"/>
    <mergeCell ref="I9:I10"/>
    <mergeCell ref="J9:J10"/>
    <mergeCell ref="K9:K10"/>
    <mergeCell ref="L9:M9"/>
    <mergeCell ref="N9:N10"/>
    <mergeCell ref="N24:N25"/>
    <mergeCell ref="O24:O25"/>
    <mergeCell ref="P24:P25"/>
    <mergeCell ref="K24:K25"/>
    <mergeCell ref="L24:L25"/>
    <mergeCell ref="M24:M25"/>
    <mergeCell ref="N1:P1"/>
    <mergeCell ref="N2:P2"/>
    <mergeCell ref="N3:P3"/>
    <mergeCell ref="A5:P5"/>
    <mergeCell ref="A6:P6"/>
    <mergeCell ref="A8:A10"/>
    <mergeCell ref="B8:B10"/>
    <mergeCell ref="C8:C10"/>
    <mergeCell ref="D8:D10"/>
    <mergeCell ref="E8:I8"/>
  </mergeCells>
  <conditionalFormatting sqref="Q170:R170">
    <cfRule type="iconSet" priority="5">
      <iconSet iconSet="3Arrows">
        <cfvo type="percent" val="0"/>
        <cfvo type="percent" val="33"/>
        <cfvo type="percent" val="67"/>
      </iconSet>
    </cfRule>
  </conditionalFormatting>
  <conditionalFormatting sqref="Q173:R173">
    <cfRule type="iconSet" priority="4">
      <iconSet iconSet="3Arrows">
        <cfvo type="percent" val="0"/>
        <cfvo type="percent" val="33"/>
        <cfvo type="percent" val="67"/>
      </iconSet>
    </cfRule>
  </conditionalFormatting>
  <conditionalFormatting sqref="Q180:R180">
    <cfRule type="iconSet" priority="3">
      <iconSet iconSet="3Arrows">
        <cfvo type="percent" val="0"/>
        <cfvo type="percent" val="33"/>
        <cfvo type="percent" val="67"/>
      </iconSet>
    </cfRule>
  </conditionalFormatting>
  <conditionalFormatting sqref="Q191:R191">
    <cfRule type="iconSet" priority="2">
      <iconSet iconSet="3Arrows">
        <cfvo type="percent" val="0"/>
        <cfvo type="percent" val="33"/>
        <cfvo type="percent" val="67"/>
      </iconSet>
    </cfRule>
  </conditionalFormatting>
  <conditionalFormatting sqref="Q187:R187">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8" max="15" man="1"/>
    <brk id="49" max="15" man="1"/>
    <brk id="67" max="15" man="1"/>
    <brk id="86" max="15" man="1"/>
    <brk id="131" max="15" man="1"/>
    <brk id="153"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FF"/>
  </sheetPr>
  <dimension ref="A1:V226"/>
  <sheetViews>
    <sheetView view="pageBreakPreview" zoomScale="25" zoomScaleNormal="25" zoomScaleSheetLayoutView="25" zoomScalePageLayoutView="10" workbookViewId="0">
      <pane ySplit="11" topLeftCell="A27" activePane="bottomLeft" state="frozen"/>
      <selection pane="bottomLeft" activeCell="J14" sqref="J14"/>
    </sheetView>
  </sheetViews>
  <sheetFormatPr defaultRowHeight="12.75" x14ac:dyDescent="0.2"/>
  <cols>
    <col min="1" max="3" width="43.42578125" style="2" customWidth="1"/>
    <col min="4" max="4" width="106.28515625" style="2" customWidth="1"/>
    <col min="5" max="5" width="66.42578125" style="9" customWidth="1"/>
    <col min="6" max="6" width="58.5703125" style="13" customWidth="1"/>
    <col min="7" max="7" width="55.42578125" style="2" customWidth="1"/>
    <col min="8" max="8" width="48.140625" style="2" customWidth="1"/>
    <col min="9" max="9" width="32.7109375" style="13" customWidth="1"/>
    <col min="10" max="10" width="50.5703125" style="9" customWidth="1"/>
    <col min="11" max="11" width="56.140625" style="13" customWidth="1"/>
    <col min="12" max="12" width="54.85546875" style="2" customWidth="1"/>
    <col min="13" max="13" width="44.28515625" style="2" customWidth="1"/>
    <col min="14" max="14" width="54.7109375" style="13" customWidth="1"/>
    <col min="15" max="15" width="55.5703125" style="2" customWidth="1"/>
    <col min="16" max="16" width="70.28515625" style="9" customWidth="1"/>
    <col min="17" max="17" width="31" customWidth="1"/>
    <col min="18" max="18" width="66.42578125" bestFit="1" customWidth="1"/>
    <col min="20" max="20" width="24.7109375" bestFit="1" customWidth="1"/>
  </cols>
  <sheetData>
    <row r="1" spans="1:18" ht="45.75" x14ac:dyDescent="0.2">
      <c r="D1" s="384"/>
      <c r="E1" s="385"/>
      <c r="F1" s="17"/>
      <c r="G1" s="18"/>
      <c r="H1" s="18"/>
      <c r="I1" s="18"/>
      <c r="J1" s="385"/>
      <c r="K1" s="18"/>
      <c r="L1" s="18"/>
      <c r="M1" s="18"/>
      <c r="N1" s="711"/>
      <c r="O1" s="711"/>
      <c r="P1" s="711"/>
    </row>
    <row r="2" spans="1:18" ht="45.75" x14ac:dyDescent="0.2">
      <c r="A2" s="384"/>
      <c r="B2" s="384"/>
      <c r="C2" s="384"/>
      <c r="D2" s="384"/>
      <c r="E2" s="385"/>
      <c r="F2" s="17"/>
      <c r="G2" s="18"/>
      <c r="H2" s="18"/>
      <c r="I2" s="18"/>
      <c r="J2" s="385"/>
      <c r="K2" s="18"/>
      <c r="L2" s="18"/>
      <c r="M2" s="18"/>
      <c r="N2" s="711"/>
      <c r="O2" s="712"/>
      <c r="P2" s="712"/>
    </row>
    <row r="3" spans="1:18" ht="40.5" customHeight="1" x14ac:dyDescent="0.2">
      <c r="A3" s="384"/>
      <c r="B3" s="384"/>
      <c r="C3" s="384"/>
      <c r="D3" s="384"/>
      <c r="E3" s="385"/>
      <c r="F3" s="17"/>
      <c r="G3" s="18"/>
      <c r="H3" s="18"/>
      <c r="I3" s="18"/>
      <c r="J3" s="385"/>
      <c r="K3" s="18"/>
      <c r="L3" s="18"/>
      <c r="M3" s="18"/>
      <c r="N3" s="711"/>
      <c r="O3" s="712"/>
      <c r="P3" s="712"/>
    </row>
    <row r="4" spans="1:18" ht="45.75" hidden="1" x14ac:dyDescent="0.2">
      <c r="A4" s="384"/>
      <c r="B4" s="384"/>
      <c r="C4" s="384"/>
      <c r="D4" s="384"/>
      <c r="E4" s="385"/>
      <c r="F4" s="17"/>
      <c r="G4" s="18"/>
      <c r="H4" s="18"/>
      <c r="I4" s="18"/>
      <c r="J4" s="385"/>
      <c r="K4" s="18"/>
      <c r="L4" s="18"/>
      <c r="M4" s="18"/>
      <c r="N4" s="204"/>
      <c r="O4" s="384"/>
      <c r="P4" s="383"/>
    </row>
    <row r="5" spans="1:18" ht="45" x14ac:dyDescent="0.2">
      <c r="A5" s="713" t="s">
        <v>1023</v>
      </c>
      <c r="B5" s="713"/>
      <c r="C5" s="713"/>
      <c r="D5" s="713"/>
      <c r="E5" s="713"/>
      <c r="F5" s="713"/>
      <c r="G5" s="713"/>
      <c r="H5" s="713"/>
      <c r="I5" s="713"/>
      <c r="J5" s="713"/>
      <c r="K5" s="713"/>
      <c r="L5" s="713"/>
      <c r="M5" s="713"/>
      <c r="N5" s="713"/>
      <c r="O5" s="713"/>
      <c r="P5" s="713"/>
    </row>
    <row r="6" spans="1:18" ht="45" x14ac:dyDescent="0.2">
      <c r="A6" s="713" t="s">
        <v>641</v>
      </c>
      <c r="B6" s="713"/>
      <c r="C6" s="713"/>
      <c r="D6" s="713"/>
      <c r="E6" s="713"/>
      <c r="F6" s="713"/>
      <c r="G6" s="713"/>
      <c r="H6" s="713"/>
      <c r="I6" s="713"/>
      <c r="J6" s="713"/>
      <c r="K6" s="713"/>
      <c r="L6" s="713"/>
      <c r="M6" s="713"/>
      <c r="N6" s="713"/>
      <c r="O6" s="713"/>
      <c r="P6" s="713"/>
    </row>
    <row r="7" spans="1:18" ht="53.25" customHeight="1" x14ac:dyDescent="0.2">
      <c r="A7" s="385"/>
      <c r="B7" s="385"/>
      <c r="C7" s="385"/>
      <c r="D7" s="385"/>
      <c r="E7" s="385"/>
      <c r="F7" s="17"/>
      <c r="G7" s="385"/>
      <c r="H7" s="385"/>
      <c r="I7" s="18"/>
      <c r="J7" s="385"/>
      <c r="K7" s="18"/>
      <c r="L7" s="385"/>
      <c r="M7" s="385"/>
      <c r="N7" s="18"/>
      <c r="O7" s="385"/>
      <c r="P7" s="20" t="s">
        <v>134</v>
      </c>
    </row>
    <row r="8" spans="1:18" ht="62.25" customHeight="1" x14ac:dyDescent="0.2">
      <c r="A8" s="705" t="s">
        <v>41</v>
      </c>
      <c r="B8" s="705" t="s">
        <v>42</v>
      </c>
      <c r="C8" s="709" t="s">
        <v>43</v>
      </c>
      <c r="D8" s="705" t="s">
        <v>45</v>
      </c>
      <c r="E8" s="710" t="s">
        <v>36</v>
      </c>
      <c r="F8" s="710"/>
      <c r="G8" s="710"/>
      <c r="H8" s="710"/>
      <c r="I8" s="710"/>
      <c r="J8" s="710" t="s">
        <v>124</v>
      </c>
      <c r="K8" s="710"/>
      <c r="L8" s="710"/>
      <c r="M8" s="710"/>
      <c r="N8" s="710"/>
      <c r="O8" s="21"/>
      <c r="P8" s="710" t="s">
        <v>35</v>
      </c>
    </row>
    <row r="9" spans="1:18" ht="255" customHeight="1" x14ac:dyDescent="0.2">
      <c r="A9" s="706"/>
      <c r="B9" s="708"/>
      <c r="C9" s="708"/>
      <c r="D9" s="706"/>
      <c r="E9" s="716" t="s">
        <v>7</v>
      </c>
      <c r="F9" s="717" t="s">
        <v>125</v>
      </c>
      <c r="G9" s="716" t="s">
        <v>37</v>
      </c>
      <c r="H9" s="716"/>
      <c r="I9" s="717" t="s">
        <v>127</v>
      </c>
      <c r="J9" s="716" t="s">
        <v>7</v>
      </c>
      <c r="K9" s="717" t="s">
        <v>125</v>
      </c>
      <c r="L9" s="716" t="s">
        <v>37</v>
      </c>
      <c r="M9" s="716"/>
      <c r="N9" s="717" t="s">
        <v>127</v>
      </c>
      <c r="O9" s="381" t="s">
        <v>37</v>
      </c>
      <c r="P9" s="710"/>
    </row>
    <row r="10" spans="1:18" ht="137.25" x14ac:dyDescent="0.2">
      <c r="A10" s="707"/>
      <c r="B10" s="707"/>
      <c r="C10" s="707"/>
      <c r="D10" s="707"/>
      <c r="E10" s="716"/>
      <c r="F10" s="717"/>
      <c r="G10" s="381" t="s">
        <v>126</v>
      </c>
      <c r="H10" s="381" t="s">
        <v>40</v>
      </c>
      <c r="I10" s="717"/>
      <c r="J10" s="716"/>
      <c r="K10" s="717"/>
      <c r="L10" s="381" t="s">
        <v>126</v>
      </c>
      <c r="M10" s="381" t="s">
        <v>40</v>
      </c>
      <c r="N10" s="717"/>
      <c r="O10" s="381" t="s">
        <v>32</v>
      </c>
      <c r="P10" s="710"/>
    </row>
    <row r="11" spans="1:18" s="3" customFormat="1" ht="45.75" x14ac:dyDescent="0.2">
      <c r="A11" s="22" t="s">
        <v>9</v>
      </c>
      <c r="B11" s="22" t="s">
        <v>10</v>
      </c>
      <c r="C11" s="22" t="s">
        <v>39</v>
      </c>
      <c r="D11" s="22" t="s">
        <v>12</v>
      </c>
      <c r="E11" s="23">
        <v>5</v>
      </c>
      <c r="F11" s="382">
        <v>6</v>
      </c>
      <c r="G11" s="23">
        <v>7</v>
      </c>
      <c r="H11" s="23">
        <v>8</v>
      </c>
      <c r="I11" s="201">
        <v>9</v>
      </c>
      <c r="J11" s="23">
        <v>10</v>
      </c>
      <c r="K11" s="201">
        <v>11</v>
      </c>
      <c r="L11" s="23">
        <v>12</v>
      </c>
      <c r="M11" s="23">
        <v>13</v>
      </c>
      <c r="N11" s="201">
        <v>14</v>
      </c>
      <c r="O11" s="23">
        <v>15</v>
      </c>
      <c r="P11" s="23">
        <v>16</v>
      </c>
    </row>
    <row r="12" spans="1:18" s="3" customFormat="1" ht="135" x14ac:dyDescent="0.2">
      <c r="A12" s="277" t="s">
        <v>302</v>
      </c>
      <c r="B12" s="277"/>
      <c r="C12" s="277"/>
      <c r="D12" s="278" t="s">
        <v>304</v>
      </c>
      <c r="E12" s="245">
        <f>E13</f>
        <v>14490150</v>
      </c>
      <c r="F12" s="245">
        <f t="shared" ref="F12:P12" si="0">F13</f>
        <v>14490150</v>
      </c>
      <c r="G12" s="245">
        <f t="shared" si="0"/>
        <v>10307000</v>
      </c>
      <c r="H12" s="245">
        <f t="shared" si="0"/>
        <v>226400</v>
      </c>
      <c r="I12" s="245">
        <f t="shared" si="0"/>
        <v>0</v>
      </c>
      <c r="J12" s="245">
        <f t="shared" si="0"/>
        <v>686559.25</v>
      </c>
      <c r="K12" s="245">
        <f t="shared" si="0"/>
        <v>0</v>
      </c>
      <c r="L12" s="245">
        <f t="shared" si="0"/>
        <v>0</v>
      </c>
      <c r="M12" s="245">
        <f t="shared" si="0"/>
        <v>0</v>
      </c>
      <c r="N12" s="245">
        <f t="shared" si="0"/>
        <v>686559.25</v>
      </c>
      <c r="O12" s="279">
        <f t="shared" si="0"/>
        <v>686559.25</v>
      </c>
      <c r="P12" s="245">
        <f t="shared" si="0"/>
        <v>15176709.25</v>
      </c>
    </row>
    <row r="13" spans="1:18" s="3" customFormat="1" ht="135" x14ac:dyDescent="0.2">
      <c r="A13" s="280" t="s">
        <v>303</v>
      </c>
      <c r="B13" s="280"/>
      <c r="C13" s="280"/>
      <c r="D13" s="281" t="s">
        <v>305</v>
      </c>
      <c r="E13" s="244">
        <f>F13</f>
        <v>14490150</v>
      </c>
      <c r="F13" s="243">
        <f>F14+F15+F26+F20+F27+F16+F22+F21+F29+F17+F28</f>
        <v>14490150</v>
      </c>
      <c r="G13" s="243">
        <f t="shared" ref="G13:H13" si="1">G14+G15+G26+G20+G27+G16+G22+G21+G29+G17</f>
        <v>10307000</v>
      </c>
      <c r="H13" s="243">
        <f t="shared" si="1"/>
        <v>226400</v>
      </c>
      <c r="I13" s="243">
        <v>0</v>
      </c>
      <c r="J13" s="246">
        <f t="shared" ref="J13" si="2">K13+N13</f>
        <v>686559.25</v>
      </c>
      <c r="K13" s="243">
        <f>K14+K15+K26+K20+K27+K16+K23+K21+K29+K17+K18+K28</f>
        <v>0</v>
      </c>
      <c r="L13" s="243">
        <f>L14+L15+L26+L20+L27+L16</f>
        <v>0</v>
      </c>
      <c r="M13" s="243">
        <f>M14+M15+M26+M20+M27+M16</f>
        <v>0</v>
      </c>
      <c r="N13" s="243">
        <f>N14+N15+N26+N20+N27+N16+N23+N21+N29+N18+N28</f>
        <v>686559.25</v>
      </c>
      <c r="O13" s="243">
        <f>O14+O15+O26+O20+O27+O16+O23+O21+O29+O18+O28</f>
        <v>686559.25</v>
      </c>
      <c r="P13" s="244">
        <f>J13+E13</f>
        <v>15176709.25</v>
      </c>
      <c r="Q13" s="240"/>
      <c r="R13" s="240"/>
    </row>
    <row r="14" spans="1:18" ht="320.25" x14ac:dyDescent="0.2">
      <c r="A14" s="387" t="s">
        <v>428</v>
      </c>
      <c r="B14" s="387" t="s">
        <v>429</v>
      </c>
      <c r="C14" s="387" t="s">
        <v>430</v>
      </c>
      <c r="D14" s="387" t="s">
        <v>427</v>
      </c>
      <c r="E14" s="239">
        <f>'dod3'!E14-'dod3 Квітень+Комісії+Сесія'!E14</f>
        <v>5239630</v>
      </c>
      <c r="F14" s="239">
        <f>'dod3'!F14-'dod3 Квітень+Комісії+Сесія'!F14</f>
        <v>5239630</v>
      </c>
      <c r="G14" s="239">
        <f>'dod3'!G14-'dod3 Квітень+Комісії+Сесія'!G14</f>
        <v>4210430</v>
      </c>
      <c r="H14" s="239">
        <f>'dod3'!H14-'dod3 Квітень+Комісії+Сесія'!H14</f>
        <v>12500</v>
      </c>
      <c r="I14" s="239">
        <f>'dod3'!I14-'dod3 Квітень+Комісії+Сесія'!I14</f>
        <v>0</v>
      </c>
      <c r="J14" s="239">
        <f>'dod3'!J14-'dod3 Квітень+Комісії+Сесія'!J14</f>
        <v>-501200</v>
      </c>
      <c r="K14" s="239">
        <f>'dod3'!K14-'dod3 Квітень+Комісії+Сесія'!K14</f>
        <v>0</v>
      </c>
      <c r="L14" s="239">
        <f>'dod3'!L14-'dod3 Квітень+Комісії+Сесія'!L14</f>
        <v>0</v>
      </c>
      <c r="M14" s="239">
        <f>'dod3'!M14-'dod3 Квітень+Комісії+Сесія'!M14</f>
        <v>0</v>
      </c>
      <c r="N14" s="239">
        <f>'dod3'!N14-'dod3 Квітень+Комісії+Сесія'!N14</f>
        <v>-501200</v>
      </c>
      <c r="O14" s="239">
        <f>'dod3'!O14-'dod3 Квітень+Комісії+Сесія'!O14</f>
        <v>-501200</v>
      </c>
      <c r="P14" s="239">
        <f>'dod3'!P14-'dod3 Квітень+Комісії+Сесія'!P14</f>
        <v>4738430</v>
      </c>
    </row>
    <row r="15" spans="1:18" ht="228.75" x14ac:dyDescent="0.2">
      <c r="A15" s="387" t="s">
        <v>432</v>
      </c>
      <c r="B15" s="387" t="s">
        <v>433</v>
      </c>
      <c r="C15" s="387" t="s">
        <v>430</v>
      </c>
      <c r="D15" s="387" t="s">
        <v>431</v>
      </c>
      <c r="E15" s="239">
        <f>'dod3'!E15-'dod3 Квітень+Комісії+Сесія'!E15</f>
        <v>8413470</v>
      </c>
      <c r="F15" s="239">
        <f>'dod3'!F15-'dod3 Квітень+Комісії+Сесія'!F15</f>
        <v>8413470</v>
      </c>
      <c r="G15" s="239">
        <f>'dod3'!G15-'dod3 Квітень+Комісії+Сесія'!G15</f>
        <v>6055570</v>
      </c>
      <c r="H15" s="239">
        <f>'dod3'!H15-'dod3 Квітень+Комісії+Сесія'!H15</f>
        <v>213900</v>
      </c>
      <c r="I15" s="239">
        <f>'dod3'!I15-'dod3 Квітень+Комісії+Сесія'!I15</f>
        <v>0</v>
      </c>
      <c r="J15" s="239">
        <f>'dod3'!J15-'dod3 Квітень+Комісії+Сесія'!J15</f>
        <v>6000</v>
      </c>
      <c r="K15" s="239">
        <f>'dod3'!K15-'dod3 Квітень+Комісії+Сесія'!K15</f>
        <v>0</v>
      </c>
      <c r="L15" s="239">
        <f>'dod3'!L15-'dod3 Квітень+Комісії+Сесія'!L15</f>
        <v>0</v>
      </c>
      <c r="M15" s="239">
        <f>'dod3'!M15-'dod3 Квітень+Комісії+Сесія'!M15</f>
        <v>0</v>
      </c>
      <c r="N15" s="239">
        <f>'dod3'!N15-'dod3 Квітень+Комісії+Сесія'!N15</f>
        <v>6000</v>
      </c>
      <c r="O15" s="239">
        <f>'dod3'!O15-'dod3 Квітень+Комісії+Сесія'!O15</f>
        <v>6000</v>
      </c>
      <c r="P15" s="239">
        <f>'dod3'!P15-'dod3 Квітень+Комісії+Сесія'!P15</f>
        <v>8419470</v>
      </c>
    </row>
    <row r="16" spans="1:18" ht="91.5" x14ac:dyDescent="0.2">
      <c r="A16" s="387" t="s">
        <v>445</v>
      </c>
      <c r="B16" s="387" t="s">
        <v>103</v>
      </c>
      <c r="C16" s="387" t="s">
        <v>102</v>
      </c>
      <c r="D16" s="387" t="s">
        <v>446</v>
      </c>
      <c r="E16" s="239">
        <f>'dod3'!E16-'dod3 Квітень+Комісії+Сесія'!E16</f>
        <v>-88750</v>
      </c>
      <c r="F16" s="239">
        <f>'dod3'!F16-'dod3 Квітень+Комісії+Сесія'!F16</f>
        <v>-88750</v>
      </c>
      <c r="G16" s="239">
        <f>'dod3'!G16-'dod3 Квітень+Комісії+Сесія'!G16</f>
        <v>-150000</v>
      </c>
      <c r="H16" s="239">
        <f>'dod3'!H16-'dod3 Квітень+Комісії+Сесія'!H16</f>
        <v>0</v>
      </c>
      <c r="I16" s="239">
        <f>'dod3'!I16-'dod3 Квітень+Комісії+Сесія'!I16</f>
        <v>0</v>
      </c>
      <c r="J16" s="239">
        <f>'dod3'!J16-'dod3 Квітень+Комісії+Сесія'!J16</f>
        <v>0</v>
      </c>
      <c r="K16" s="239">
        <f>'dod3'!K16-'dod3 Квітень+Комісії+Сесія'!K16</f>
        <v>0</v>
      </c>
      <c r="L16" s="239">
        <f>'dod3'!L16-'dod3 Квітень+Комісії+Сесія'!L16</f>
        <v>0</v>
      </c>
      <c r="M16" s="239">
        <f>'dod3'!M16-'dod3 Квітень+Комісії+Сесія'!M16</f>
        <v>0</v>
      </c>
      <c r="N16" s="239">
        <f>'dod3'!N16-'dod3 Квітень+Комісії+Сесія'!N16</f>
        <v>0</v>
      </c>
      <c r="O16" s="239">
        <f>'dod3'!O16-'dod3 Квітень+Комісії+Сесія'!O16</f>
        <v>0</v>
      </c>
      <c r="P16" s="239">
        <f>'dod3'!P16-'dod3 Квітень+Комісії+Сесія'!P16</f>
        <v>-88750</v>
      </c>
    </row>
    <row r="17" spans="1:18" ht="91.5" x14ac:dyDescent="0.2">
      <c r="A17" s="387" t="s">
        <v>929</v>
      </c>
      <c r="B17" s="387" t="s">
        <v>930</v>
      </c>
      <c r="C17" s="387" t="s">
        <v>931</v>
      </c>
      <c r="D17" s="387" t="s">
        <v>928</v>
      </c>
      <c r="E17" s="239">
        <f>'dod3'!E17-'dod3 Квітень+Комісії+Сесія'!E17</f>
        <v>233000</v>
      </c>
      <c r="F17" s="239">
        <f>'dod3'!F17-'dod3 Квітень+Комісії+Сесія'!F17</f>
        <v>233000</v>
      </c>
      <c r="G17" s="239">
        <f>'dod3'!G17-'dod3 Квітень+Комісії+Сесія'!G17</f>
        <v>191000</v>
      </c>
      <c r="H17" s="239">
        <f>'dod3'!H17-'dod3 Квітень+Комісії+Сесія'!H17</f>
        <v>0</v>
      </c>
      <c r="I17" s="239">
        <f>'dod3'!I17-'dod3 Квітень+Комісії+Сесія'!I17</f>
        <v>0</v>
      </c>
      <c r="J17" s="239">
        <f>'dod3'!J17-'dod3 Квітень+Комісії+Сесія'!J17</f>
        <v>0</v>
      </c>
      <c r="K17" s="239">
        <f>'dod3'!K17-'dod3 Квітень+Комісії+Сесія'!K17</f>
        <v>0</v>
      </c>
      <c r="L17" s="239">
        <f>'dod3'!L17-'dod3 Квітень+Комісії+Сесія'!L17</f>
        <v>0</v>
      </c>
      <c r="M17" s="239">
        <f>'dod3'!M17-'dod3 Квітень+Комісії+Сесія'!M17</f>
        <v>0</v>
      </c>
      <c r="N17" s="239">
        <f>'dod3'!N17-'dod3 Квітень+Комісії+Сесія'!N17</f>
        <v>0</v>
      </c>
      <c r="O17" s="239">
        <f>'dod3'!O17-'dod3 Квітень+Комісії+Сесія'!O17</f>
        <v>0</v>
      </c>
      <c r="P17" s="239">
        <f>'dod3'!P17-'dod3 Квітень+Комісії+Сесія'!P17</f>
        <v>233000</v>
      </c>
    </row>
    <row r="18" spans="1:18" ht="91.5" x14ac:dyDescent="0.2">
      <c r="A18" s="387" t="s">
        <v>942</v>
      </c>
      <c r="B18" s="387" t="s">
        <v>706</v>
      </c>
      <c r="C18" s="387"/>
      <c r="D18" s="387" t="s">
        <v>833</v>
      </c>
      <c r="E18" s="239">
        <f>'dod3'!E18-'dod3 Квітень+Комісії+Сесія'!E18</f>
        <v>0</v>
      </c>
      <c r="F18" s="239">
        <f>'dod3'!F18-'dod3 Квітень+Комісії+Сесія'!F18</f>
        <v>0</v>
      </c>
      <c r="G18" s="239">
        <f>'dod3'!G18-'dod3 Квітень+Комісії+Сесія'!G18</f>
        <v>0</v>
      </c>
      <c r="H18" s="239">
        <f>'dod3'!H18-'dod3 Квітень+Комісії+Сесія'!H18</f>
        <v>0</v>
      </c>
      <c r="I18" s="239">
        <f>'dod3'!I18-'dod3 Квітень+Комісії+Сесія'!I18</f>
        <v>0</v>
      </c>
      <c r="J18" s="239">
        <f>'dod3'!J18-'dod3 Квітень+Комісії+Сесія'!J18</f>
        <v>0</v>
      </c>
      <c r="K18" s="239">
        <f>'dod3'!K18-'dod3 Квітень+Комісії+Сесія'!K18</f>
        <v>0</v>
      </c>
      <c r="L18" s="239">
        <f>'dod3'!L18-'dod3 Квітень+Комісії+Сесія'!L18</f>
        <v>0</v>
      </c>
      <c r="M18" s="239">
        <f>'dod3'!M18-'dod3 Квітень+Комісії+Сесія'!M18</f>
        <v>0</v>
      </c>
      <c r="N18" s="239">
        <f>'dod3'!N18-'dod3 Квітень+Комісії+Сесія'!N18</f>
        <v>0</v>
      </c>
      <c r="O18" s="239">
        <f>'dod3'!O18-'dod3 Квітень+Комісії+Сесія'!O18</f>
        <v>0</v>
      </c>
      <c r="P18" s="239">
        <f>'dod3'!P18-'dod3 Квітень+Комісії+Сесія'!P18</f>
        <v>0</v>
      </c>
    </row>
    <row r="19" spans="1:18" ht="366" x14ac:dyDescent="0.2">
      <c r="A19" s="389" t="s">
        <v>939</v>
      </c>
      <c r="B19" s="389" t="s">
        <v>940</v>
      </c>
      <c r="C19" s="389" t="s">
        <v>708</v>
      </c>
      <c r="D19" s="389" t="s">
        <v>941</v>
      </c>
      <c r="E19" s="239">
        <f>'dod3'!E19-'dod3 Квітень+Комісії+Сесія'!E19</f>
        <v>0</v>
      </c>
      <c r="F19" s="239">
        <f>'dod3'!F19-'dod3 Квітень+Комісії+Сесія'!F19</f>
        <v>0</v>
      </c>
      <c r="G19" s="239">
        <f>'dod3'!G19-'dod3 Квітень+Комісії+Сесія'!G19</f>
        <v>0</v>
      </c>
      <c r="H19" s="239">
        <f>'dod3'!H19-'dod3 Квітень+Комісії+Сесія'!H19</f>
        <v>0</v>
      </c>
      <c r="I19" s="239">
        <f>'dod3'!I19-'dod3 Квітень+Комісії+Сесія'!I19</f>
        <v>0</v>
      </c>
      <c r="J19" s="239">
        <f>'dod3'!J19-'dod3 Квітень+Комісії+Сесія'!J19</f>
        <v>0</v>
      </c>
      <c r="K19" s="239">
        <f>'dod3'!K19-'dod3 Квітень+Комісії+Сесія'!K19</f>
        <v>0</v>
      </c>
      <c r="L19" s="239">
        <f>'dod3'!L19-'dod3 Квітень+Комісії+Сесія'!L19</f>
        <v>0</v>
      </c>
      <c r="M19" s="239">
        <f>'dod3'!M19-'dod3 Квітень+Комісії+Сесія'!M19</f>
        <v>0</v>
      </c>
      <c r="N19" s="239">
        <f>'dod3'!N19-'dod3 Квітень+Комісії+Сесія'!N19</f>
        <v>0</v>
      </c>
      <c r="O19" s="239">
        <f>'dod3'!O19-'dod3 Квітень+Комісії+Сесія'!O19</f>
        <v>0</v>
      </c>
      <c r="P19" s="239">
        <f>'dod3'!P19-'dod3 Квітень+Комісії+Сесія'!P19</f>
        <v>0</v>
      </c>
    </row>
    <row r="20" spans="1:18" ht="91.5" x14ac:dyDescent="0.2">
      <c r="A20" s="387" t="s">
        <v>435</v>
      </c>
      <c r="B20" s="387" t="s">
        <v>436</v>
      </c>
      <c r="C20" s="387" t="s">
        <v>437</v>
      </c>
      <c r="D20" s="387" t="s">
        <v>434</v>
      </c>
      <c r="E20" s="239">
        <f>'dod3'!E20-'dod3 Квітень+Комісії+Сесія'!E20</f>
        <v>0</v>
      </c>
      <c r="F20" s="239">
        <f>'dod3'!F20-'dod3 Квітень+Комісії+Сесія'!F20</f>
        <v>0</v>
      </c>
      <c r="G20" s="239">
        <f>'dod3'!G20-'dod3 Квітень+Комісії+Сесія'!G20</f>
        <v>0</v>
      </c>
      <c r="H20" s="239">
        <f>'dod3'!H20-'dod3 Квітень+Комісії+Сесія'!H20</f>
        <v>0</v>
      </c>
      <c r="I20" s="239">
        <f>'dod3'!I20-'dod3 Квітень+Комісії+Сесія'!I20</f>
        <v>0</v>
      </c>
      <c r="J20" s="239">
        <f>'dod3'!J20-'dod3 Квітень+Комісії+Сесія'!J20</f>
        <v>0</v>
      </c>
      <c r="K20" s="239">
        <f>'dod3'!K20-'dod3 Квітень+Комісії+Сесія'!K20</f>
        <v>0</v>
      </c>
      <c r="L20" s="239">
        <f>'dod3'!L20-'dod3 Квітень+Комісії+Сесія'!L20</f>
        <v>0</v>
      </c>
      <c r="M20" s="239">
        <f>'dod3'!M20-'dod3 Квітень+Комісії+Сесія'!M20</f>
        <v>0</v>
      </c>
      <c r="N20" s="239">
        <f>'dod3'!N20-'dod3 Квітень+Комісії+Сесія'!N20</f>
        <v>0</v>
      </c>
      <c r="O20" s="239">
        <f>'dod3'!O20-'dod3 Квітень+Комісії+Сесія'!O20</f>
        <v>0</v>
      </c>
      <c r="P20" s="239">
        <f>'dod3'!P20-'dod3 Квітень+Комісії+Сесія'!P20</f>
        <v>0</v>
      </c>
    </row>
    <row r="21" spans="1:18" ht="91.5" x14ac:dyDescent="0.2">
      <c r="A21" s="391" t="s">
        <v>646</v>
      </c>
      <c r="B21" s="272" t="s">
        <v>373</v>
      </c>
      <c r="C21" s="272" t="s">
        <v>324</v>
      </c>
      <c r="D21" s="391" t="s">
        <v>89</v>
      </c>
      <c r="E21" s="239">
        <f>'dod3'!E21-'dod3 Квітень+Комісії+Сесія'!E21</f>
        <v>0</v>
      </c>
      <c r="F21" s="239">
        <f>'dod3'!F21-'dod3 Квітень+Комісії+Сесія'!F21</f>
        <v>0</v>
      </c>
      <c r="G21" s="239">
        <f>'dod3'!G21-'dod3 Квітень+Комісії+Сесія'!G21</f>
        <v>0</v>
      </c>
      <c r="H21" s="239">
        <f>'dod3'!H21-'dod3 Квітень+Комісії+Сесія'!H21</f>
        <v>0</v>
      </c>
      <c r="I21" s="239">
        <f>'dod3'!I21-'dod3 Квітень+Комісії+Сесія'!I21</f>
        <v>0</v>
      </c>
      <c r="J21" s="239">
        <f>'dod3'!J21-'dod3 Квітень+Комісії+Сесія'!J21</f>
        <v>-2500000</v>
      </c>
      <c r="K21" s="239">
        <f>'dod3'!K21-'dod3 Квітень+Комісії+Сесія'!K21</f>
        <v>0</v>
      </c>
      <c r="L21" s="239">
        <f>'dod3'!L21-'dod3 Квітень+Комісії+Сесія'!L21</f>
        <v>0</v>
      </c>
      <c r="M21" s="239">
        <f>'dod3'!M21-'dod3 Квітень+Комісії+Сесія'!M21</f>
        <v>0</v>
      </c>
      <c r="N21" s="239">
        <f>'dod3'!N21-'dod3 Квітень+Комісії+Сесія'!N21</f>
        <v>-2500000</v>
      </c>
      <c r="O21" s="239">
        <f>'dod3'!O21-'dod3 Квітень+Комісії+Сесія'!O21</f>
        <v>-2500000</v>
      </c>
      <c r="P21" s="239">
        <f>'dod3'!P21-'dod3 Квітень+Комісії+Сесія'!P21</f>
        <v>-2500000</v>
      </c>
    </row>
    <row r="22" spans="1:18" ht="137.25" x14ac:dyDescent="0.2">
      <c r="A22" s="387" t="s">
        <v>565</v>
      </c>
      <c r="B22" s="387" t="s">
        <v>566</v>
      </c>
      <c r="C22" s="387" t="s">
        <v>324</v>
      </c>
      <c r="D22" s="386" t="s">
        <v>564</v>
      </c>
      <c r="E22" s="239">
        <f>'dod3'!E22-'dod3 Квітень+Комісії+Сесія'!E22</f>
        <v>0</v>
      </c>
      <c r="F22" s="239">
        <f>'dod3'!F22-'dod3 Квітень+Комісії+Сесія'!F22</f>
        <v>0</v>
      </c>
      <c r="G22" s="239">
        <f>'dod3'!G22-'dod3 Квітень+Комісії+Сесія'!G22</f>
        <v>0</v>
      </c>
      <c r="H22" s="239">
        <f>'dod3'!H22-'dod3 Квітень+Комісії+Сесія'!H22</f>
        <v>0</v>
      </c>
      <c r="I22" s="239">
        <f>'dod3'!I22-'dod3 Квітень+Комісії+Сесія'!I22</f>
        <v>0</v>
      </c>
      <c r="J22" s="239">
        <f>'dod3'!J22-'dod3 Квітень+Комісії+Сесія'!J22</f>
        <v>0</v>
      </c>
      <c r="K22" s="239">
        <f>'dod3'!K22-'dod3 Квітень+Комісії+Сесія'!K22</f>
        <v>0</v>
      </c>
      <c r="L22" s="239">
        <f>'dod3'!L22-'dod3 Квітень+Комісії+Сесія'!L22</f>
        <v>0</v>
      </c>
      <c r="M22" s="239">
        <f>'dod3'!M22-'dod3 Квітень+Комісії+Сесія'!M22</f>
        <v>0</v>
      </c>
      <c r="N22" s="239">
        <f>'dod3'!N22-'dod3 Квітень+Комісії+Сесія'!N22</f>
        <v>0</v>
      </c>
      <c r="O22" s="239">
        <f>'dod3'!O22-'dod3 Квітень+Комісії+Сесія'!O22</f>
        <v>0</v>
      </c>
      <c r="P22" s="239">
        <f>'dod3'!P22-'dod3 Квітень+Комісії+Сесія'!P22</f>
        <v>0</v>
      </c>
    </row>
    <row r="23" spans="1:18" ht="46.5" x14ac:dyDescent="0.2">
      <c r="A23" s="387" t="s">
        <v>448</v>
      </c>
      <c r="B23" s="387" t="s">
        <v>449</v>
      </c>
      <c r="C23" s="387"/>
      <c r="D23" s="274" t="s">
        <v>447</v>
      </c>
      <c r="E23" s="239">
        <f>'dod3'!E23-'dod3 Квітень+Комісії+Сесія'!E23</f>
        <v>0</v>
      </c>
      <c r="F23" s="239">
        <f>'dod3'!F23-'dod3 Квітень+Комісії+Сесія'!F23</f>
        <v>0</v>
      </c>
      <c r="G23" s="239">
        <f>'dod3'!G23-'dod3 Квітень+Комісії+Сесія'!G23</f>
        <v>0</v>
      </c>
      <c r="H23" s="239">
        <f>'dod3'!H23-'dod3 Квітень+Комісії+Сесія'!H23</f>
        <v>0</v>
      </c>
      <c r="I23" s="239">
        <f>'dod3'!I23-'dod3 Квітень+Комісії+Сесія'!I23</f>
        <v>0</v>
      </c>
      <c r="J23" s="239">
        <f>'dod3'!J23-'dod3 Квітень+Комісії+Сесія'!J23</f>
        <v>0</v>
      </c>
      <c r="K23" s="239">
        <f>'dod3'!K23-'dod3 Квітень+Комісії+Сесія'!K23</f>
        <v>0</v>
      </c>
      <c r="L23" s="239">
        <f>'dod3'!L23-'dod3 Квітень+Комісії+Сесія'!L23</f>
        <v>0</v>
      </c>
      <c r="M23" s="239">
        <f>'dod3'!M23-'dod3 Квітень+Комісії+Сесія'!M23</f>
        <v>0</v>
      </c>
      <c r="N23" s="239">
        <f>'dod3'!N23-'dod3 Квітень+Комісії+Сесія'!N23</f>
        <v>0</v>
      </c>
      <c r="O23" s="239">
        <f>'dod3'!O23-'dod3 Квітень+Комісії+Сесія'!O23</f>
        <v>0</v>
      </c>
      <c r="P23" s="239">
        <f>'dod3'!P23-'dod3 Квітень+Комісії+Сесія'!P23</f>
        <v>0</v>
      </c>
    </row>
    <row r="24" spans="1:18" s="203" customFormat="1" ht="409.5" x14ac:dyDescent="0.2">
      <c r="A24" s="718" t="s">
        <v>700</v>
      </c>
      <c r="B24" s="718" t="s">
        <v>699</v>
      </c>
      <c r="C24" s="718" t="s">
        <v>324</v>
      </c>
      <c r="D24" s="275" t="s">
        <v>728</v>
      </c>
      <c r="E24" s="714">
        <f>'dod3'!E24:E25-'dod3 Квітень+Комісії+Сесія'!E24:E25</f>
        <v>0</v>
      </c>
      <c r="F24" s="714">
        <f>'dod3'!F24:F25-'dod3 Квітень+Комісії+Сесія'!F24:F25</f>
        <v>0</v>
      </c>
      <c r="G24" s="714">
        <f>'dod3'!G24:G25-'dod3 Квітень+Комісії+Сесія'!G24:G25</f>
        <v>0</v>
      </c>
      <c r="H24" s="714">
        <f>'dod3'!H24:H25-'dod3 Квітень+Комісії+Сесія'!H24:H25</f>
        <v>0</v>
      </c>
      <c r="I24" s="714">
        <f>'dod3'!I24:I25-'dod3 Квітень+Комісії+Сесія'!I24:I25</f>
        <v>0</v>
      </c>
      <c r="J24" s="714">
        <f>'dod3'!J24:J25-'dod3 Квітень+Комісії+Сесія'!J24:J25</f>
        <v>0</v>
      </c>
      <c r="K24" s="714">
        <f>'dod3'!K24:K25-'dod3 Квітень+Комісії+Сесія'!K24:K25</f>
        <v>0</v>
      </c>
      <c r="L24" s="714">
        <f>'dod3'!L24:L25-'dod3 Квітень+Комісії+Сесія'!L24:L25</f>
        <v>0</v>
      </c>
      <c r="M24" s="714">
        <f>'dod3'!M24:M25-'dod3 Квітень+Комісії+Сесія'!M24:M25</f>
        <v>0</v>
      </c>
      <c r="N24" s="714">
        <f>'dod3'!N24:N25-'dod3 Квітень+Комісії+Сесія'!N24:N25</f>
        <v>0</v>
      </c>
      <c r="O24" s="714">
        <f>'dod3'!O24:O25-'dod3 Квітень+Комісії+Сесія'!O24:O25</f>
        <v>0</v>
      </c>
      <c r="P24" s="714">
        <f>'dod3'!P24:P25-'dod3 Квітень+Комісії+Сесія'!P24:P25</f>
        <v>0</v>
      </c>
    </row>
    <row r="25" spans="1:18" s="203" customFormat="1" ht="137.25" x14ac:dyDescent="0.2">
      <c r="A25" s="719"/>
      <c r="B25" s="719"/>
      <c r="C25" s="719"/>
      <c r="D25" s="276" t="s">
        <v>729</v>
      </c>
      <c r="E25" s="715"/>
      <c r="F25" s="715"/>
      <c r="G25" s="715"/>
      <c r="H25" s="715"/>
      <c r="I25" s="715"/>
      <c r="J25" s="715"/>
      <c r="K25" s="715"/>
      <c r="L25" s="715"/>
      <c r="M25" s="715"/>
      <c r="N25" s="715"/>
      <c r="O25" s="715"/>
      <c r="P25" s="715"/>
    </row>
    <row r="26" spans="1:18" ht="91.5" x14ac:dyDescent="0.2">
      <c r="A26" s="387" t="s">
        <v>438</v>
      </c>
      <c r="B26" s="387" t="s">
        <v>439</v>
      </c>
      <c r="C26" s="387" t="s">
        <v>440</v>
      </c>
      <c r="D26" s="386" t="s">
        <v>441</v>
      </c>
      <c r="E26" s="239">
        <f>'dod3'!E26-'dod3 Квітень+Комісії+Сесія'!E26</f>
        <v>470000</v>
      </c>
      <c r="F26" s="239">
        <f>'dod3'!F26-'dod3 Квітень+Комісії+Сесія'!F26</f>
        <v>470000</v>
      </c>
      <c r="G26" s="239">
        <f>'dod3'!G26-'dod3 Квітень+Комісії+Сесія'!G26</f>
        <v>0</v>
      </c>
      <c r="H26" s="239">
        <f>'dod3'!H26-'dod3 Квітень+Комісії+Сесія'!H26</f>
        <v>0</v>
      </c>
      <c r="I26" s="239">
        <f>'dod3'!I26-'dod3 Квітень+Комісії+Сесія'!I26</f>
        <v>0</v>
      </c>
      <c r="J26" s="239">
        <f>'dod3'!J26-'dod3 Квітень+Комісії+Сесія'!J26</f>
        <v>2800000</v>
      </c>
      <c r="K26" s="239">
        <f>'dod3'!K26-'dod3 Квітень+Комісії+Сесія'!K26</f>
        <v>0</v>
      </c>
      <c r="L26" s="239">
        <f>'dod3'!L26-'dod3 Квітень+Комісії+Сесія'!L26</f>
        <v>0</v>
      </c>
      <c r="M26" s="239">
        <f>'dod3'!M26-'dod3 Квітень+Комісії+Сесія'!M26</f>
        <v>0</v>
      </c>
      <c r="N26" s="239">
        <f>'dod3'!N26-'dod3 Квітень+Комісії+Сесія'!N26</f>
        <v>2800000</v>
      </c>
      <c r="O26" s="239">
        <f>'dod3'!O26-'dod3 Квітень+Комісії+Сесія'!O26</f>
        <v>2800000</v>
      </c>
      <c r="P26" s="239">
        <f>'dod3'!P26-'dod3 Квітень+Комісії+Сесія'!P26</f>
        <v>3270000</v>
      </c>
    </row>
    <row r="27" spans="1:18" ht="274.5" x14ac:dyDescent="0.2">
      <c r="A27" s="387" t="s">
        <v>442</v>
      </c>
      <c r="B27" s="387" t="s">
        <v>443</v>
      </c>
      <c r="C27" s="387" t="s">
        <v>103</v>
      </c>
      <c r="D27" s="387" t="s">
        <v>444</v>
      </c>
      <c r="E27" s="239">
        <f>'dod3'!E27-'dod3 Квітень+Комісії+Сесія'!E27</f>
        <v>0</v>
      </c>
      <c r="F27" s="239">
        <f>'dod3'!F27-'dod3 Квітень+Комісії+Сесія'!F27</f>
        <v>0</v>
      </c>
      <c r="G27" s="239">
        <f>'dod3'!G27-'dod3 Квітень+Комісії+Сесія'!G27</f>
        <v>0</v>
      </c>
      <c r="H27" s="239">
        <f>'dod3'!H27-'dod3 Квітень+Комісії+Сесія'!H27</f>
        <v>0</v>
      </c>
      <c r="I27" s="239">
        <f>'dod3'!I27-'dod3 Квітень+Комісії+Сесія'!I27</f>
        <v>0</v>
      </c>
      <c r="J27" s="239">
        <f>'dod3'!J27-'dod3 Квітень+Комісії+Сесія'!J27</f>
        <v>0</v>
      </c>
      <c r="K27" s="239">
        <f>'dod3'!K27-'dod3 Квітень+Комісії+Сесія'!K27</f>
        <v>0</v>
      </c>
      <c r="L27" s="239">
        <f>'dod3'!L27-'dod3 Квітень+Комісії+Сесія'!L27</f>
        <v>0</v>
      </c>
      <c r="M27" s="239">
        <f>'dod3'!M27-'dod3 Квітень+Комісії+Сесія'!M27</f>
        <v>0</v>
      </c>
      <c r="N27" s="239">
        <f>'dod3'!N27-'dod3 Квітень+Комісії+Сесія'!N27</f>
        <v>0</v>
      </c>
      <c r="O27" s="239">
        <f>'dod3'!O27-'dod3 Квітень+Комісії+Сесія'!O27</f>
        <v>0</v>
      </c>
      <c r="P27" s="239">
        <f>'dod3'!P27-'dod3 Квітень+Комісії+Сесія'!P27</f>
        <v>0</v>
      </c>
    </row>
    <row r="28" spans="1:18" ht="91.5" x14ac:dyDescent="0.2">
      <c r="A28" s="387" t="s">
        <v>966</v>
      </c>
      <c r="B28" s="387" t="s">
        <v>800</v>
      </c>
      <c r="C28" s="387" t="s">
        <v>103</v>
      </c>
      <c r="D28" s="387" t="s">
        <v>801</v>
      </c>
      <c r="E28" s="239">
        <f>'dod3'!E28-0</f>
        <v>0</v>
      </c>
      <c r="F28" s="239">
        <f>'dod3'!F28-0</f>
        <v>0</v>
      </c>
      <c r="G28" s="239">
        <f>'dod3'!G28-0</f>
        <v>0</v>
      </c>
      <c r="H28" s="239">
        <f>'dod3'!H28-0</f>
        <v>0</v>
      </c>
      <c r="I28" s="239">
        <f>'dod3'!I28-0</f>
        <v>0</v>
      </c>
      <c r="J28" s="239">
        <f>'dod3'!J28-0</f>
        <v>100000</v>
      </c>
      <c r="K28" s="239">
        <f>'dod3'!K28-0</f>
        <v>0</v>
      </c>
      <c r="L28" s="239">
        <f>'dod3'!L28-0</f>
        <v>0</v>
      </c>
      <c r="M28" s="239">
        <f>'dod3'!M28-0</f>
        <v>0</v>
      </c>
      <c r="N28" s="239">
        <f>'dod3'!N28-0</f>
        <v>100000</v>
      </c>
      <c r="O28" s="239">
        <f>'dod3'!O28-0</f>
        <v>100000</v>
      </c>
      <c r="P28" s="239">
        <f>'dod3'!P28-0</f>
        <v>100000</v>
      </c>
    </row>
    <row r="29" spans="1:18" ht="183" x14ac:dyDescent="0.2">
      <c r="A29" s="387" t="s">
        <v>822</v>
      </c>
      <c r="B29" s="387" t="s">
        <v>823</v>
      </c>
      <c r="C29" s="387" t="s">
        <v>103</v>
      </c>
      <c r="D29" s="387" t="s">
        <v>824</v>
      </c>
      <c r="E29" s="239">
        <f>'dod3'!E29-'dod3 Квітень+Комісії+Сесія'!E28</f>
        <v>222800</v>
      </c>
      <c r="F29" s="239">
        <f>'dod3'!F29-'dod3 Квітень+Комісії+Сесія'!F28</f>
        <v>222800</v>
      </c>
      <c r="G29" s="239">
        <f>'dod3'!G29-'dod3 Квітень+Комісії+Сесія'!G28</f>
        <v>0</v>
      </c>
      <c r="H29" s="239">
        <f>'dod3'!H29-'dod3 Квітень+Комісії+Сесія'!H28</f>
        <v>0</v>
      </c>
      <c r="I29" s="239">
        <f>'dod3'!I29-'dod3 Квітень+Комісії+Сесія'!I28</f>
        <v>0</v>
      </c>
      <c r="J29" s="239">
        <f>'dod3'!J29-'dod3 Квітень+Комісії+Сесія'!J28</f>
        <v>781759.25</v>
      </c>
      <c r="K29" s="239">
        <f>'dod3'!K29-'dod3 Квітень+Комісії+Сесія'!K28</f>
        <v>0</v>
      </c>
      <c r="L29" s="239">
        <f>'dod3'!L29-'dod3 Квітень+Комісії+Сесія'!L28</f>
        <v>0</v>
      </c>
      <c r="M29" s="239">
        <f>'dod3'!M29-'dod3 Квітень+Комісії+Сесія'!M28</f>
        <v>0</v>
      </c>
      <c r="N29" s="239">
        <f>'dod3'!N29-'dod3 Квітень+Комісії+Сесія'!N28</f>
        <v>781759.25</v>
      </c>
      <c r="O29" s="239">
        <f>'dod3'!O29-'dod3 Квітень+Комісії+Сесія'!O28</f>
        <v>781759.25</v>
      </c>
      <c r="P29" s="239">
        <f>'dod3'!P29-'dod3 Квітень+Комісії+Сесія'!P28</f>
        <v>1004559.25</v>
      </c>
    </row>
    <row r="30" spans="1:18" ht="135" x14ac:dyDescent="0.2">
      <c r="A30" s="277" t="s">
        <v>306</v>
      </c>
      <c r="B30" s="277"/>
      <c r="C30" s="277"/>
      <c r="D30" s="278" t="s">
        <v>1</v>
      </c>
      <c r="E30" s="243">
        <f>E31</f>
        <v>-4210374.9999999981</v>
      </c>
      <c r="F30" s="243">
        <f t="shared" ref="F30:P30" si="3">F31</f>
        <v>-4210374.9999999981</v>
      </c>
      <c r="G30" s="243">
        <f t="shared" si="3"/>
        <v>2013900</v>
      </c>
      <c r="H30" s="243">
        <f t="shared" si="3"/>
        <v>199000</v>
      </c>
      <c r="I30" s="243">
        <f t="shared" si="3"/>
        <v>0</v>
      </c>
      <c r="J30" s="243">
        <f t="shared" si="3"/>
        <v>6399512</v>
      </c>
      <c r="K30" s="243">
        <f t="shared" si="3"/>
        <v>1851860</v>
      </c>
      <c r="L30" s="243">
        <f t="shared" si="3"/>
        <v>709932</v>
      </c>
      <c r="M30" s="243">
        <f t="shared" si="3"/>
        <v>401422</v>
      </c>
      <c r="N30" s="243">
        <f t="shared" si="3"/>
        <v>4547652</v>
      </c>
      <c r="O30" s="244">
        <f t="shared" si="3"/>
        <v>4547652</v>
      </c>
      <c r="P30" s="243">
        <f t="shared" si="3"/>
        <v>2189137.0000000019</v>
      </c>
    </row>
    <row r="31" spans="1:18" ht="135" x14ac:dyDescent="0.2">
      <c r="A31" s="280" t="s">
        <v>307</v>
      </c>
      <c r="B31" s="280"/>
      <c r="C31" s="280"/>
      <c r="D31" s="281" t="s">
        <v>2</v>
      </c>
      <c r="E31" s="244">
        <f>E32+E33+E34+E35+E36+E38+E39+E37+E42</f>
        <v>-4210374.9999999981</v>
      </c>
      <c r="F31" s="243">
        <f>F32+F33+F34+F35+F36+F38+F39+F37+F42+F400</f>
        <v>-4210374.9999999981</v>
      </c>
      <c r="G31" s="244">
        <f>G32+G33+G34+G35+G36+G38+G39+G37+G42</f>
        <v>2013900</v>
      </c>
      <c r="H31" s="244">
        <f>H32+H33+H34+H35+H36+H38+H39+H37+H42</f>
        <v>199000</v>
      </c>
      <c r="I31" s="243">
        <f>I32+I33+I34+I35+I36+I38+I39+I37</f>
        <v>0</v>
      </c>
      <c r="J31" s="244">
        <f t="shared" ref="J31:O31" si="4">J32+J33+J34+J35+J36+J38+J39+J37+J42</f>
        <v>6399512</v>
      </c>
      <c r="K31" s="243">
        <f t="shared" si="4"/>
        <v>1851860</v>
      </c>
      <c r="L31" s="244">
        <f t="shared" si="4"/>
        <v>709932</v>
      </c>
      <c r="M31" s="244">
        <f t="shared" si="4"/>
        <v>401422</v>
      </c>
      <c r="N31" s="243">
        <f t="shared" si="4"/>
        <v>4547652</v>
      </c>
      <c r="O31" s="244">
        <f t="shared" si="4"/>
        <v>4547652</v>
      </c>
      <c r="P31" s="244">
        <f t="shared" ref="P31" si="5">E31+J31</f>
        <v>2189137.0000000019</v>
      </c>
      <c r="Q31" s="240"/>
      <c r="R31" s="240"/>
    </row>
    <row r="32" spans="1:18" ht="67.5" customHeight="1" x14ac:dyDescent="0.55000000000000004">
      <c r="A32" s="411" t="s">
        <v>376</v>
      </c>
      <c r="B32" s="411" t="s">
        <v>377</v>
      </c>
      <c r="C32" s="411" t="s">
        <v>379</v>
      </c>
      <c r="D32" s="411" t="s">
        <v>380</v>
      </c>
      <c r="E32" s="239">
        <f>'dod3'!E32-'dod3 Квітень+Комісії+Сесія'!E31</f>
        <v>-9167420</v>
      </c>
      <c r="F32" s="239">
        <f>'dod3'!F32-'dod3 Квітень+Комісії+Сесія'!F31</f>
        <v>-9167420</v>
      </c>
      <c r="G32" s="239">
        <f>'dod3'!G32-'dod3 Квітень+Комісії+Сесія'!G31</f>
        <v>-3687600</v>
      </c>
      <c r="H32" s="239">
        <f>'dod3'!H32-'dod3 Квітень+Комісії+Сесія'!H31</f>
        <v>0</v>
      </c>
      <c r="I32" s="239">
        <f>'dod3'!I32-'dod3 Квітень+Комісії+Сесія'!I31</f>
        <v>0</v>
      </c>
      <c r="J32" s="239">
        <f>'dod3'!J32-'dod3 Квітень+Комісії+Сесія'!J31</f>
        <v>710000</v>
      </c>
      <c r="K32" s="239">
        <f>'dod3'!K32-'dod3 Квітень+Комісії+Сесія'!K31</f>
        <v>0</v>
      </c>
      <c r="L32" s="239">
        <f>'dod3'!L32-'dod3 Квітень+Комісії+Сесія'!L31</f>
        <v>0</v>
      </c>
      <c r="M32" s="239">
        <f>'dod3'!M32-'dod3 Квітень+Комісії+Сесія'!M31</f>
        <v>0</v>
      </c>
      <c r="N32" s="239">
        <f>'dod3'!N32-'dod3 Квітень+Комісії+Сесія'!N31</f>
        <v>710000</v>
      </c>
      <c r="O32" s="239">
        <f>'dod3'!O32-'dod3 Квітень+Комісії+Сесія'!O31</f>
        <v>710000</v>
      </c>
      <c r="P32" s="239">
        <f>'dod3'!P32-'dod3 Квітень+Комісії+Сесія'!P31</f>
        <v>-8457420</v>
      </c>
      <c r="Q32" s="26"/>
      <c r="R32" s="26"/>
    </row>
    <row r="33" spans="1:20" ht="389.25" customHeight="1" x14ac:dyDescent="0.55000000000000004">
      <c r="A33" s="411" t="s">
        <v>382</v>
      </c>
      <c r="B33" s="411" t="s">
        <v>378</v>
      </c>
      <c r="C33" s="411" t="s">
        <v>383</v>
      </c>
      <c r="D33" s="411" t="s">
        <v>914</v>
      </c>
      <c r="E33" s="239">
        <f>'dod3'!E33-'dod3 Квітень+Комісії+Сесія'!E32</f>
        <v>12107069.060000002</v>
      </c>
      <c r="F33" s="239">
        <f>'dod3'!F33-'dod3 Квітень+Комісії+Сесія'!F32</f>
        <v>12107069.060000002</v>
      </c>
      <c r="G33" s="239">
        <f>'dod3'!G33-'dod3 Квітень+Комісії+Сесія'!G32</f>
        <v>11034000</v>
      </c>
      <c r="H33" s="239">
        <f>'dod3'!H33-'dod3 Квітень+Комісії+Сесія'!H32</f>
        <v>100721</v>
      </c>
      <c r="I33" s="239">
        <f>'dod3'!I33-'dod3 Квітень+Комісії+Сесія'!I32</f>
        <v>0</v>
      </c>
      <c r="J33" s="239">
        <f>'dod3'!J33-'dod3 Квітень+Комісії+Сесія'!J32</f>
        <v>1253752</v>
      </c>
      <c r="K33" s="239">
        <f>'dod3'!K33-'dod3 Квітень+Комісії+Сесія'!K32</f>
        <v>0</v>
      </c>
      <c r="L33" s="239">
        <f>'dod3'!L33-'dod3 Квітень+Комісії+Сесія'!L32</f>
        <v>0</v>
      </c>
      <c r="M33" s="239">
        <f>'dod3'!M33-'dod3 Квітень+Комісії+Сесія'!M32</f>
        <v>0</v>
      </c>
      <c r="N33" s="239">
        <f>'dod3'!N33-'dod3 Квітень+Комісії+Сесія'!N32</f>
        <v>1253752</v>
      </c>
      <c r="O33" s="239">
        <f>'dod3'!O33-'dod3 Квітень+Комісії+Сесія'!O32</f>
        <v>1253752</v>
      </c>
      <c r="P33" s="239">
        <f>'dod3'!P33-'dod3 Квітень+Комісії+Сесія'!P32</f>
        <v>13360821.059999943</v>
      </c>
      <c r="Q33" s="26"/>
      <c r="R33" s="26"/>
      <c r="T33" s="181"/>
    </row>
    <row r="34" spans="1:20" ht="137.25" x14ac:dyDescent="0.2">
      <c r="A34" s="411" t="s">
        <v>384</v>
      </c>
      <c r="B34" s="411" t="s">
        <v>385</v>
      </c>
      <c r="C34" s="411" t="s">
        <v>383</v>
      </c>
      <c r="D34" s="411" t="s">
        <v>46</v>
      </c>
      <c r="E34" s="239">
        <f>'dod3'!E34-'dod3 Квітень+Комісії+Сесія'!E33</f>
        <v>-521544.06000000006</v>
      </c>
      <c r="F34" s="239">
        <f>'dod3'!F34-'dod3 Квітень+Комісії+Сесія'!F33</f>
        <v>-521544.06000000006</v>
      </c>
      <c r="G34" s="239">
        <f>'dod3'!G34-'dod3 Квітень+Комісії+Сесія'!G33</f>
        <v>-300000</v>
      </c>
      <c r="H34" s="239">
        <f>'dod3'!H34-'dod3 Квітень+Комісії+Сесія'!H33</f>
        <v>-100721</v>
      </c>
      <c r="I34" s="239">
        <f>'dod3'!I34-'dod3 Квітень+Комісії+Сесія'!I33</f>
        <v>0</v>
      </c>
      <c r="J34" s="239">
        <f>'dod3'!J34-'dod3 Квітень+Комісії+Сесія'!J33</f>
        <v>0</v>
      </c>
      <c r="K34" s="239">
        <f>'dod3'!K34-'dod3 Квітень+Комісії+Сесія'!K33</f>
        <v>0</v>
      </c>
      <c r="L34" s="239">
        <f>'dod3'!L34-'dod3 Квітень+Комісії+Сесія'!L33</f>
        <v>0</v>
      </c>
      <c r="M34" s="239">
        <f>'dod3'!M34-'dod3 Квітень+Комісії+Сесія'!M33</f>
        <v>0</v>
      </c>
      <c r="N34" s="239">
        <f>'dod3'!N34-'dod3 Квітень+Комісії+Сесія'!N33</f>
        <v>0</v>
      </c>
      <c r="O34" s="239">
        <f>'dod3'!O34-'dod3 Квітень+Комісії+Сесія'!O33</f>
        <v>0</v>
      </c>
      <c r="P34" s="239">
        <f>'dod3'!P34-'dod3 Квітень+Комісії+Сесія'!P33</f>
        <v>-521544.06000000006</v>
      </c>
    </row>
    <row r="35" spans="1:20" ht="409.6" customHeight="1" x14ac:dyDescent="0.2">
      <c r="A35" s="411" t="s">
        <v>387</v>
      </c>
      <c r="B35" s="411" t="s">
        <v>386</v>
      </c>
      <c r="C35" s="411" t="s">
        <v>388</v>
      </c>
      <c r="D35" s="411" t="s">
        <v>47</v>
      </c>
      <c r="E35" s="239">
        <f>'dod3'!E35-'dod3 Квітень+Комісії+Сесія'!E34</f>
        <v>159400</v>
      </c>
      <c r="F35" s="239">
        <f>'dod3'!F35-'dod3 Квітень+Комісії+Сесія'!F34</f>
        <v>159400</v>
      </c>
      <c r="G35" s="239">
        <f>'dod3'!G35-'dod3 Квітень+Комісії+Сесія'!G34</f>
        <v>157000</v>
      </c>
      <c r="H35" s="239">
        <f>'dod3'!H35-'dod3 Квітень+Комісії+Сесія'!H34</f>
        <v>0</v>
      </c>
      <c r="I35" s="239">
        <f>'dod3'!I35-'dod3 Квітень+Комісії+Сесія'!I34</f>
        <v>0</v>
      </c>
      <c r="J35" s="239">
        <f>'dod3'!J35-'dod3 Квітень+Комісії+Сесія'!J34</f>
        <v>33000</v>
      </c>
      <c r="K35" s="239">
        <f>'dod3'!K35-'dod3 Квітень+Комісії+Сесія'!K34</f>
        <v>0</v>
      </c>
      <c r="L35" s="239">
        <f>'dod3'!L35-'dod3 Квітень+Комісії+Сесія'!L34</f>
        <v>0</v>
      </c>
      <c r="M35" s="239">
        <f>'dod3'!M35-'dod3 Квітень+Комісії+Сесія'!M34</f>
        <v>0</v>
      </c>
      <c r="N35" s="239">
        <f>'dod3'!N35-'dod3 Квітень+Комісії+Сесія'!N34</f>
        <v>33000</v>
      </c>
      <c r="O35" s="239">
        <f>'dod3'!O35-'dod3 Квітень+Комісії+Сесія'!O34</f>
        <v>33000</v>
      </c>
      <c r="P35" s="239">
        <f>'dod3'!P35-'dod3 Квітень+Комісії+Сесія'!P34</f>
        <v>192400</v>
      </c>
    </row>
    <row r="36" spans="1:20" ht="183" x14ac:dyDescent="0.2">
      <c r="A36" s="411" t="s">
        <v>389</v>
      </c>
      <c r="B36" s="411" t="s">
        <v>363</v>
      </c>
      <c r="C36" s="411" t="s">
        <v>344</v>
      </c>
      <c r="D36" s="411" t="s">
        <v>48</v>
      </c>
      <c r="E36" s="239">
        <f>'dod3'!E36-'dod3 Квітень+Комісії+Сесія'!E35</f>
        <v>-2596180</v>
      </c>
      <c r="F36" s="239">
        <f>'dod3'!F36-'dod3 Квітень+Комісії+Сесія'!F35</f>
        <v>-2596180</v>
      </c>
      <c r="G36" s="239">
        <f>'dod3'!G36-'dod3 Квітень+Комісії+Сесія'!G35</f>
        <v>-2376200</v>
      </c>
      <c r="H36" s="239">
        <f>'dod3'!H36-'dod3 Квітень+Комісії+Сесія'!H35</f>
        <v>199000</v>
      </c>
      <c r="I36" s="239">
        <f>'dod3'!I36-'dod3 Квітень+Комісії+Сесія'!I35</f>
        <v>0</v>
      </c>
      <c r="J36" s="239">
        <f>'dod3'!J36-'dod3 Квітень+Комісії+Сесія'!J35</f>
        <v>1800000</v>
      </c>
      <c r="K36" s="239">
        <f>'dod3'!K36-'dod3 Квітень+Комісії+Сесія'!K35</f>
        <v>0</v>
      </c>
      <c r="L36" s="239">
        <f>'dod3'!L36-'dod3 Квітень+Комісії+Сесія'!L35</f>
        <v>0</v>
      </c>
      <c r="M36" s="239">
        <f>'dod3'!M36-'dod3 Квітень+Комісії+Сесія'!M35</f>
        <v>0</v>
      </c>
      <c r="N36" s="239">
        <f>'dod3'!N36-'dod3 Квітень+Комісії+Сесія'!N35</f>
        <v>1800000</v>
      </c>
      <c r="O36" s="239">
        <f>'dod3'!O36-'dod3 Квітень+Комісії+Сесія'!O35</f>
        <v>1800000</v>
      </c>
      <c r="P36" s="239">
        <f>'dod3'!P36-'dod3 Квітень+Комісії+Сесія'!P35</f>
        <v>-796180</v>
      </c>
    </row>
    <row r="37" spans="1:20" ht="155.25" customHeight="1" x14ac:dyDescent="0.2">
      <c r="A37" s="411" t="s">
        <v>390</v>
      </c>
      <c r="B37" s="411" t="s">
        <v>391</v>
      </c>
      <c r="C37" s="411" t="s">
        <v>392</v>
      </c>
      <c r="D37" s="411" t="s">
        <v>393</v>
      </c>
      <c r="E37" s="239">
        <f>'dod3'!E37-'dod3 Квітень+Комісії+Сесія'!E36</f>
        <v>-4138800</v>
      </c>
      <c r="F37" s="239">
        <f>'dod3'!F37-'dod3 Квітень+Комісії+Сесія'!F36</f>
        <v>-4138800</v>
      </c>
      <c r="G37" s="239">
        <f>'dod3'!G37-'dod3 Квітень+Комісії+Сесія'!G36</f>
        <v>-2818800</v>
      </c>
      <c r="H37" s="239">
        <f>'dod3'!H37-'dod3 Квітень+Комісії+Сесія'!H36</f>
        <v>0</v>
      </c>
      <c r="I37" s="239">
        <f>'dod3'!I37-'dod3 Квітень+Комісії+Сесія'!I36</f>
        <v>0</v>
      </c>
      <c r="J37" s="239">
        <f>'dod3'!J37-'dod3 Квітень+Комісії+Сесія'!J36</f>
        <v>1851860</v>
      </c>
      <c r="K37" s="239">
        <f>'dod3'!K37-'dod3 Квітень+Комісії+Сесія'!K36</f>
        <v>1851860</v>
      </c>
      <c r="L37" s="239">
        <f>'dod3'!L37-'dod3 Квітень+Комісії+Сесія'!L36</f>
        <v>709932</v>
      </c>
      <c r="M37" s="239">
        <f>'dod3'!M37-'dod3 Квітень+Комісії+Сесія'!M36</f>
        <v>401422</v>
      </c>
      <c r="N37" s="239">
        <f>'dod3'!N37-'dod3 Квітень+Комісії+Сесія'!N36</f>
        <v>0</v>
      </c>
      <c r="O37" s="239">
        <f>'dod3'!O37-'dod3 Квітень+Комісії+Сесія'!O36</f>
        <v>0</v>
      </c>
      <c r="P37" s="239">
        <f>'dod3'!P37-'dod3 Квітень+Комісії+Сесія'!P36</f>
        <v>-2286940</v>
      </c>
    </row>
    <row r="38" spans="1:20" ht="130.5" customHeight="1" x14ac:dyDescent="0.2">
      <c r="A38" s="411" t="s">
        <v>395</v>
      </c>
      <c r="B38" s="411" t="s">
        <v>396</v>
      </c>
      <c r="C38" s="411" t="s">
        <v>397</v>
      </c>
      <c r="D38" s="411" t="s">
        <v>394</v>
      </c>
      <c r="E38" s="239">
        <f>'dod3'!E38-'dod3 Квітень+Комісії+Сесія'!E37</f>
        <v>33300</v>
      </c>
      <c r="F38" s="239">
        <f>'dod3'!F38-'dod3 Квітень+Комісії+Сесія'!F37</f>
        <v>33300</v>
      </c>
      <c r="G38" s="239">
        <f>'dod3'!G38-'dod3 Квітень+Комісії+Сесія'!G37</f>
        <v>5500</v>
      </c>
      <c r="H38" s="239">
        <f>'dod3'!H38-'dod3 Квітень+Комісії+Сесія'!H37</f>
        <v>0</v>
      </c>
      <c r="I38" s="239">
        <f>'dod3'!I38-'dod3 Квітень+Комісії+Сесія'!I37</f>
        <v>0</v>
      </c>
      <c r="J38" s="239">
        <f>'dod3'!J38-'dod3 Квітень+Комісії+Сесія'!J37</f>
        <v>0</v>
      </c>
      <c r="K38" s="239">
        <f>'dod3'!K38-'dod3 Квітень+Комісії+Сесія'!K37</f>
        <v>0</v>
      </c>
      <c r="L38" s="239">
        <f>'dod3'!L38-'dod3 Квітень+Комісії+Сесія'!L37</f>
        <v>0</v>
      </c>
      <c r="M38" s="239">
        <f>'dod3'!M38-'dod3 Квітень+Комісії+Сесія'!M37</f>
        <v>0</v>
      </c>
      <c r="N38" s="239">
        <f>'dod3'!N38-'dod3 Квітень+Комісії+Сесія'!N37</f>
        <v>0</v>
      </c>
      <c r="O38" s="239">
        <f>'dod3'!O38-'dod3 Квітень+Комісії+Сесія'!O37</f>
        <v>0</v>
      </c>
      <c r="P38" s="239">
        <f>'dod3'!P38-'dod3 Квітень+Комісії+Сесія'!P37</f>
        <v>33300</v>
      </c>
    </row>
    <row r="39" spans="1:20" ht="112.5" customHeight="1" x14ac:dyDescent="0.2">
      <c r="A39" s="411" t="s">
        <v>399</v>
      </c>
      <c r="B39" s="411" t="s">
        <v>400</v>
      </c>
      <c r="C39" s="411"/>
      <c r="D39" s="410" t="s">
        <v>398</v>
      </c>
      <c r="E39" s="239">
        <f>'dod3'!E39-'dod3 Квітень+Комісії+Сесія'!E38</f>
        <v>-86200</v>
      </c>
      <c r="F39" s="239">
        <f>'dod3'!F39-'dod3 Квітень+Комісії+Сесія'!F38</f>
        <v>-86200</v>
      </c>
      <c r="G39" s="239">
        <f>'dod3'!G39-'dod3 Квітень+Комісії+Сесія'!G38</f>
        <v>0</v>
      </c>
      <c r="H39" s="239">
        <f>'dod3'!H39-'dod3 Квітень+Комісії+Сесія'!H38</f>
        <v>0</v>
      </c>
      <c r="I39" s="239">
        <f>'dod3'!I39-'dod3 Квітень+Комісії+Сесія'!I38</f>
        <v>0</v>
      </c>
      <c r="J39" s="239">
        <f>'dod3'!J39-'dod3 Квітень+Комісії+Сесія'!J38</f>
        <v>750900</v>
      </c>
      <c r="K39" s="239">
        <f>'dod3'!K39-'dod3 Квітень+Комісії+Сесія'!K38</f>
        <v>0</v>
      </c>
      <c r="L39" s="239">
        <f>'dod3'!L39-'dod3 Квітень+Комісії+Сесія'!L38</f>
        <v>0</v>
      </c>
      <c r="M39" s="239">
        <f>'dod3'!M39-'dod3 Квітень+Комісії+Сесія'!M38</f>
        <v>0</v>
      </c>
      <c r="N39" s="239">
        <f>'dod3'!N39-'dod3 Квітень+Комісії+Сесія'!N38</f>
        <v>750900</v>
      </c>
      <c r="O39" s="239">
        <f>'dod3'!O39-'dod3 Квітень+Комісії+Сесія'!O38</f>
        <v>750900</v>
      </c>
      <c r="P39" s="239">
        <f>'dod3'!P39-'dod3 Квітень+Комісії+Сесія'!P38</f>
        <v>664700</v>
      </c>
    </row>
    <row r="40" spans="1:20" s="203" customFormat="1" ht="139.5" customHeight="1" x14ac:dyDescent="0.2">
      <c r="A40" s="408" t="s">
        <v>656</v>
      </c>
      <c r="B40" s="408" t="s">
        <v>657</v>
      </c>
      <c r="C40" s="408" t="s">
        <v>397</v>
      </c>
      <c r="D40" s="408" t="s">
        <v>655</v>
      </c>
      <c r="E40" s="239">
        <f>'dod3'!E40-'dod3 Квітень+Комісії+Сесія'!E39</f>
        <v>-86200</v>
      </c>
      <c r="F40" s="239">
        <f>'dod3'!F40-'dod3 Квітень+Комісії+Сесія'!F39</f>
        <v>-86200</v>
      </c>
      <c r="G40" s="239">
        <f>'dod3'!G40-'dod3 Квітень+Комісії+Сесія'!G39</f>
        <v>0</v>
      </c>
      <c r="H40" s="239">
        <f>'dod3'!H40-'dod3 Квітень+Комісії+Сесія'!H39</f>
        <v>0</v>
      </c>
      <c r="I40" s="239">
        <f>'dod3'!I40-'dod3 Квітень+Комісії+Сесія'!I39</f>
        <v>0</v>
      </c>
      <c r="J40" s="239">
        <f>'dod3'!J40-'dod3 Квітень+Комісії+Сесія'!J39</f>
        <v>750900</v>
      </c>
      <c r="K40" s="239">
        <f>'dod3'!K40-'dod3 Квітень+Комісії+Сесія'!K39</f>
        <v>0</v>
      </c>
      <c r="L40" s="239">
        <f>'dod3'!L40-'dod3 Квітень+Комісії+Сесія'!L39</f>
        <v>0</v>
      </c>
      <c r="M40" s="239">
        <f>'dod3'!M40-'dod3 Квітень+Комісії+Сесія'!M39</f>
        <v>0</v>
      </c>
      <c r="N40" s="239">
        <f>'dod3'!N40-'dod3 Квітень+Комісії+Сесія'!N39</f>
        <v>750900</v>
      </c>
      <c r="O40" s="239">
        <f>'dod3'!O40-'dod3 Квітень+Комісії+Сесія'!O39</f>
        <v>750900</v>
      </c>
      <c r="P40" s="239">
        <f>'dod3'!P40-'dod3 Квітень+Комісії+Сесія'!P39</f>
        <v>664700</v>
      </c>
    </row>
    <row r="41" spans="1:20" s="203" customFormat="1" ht="124.5" customHeight="1" x14ac:dyDescent="0.2">
      <c r="A41" s="408" t="s">
        <v>697</v>
      </c>
      <c r="B41" s="408" t="s">
        <v>698</v>
      </c>
      <c r="C41" s="408" t="s">
        <v>397</v>
      </c>
      <c r="D41" s="413" t="s">
        <v>696</v>
      </c>
      <c r="E41" s="239">
        <f>'dod3'!E41-'dod3 Квітень+Комісії+Сесія'!E40</f>
        <v>0</v>
      </c>
      <c r="F41" s="239">
        <f>'dod3'!F41-'dod3 Квітень+Комісії+Сесія'!F40</f>
        <v>0</v>
      </c>
      <c r="G41" s="239">
        <f>'dod3'!G41-'dod3 Квітень+Комісії+Сесія'!G40</f>
        <v>0</v>
      </c>
      <c r="H41" s="239">
        <f>'dod3'!H41-'dod3 Квітень+Комісії+Сесія'!H40</f>
        <v>0</v>
      </c>
      <c r="I41" s="239">
        <f>'dod3'!I41-'dod3 Квітень+Комісії+Сесія'!I40</f>
        <v>0</v>
      </c>
      <c r="J41" s="239">
        <f>'dod3'!J41-'dod3 Квітень+Комісії+Сесія'!J40</f>
        <v>0</v>
      </c>
      <c r="K41" s="239">
        <f>'dod3'!K41-'dod3 Квітень+Комісії+Сесія'!K40</f>
        <v>0</v>
      </c>
      <c r="L41" s="239">
        <f>'dod3'!L41-'dod3 Квітень+Комісії+Сесія'!L40</f>
        <v>0</v>
      </c>
      <c r="M41" s="239">
        <f>'dod3'!M41-'dod3 Квітень+Комісії+Сесія'!M40</f>
        <v>0</v>
      </c>
      <c r="N41" s="239">
        <f>'dod3'!N41-'dod3 Квітень+Комісії+Сесія'!N40</f>
        <v>0</v>
      </c>
      <c r="O41" s="239">
        <f>'dod3'!O41-'dod3 Квітень+Комісії+Сесія'!O40</f>
        <v>0</v>
      </c>
      <c r="P41" s="239">
        <f>'dod3'!P41-'dod3 Квітень+Комісії+Сесія'!P40</f>
        <v>0</v>
      </c>
    </row>
    <row r="42" spans="1:20" ht="46.5" x14ac:dyDescent="0.2">
      <c r="A42" s="411" t="s">
        <v>402</v>
      </c>
      <c r="B42" s="411" t="s">
        <v>403</v>
      </c>
      <c r="C42" s="411" t="s">
        <v>404</v>
      </c>
      <c r="D42" s="411" t="s">
        <v>99</v>
      </c>
      <c r="E42" s="239">
        <f>'dod3'!E42-'dod3 Квітень+Комісії+Сесія'!E41</f>
        <v>0</v>
      </c>
      <c r="F42" s="239">
        <f>'dod3'!F42-'dod3 Квітень+Комісії+Сесія'!F41</f>
        <v>0</v>
      </c>
      <c r="G42" s="239">
        <f>'dod3'!G42-'dod3 Квітень+Комісії+Сесія'!G41</f>
        <v>0</v>
      </c>
      <c r="H42" s="239">
        <f>'dod3'!H42-'dod3 Квітень+Комісії+Сесія'!H41</f>
        <v>0</v>
      </c>
      <c r="I42" s="239">
        <f>'dod3'!I42-'dod3 Квітень+Комісії+Сесія'!I41</f>
        <v>0</v>
      </c>
      <c r="J42" s="239">
        <f>'dod3'!J42-'dod3 Квітень+Комісії+Сесія'!J41</f>
        <v>0</v>
      </c>
      <c r="K42" s="239">
        <f>'dod3'!K42-'dod3 Квітень+Комісії+Сесія'!K41</f>
        <v>0</v>
      </c>
      <c r="L42" s="239">
        <f>'dod3'!L42-'dod3 Квітень+Комісії+Сесія'!L41</f>
        <v>0</v>
      </c>
      <c r="M42" s="239">
        <f>'dod3'!M42-'dod3 Квітень+Комісії+Сесія'!M41</f>
        <v>0</v>
      </c>
      <c r="N42" s="239">
        <f>'dod3'!N42-'dod3 Квітень+Комісії+Сесія'!N41</f>
        <v>0</v>
      </c>
      <c r="O42" s="239">
        <f>'dod3'!O42-'dod3 Квітень+Комісії+Сесія'!O41</f>
        <v>0</v>
      </c>
      <c r="P42" s="239">
        <f>'dod3'!P42-'dod3 Квітень+Комісії+Сесія'!P41</f>
        <v>0</v>
      </c>
    </row>
    <row r="43" spans="1:20" ht="135" x14ac:dyDescent="0.2">
      <c r="A43" s="299" t="s">
        <v>308</v>
      </c>
      <c r="B43" s="300"/>
      <c r="C43" s="300"/>
      <c r="D43" s="278" t="s">
        <v>53</v>
      </c>
      <c r="E43" s="246">
        <f>E44</f>
        <v>3022632</v>
      </c>
      <c r="F43" s="247">
        <f t="shared" ref="F43:P43" si="6">F44</f>
        <v>3022632</v>
      </c>
      <c r="G43" s="246">
        <f t="shared" si="6"/>
        <v>0</v>
      </c>
      <c r="H43" s="246">
        <f t="shared" si="6"/>
        <v>0</v>
      </c>
      <c r="I43" s="247">
        <f t="shared" si="6"/>
        <v>0</v>
      </c>
      <c r="J43" s="246">
        <f t="shared" si="6"/>
        <v>5675602</v>
      </c>
      <c r="K43" s="247">
        <f t="shared" si="6"/>
        <v>-37549</v>
      </c>
      <c r="L43" s="246">
        <f t="shared" si="6"/>
        <v>0</v>
      </c>
      <c r="M43" s="246">
        <f t="shared" si="6"/>
        <v>0</v>
      </c>
      <c r="N43" s="247">
        <f t="shared" si="6"/>
        <v>5713151</v>
      </c>
      <c r="O43" s="246">
        <f t="shared" si="6"/>
        <v>5675602</v>
      </c>
      <c r="P43" s="246">
        <f t="shared" si="6"/>
        <v>8698234</v>
      </c>
    </row>
    <row r="44" spans="1:20" ht="180" x14ac:dyDescent="0.2">
      <c r="A44" s="277" t="s">
        <v>309</v>
      </c>
      <c r="B44" s="277"/>
      <c r="C44" s="277"/>
      <c r="D44" s="281" t="s">
        <v>91</v>
      </c>
      <c r="E44" s="244">
        <f>E45+E46+E47+E48+E54+E49+E51+E57</f>
        <v>3022632</v>
      </c>
      <c r="F44" s="243">
        <f>F45+F46+F47+F48+F54+F49+F51+F57</f>
        <v>3022632</v>
      </c>
      <c r="G44" s="244">
        <f>G45+G46+G47+G48+G54+G49+G51</f>
        <v>0</v>
      </c>
      <c r="H44" s="244">
        <f>H45+H46+H47+H48+H54+H49+H51</f>
        <v>0</v>
      </c>
      <c r="I44" s="243">
        <v>0</v>
      </c>
      <c r="J44" s="244">
        <f t="shared" ref="J44" si="7">K44+N44</f>
        <v>5675602</v>
      </c>
      <c r="K44" s="243">
        <f>K45+K46+K47+K48+K54+K49+K51+K57</f>
        <v>-37549</v>
      </c>
      <c r="L44" s="244">
        <f>L45+L46+L47+L48+L54+L49+L51</f>
        <v>0</v>
      </c>
      <c r="M44" s="244">
        <f>M45+M46+M47+M48+M54+M49+M51</f>
        <v>0</v>
      </c>
      <c r="N44" s="243">
        <f>N45+N46+N47+N48+N54+N49+N51+N57</f>
        <v>5713151</v>
      </c>
      <c r="O44" s="244">
        <f>O45+O46+O47+O48+O54+O49+O57</f>
        <v>5675602</v>
      </c>
      <c r="P44" s="244">
        <f t="shared" ref="P44" si="8">E44+J44</f>
        <v>8698234</v>
      </c>
      <c r="Q44" s="240"/>
      <c r="R44" s="240"/>
    </row>
    <row r="45" spans="1:20" ht="91.5" x14ac:dyDescent="0.2">
      <c r="A45" s="411" t="s">
        <v>405</v>
      </c>
      <c r="B45" s="411" t="s">
        <v>401</v>
      </c>
      <c r="C45" s="411" t="s">
        <v>406</v>
      </c>
      <c r="D45" s="411" t="s">
        <v>55</v>
      </c>
      <c r="E45" s="239">
        <f>'dod3'!E45-'dod3 Квітень+Комісії+Сесія'!E44</f>
        <v>2106870</v>
      </c>
      <c r="F45" s="239">
        <f>'dod3'!F45-'dod3 Квітень+Комісії+Сесія'!F44</f>
        <v>2106870</v>
      </c>
      <c r="G45" s="239">
        <f>'dod3'!G45-'dod3 Квітень+Комісії+Сесія'!G44</f>
        <v>0</v>
      </c>
      <c r="H45" s="239">
        <f>'dod3'!H45-'dod3 Квітень+Комісії+Сесія'!H44</f>
        <v>0</v>
      </c>
      <c r="I45" s="239">
        <f>'dod3'!I45-'dod3 Квітень+Комісії+Сесія'!I44</f>
        <v>0</v>
      </c>
      <c r="J45" s="239">
        <f>'dod3'!J45-'dod3 Квітень+Комісії+Сесія'!J44</f>
        <v>3197580</v>
      </c>
      <c r="K45" s="239">
        <f>'dod3'!K45-'dod3 Квітень+Комісії+Сесія'!K44</f>
        <v>0</v>
      </c>
      <c r="L45" s="239">
        <f>'dod3'!L45-'dod3 Квітень+Комісії+Сесія'!L44</f>
        <v>0</v>
      </c>
      <c r="M45" s="239">
        <f>'dod3'!M45-'dod3 Квітень+Комісії+Сесія'!M44</f>
        <v>0</v>
      </c>
      <c r="N45" s="239">
        <f>'dod3'!N45-'dod3 Квітень+Комісії+Сесія'!N44</f>
        <v>3197580</v>
      </c>
      <c r="O45" s="239">
        <f>'dod3'!O45-'dod3 Квітень+Комісії+Сесія'!O44</f>
        <v>3197580</v>
      </c>
      <c r="P45" s="239">
        <f>'dod3'!P45-'dod3 Квітень+Комісії+Сесія'!P44</f>
        <v>5304450</v>
      </c>
    </row>
    <row r="46" spans="1:20" ht="137.25" x14ac:dyDescent="0.2">
      <c r="A46" s="411" t="s">
        <v>407</v>
      </c>
      <c r="B46" s="411" t="s">
        <v>408</v>
      </c>
      <c r="C46" s="411" t="s">
        <v>409</v>
      </c>
      <c r="D46" s="411" t="s">
        <v>410</v>
      </c>
      <c r="E46" s="239">
        <f>'dod3'!E46-'dod3 Квітень+Комісії+Сесія'!E45</f>
        <v>150000</v>
      </c>
      <c r="F46" s="239">
        <f>'dod3'!F46-'dod3 Квітень+Комісії+Сесія'!F45</f>
        <v>150000</v>
      </c>
      <c r="G46" s="239">
        <f>'dod3'!G46-'dod3 Квітень+Комісії+Сесія'!G45</f>
        <v>0</v>
      </c>
      <c r="H46" s="239">
        <f>'dod3'!H46-'dod3 Квітень+Комісії+Сесія'!H45</f>
        <v>0</v>
      </c>
      <c r="I46" s="239">
        <f>'dod3'!I46-'dod3 Квітень+Комісії+Сесія'!I45</f>
        <v>0</v>
      </c>
      <c r="J46" s="239">
        <f>'dod3'!J46-'dod3 Квітень+Комісії+Сесія'!J45</f>
        <v>271500</v>
      </c>
      <c r="K46" s="239">
        <f>'dod3'!K46-'dod3 Квітень+Комісії+Сесія'!K45</f>
        <v>-11549</v>
      </c>
      <c r="L46" s="239">
        <f>'dod3'!L46-'dod3 Квітень+Комісії+Сесія'!L45</f>
        <v>0</v>
      </c>
      <c r="M46" s="239">
        <f>'dod3'!M46-'dod3 Квітень+Комісії+Сесія'!M45</f>
        <v>0</v>
      </c>
      <c r="N46" s="239">
        <f>'dod3'!N46-'dod3 Квітень+Комісії+Сесія'!N45</f>
        <v>283049</v>
      </c>
      <c r="O46" s="239">
        <f>'dod3'!O46-'dod3 Квітень+Комісії+Сесія'!O45</f>
        <v>271500</v>
      </c>
      <c r="P46" s="239">
        <f>'dod3'!P46-'dod3 Квітень+Комісії+Сесія'!P45</f>
        <v>421500</v>
      </c>
    </row>
    <row r="47" spans="1:20" ht="137.25" x14ac:dyDescent="0.2">
      <c r="A47" s="411" t="s">
        <v>411</v>
      </c>
      <c r="B47" s="411" t="s">
        <v>412</v>
      </c>
      <c r="C47" s="411" t="s">
        <v>413</v>
      </c>
      <c r="D47" s="411" t="s">
        <v>730</v>
      </c>
      <c r="E47" s="239">
        <f>'dod3'!E47-'dod3 Квітень+Комісії+Сесія'!E46</f>
        <v>407386</v>
      </c>
      <c r="F47" s="239">
        <f>'dod3'!F47-'dod3 Квітень+Комісії+Сесія'!F46</f>
        <v>407386</v>
      </c>
      <c r="G47" s="239">
        <f>'dod3'!G47-'dod3 Квітень+Комісії+Сесія'!G46</f>
        <v>0</v>
      </c>
      <c r="H47" s="239">
        <f>'dod3'!H47-'dod3 Квітень+Комісії+Сесія'!H46</f>
        <v>0</v>
      </c>
      <c r="I47" s="239">
        <f>'dod3'!I47-'dod3 Квітень+Комісії+Сесія'!I46</f>
        <v>0</v>
      </c>
      <c r="J47" s="239">
        <f>'dod3'!J47-'dod3 Квітень+Комісії+Сесія'!J46</f>
        <v>1100985</v>
      </c>
      <c r="K47" s="239">
        <f>'dod3'!K47-'dod3 Квітень+Комісії+Сесія'!K46</f>
        <v>-26000</v>
      </c>
      <c r="L47" s="239">
        <f>'dod3'!L47-'dod3 Квітень+Комісії+Сесія'!L46</f>
        <v>0</v>
      </c>
      <c r="M47" s="239">
        <f>'dod3'!M47-'dod3 Квітень+Комісії+Сесія'!M46</f>
        <v>0</v>
      </c>
      <c r="N47" s="239">
        <f>'dod3'!N47-'dod3 Квітень+Комісії+Сесія'!N46</f>
        <v>1126985</v>
      </c>
      <c r="O47" s="239">
        <f>'dod3'!O47-'dod3 Квітень+Комісії+Сесія'!O46</f>
        <v>1100985</v>
      </c>
      <c r="P47" s="239">
        <f>'dod3'!P47-'dod3 Квітень+Комісії+Сесія'!P46</f>
        <v>1508371</v>
      </c>
    </row>
    <row r="48" spans="1:20" ht="91.5" x14ac:dyDescent="0.2">
      <c r="A48" s="411" t="s">
        <v>414</v>
      </c>
      <c r="B48" s="411" t="s">
        <v>415</v>
      </c>
      <c r="C48" s="411" t="s">
        <v>416</v>
      </c>
      <c r="D48" s="411" t="s">
        <v>417</v>
      </c>
      <c r="E48" s="239">
        <f>'dod3'!E48-'dod3 Квітень+Комісії+Сесія'!E47</f>
        <v>600000</v>
      </c>
      <c r="F48" s="239">
        <f>'dod3'!F48-'dod3 Квітень+Комісії+Сесія'!F47</f>
        <v>600000</v>
      </c>
      <c r="G48" s="239">
        <f>'dod3'!G48-'dod3 Квітень+Комісії+Сесія'!G47</f>
        <v>0</v>
      </c>
      <c r="H48" s="239">
        <f>'dod3'!H48-'dod3 Квітень+Комісії+Сесія'!H47</f>
        <v>0</v>
      </c>
      <c r="I48" s="239">
        <f>'dod3'!I48-'dod3 Квітень+Комісії+Сесія'!I47</f>
        <v>0</v>
      </c>
      <c r="J48" s="239">
        <f>'dod3'!J48-'dod3 Квітень+Комісії+Сесія'!J47</f>
        <v>121000</v>
      </c>
      <c r="K48" s="239">
        <f>'dod3'!K48-'dod3 Квітень+Комісії+Сесія'!K47</f>
        <v>0</v>
      </c>
      <c r="L48" s="239">
        <f>'dod3'!L48-'dod3 Квітень+Комісії+Сесія'!L47</f>
        <v>0</v>
      </c>
      <c r="M48" s="239">
        <f>'dod3'!M48-'dod3 Квітень+Комісії+Сесія'!M47</f>
        <v>0</v>
      </c>
      <c r="N48" s="239">
        <f>'dod3'!N48-'dod3 Квітень+Комісії+Сесія'!N47</f>
        <v>121000</v>
      </c>
      <c r="O48" s="239">
        <f>'dod3'!O48-'dod3 Квітень+Комісії+Сесія'!O47</f>
        <v>121000</v>
      </c>
      <c r="P48" s="239">
        <f>'dod3'!P48-'dod3 Квітень+Комісії+Сесія'!P47</f>
        <v>721000</v>
      </c>
    </row>
    <row r="49" spans="1:22" ht="91.5" x14ac:dyDescent="0.2">
      <c r="A49" s="411" t="s">
        <v>418</v>
      </c>
      <c r="B49" s="411" t="s">
        <v>419</v>
      </c>
      <c r="C49" s="411"/>
      <c r="D49" s="411" t="s">
        <v>731</v>
      </c>
      <c r="E49" s="239">
        <f>'dod3'!E49-'dod3 Квітень+Комісії+Сесія'!E48</f>
        <v>-2806724</v>
      </c>
      <c r="F49" s="239">
        <f>'dod3'!F49-'dod3 Квітень+Комісії+Сесія'!F48</f>
        <v>-2806724</v>
      </c>
      <c r="G49" s="239">
        <f>'dod3'!G49-'dod3 Квітень+Комісії+Сесія'!G48</f>
        <v>0</v>
      </c>
      <c r="H49" s="239">
        <f>'dod3'!H49-'dod3 Квітень+Комісії+Сесія'!H48</f>
        <v>0</v>
      </c>
      <c r="I49" s="239">
        <f>'dod3'!I49-'dod3 Квітень+Комісії+Сесія'!I48</f>
        <v>0</v>
      </c>
      <c r="J49" s="239">
        <f>'dod3'!J49-'dod3 Квітень+Комісії+Сесія'!J48</f>
        <v>32500</v>
      </c>
      <c r="K49" s="239">
        <f>'dod3'!K49-'dod3 Квітень+Комісії+Сесія'!K48</f>
        <v>0</v>
      </c>
      <c r="L49" s="239">
        <f>'dod3'!L49-'dod3 Квітень+Комісії+Сесія'!L48</f>
        <v>0</v>
      </c>
      <c r="M49" s="239">
        <f>'dod3'!M49-'dod3 Квітень+Комісії+Сесія'!M48</f>
        <v>0</v>
      </c>
      <c r="N49" s="239">
        <f>'dod3'!N49-'dod3 Квітень+Комісії+Сесія'!N48</f>
        <v>32500</v>
      </c>
      <c r="O49" s="239">
        <f>'dod3'!O49-'dod3 Квітень+Комісії+Сесія'!O48</f>
        <v>32500</v>
      </c>
      <c r="P49" s="239">
        <f>'dod3'!P49-'dod3 Квітень+Комісії+Сесія'!P48</f>
        <v>-2774224</v>
      </c>
    </row>
    <row r="50" spans="1:22" ht="183" x14ac:dyDescent="0.2">
      <c r="A50" s="413" t="s">
        <v>420</v>
      </c>
      <c r="B50" s="408" t="s">
        <v>421</v>
      </c>
      <c r="C50" s="408" t="s">
        <v>732</v>
      </c>
      <c r="D50" s="413" t="s">
        <v>422</v>
      </c>
      <c r="E50" s="239">
        <f>'dod3'!E50-'dod3 Квітень+Комісії+Сесія'!E49</f>
        <v>-2806724</v>
      </c>
      <c r="F50" s="239">
        <f>'dod3'!F50-'dod3 Квітень+Комісії+Сесія'!F49</f>
        <v>-2806724</v>
      </c>
      <c r="G50" s="239">
        <f>'dod3'!G50-'dod3 Квітень+Комісії+Сесія'!G49</f>
        <v>0</v>
      </c>
      <c r="H50" s="239">
        <f>'dod3'!H50-'dod3 Квітень+Комісії+Сесія'!H49</f>
        <v>0</v>
      </c>
      <c r="I50" s="239">
        <f>'dod3'!I50-'dod3 Квітень+Комісії+Сесія'!I49</f>
        <v>0</v>
      </c>
      <c r="J50" s="239">
        <f>'dod3'!J50-'dod3 Квітень+Комісії+Сесія'!J49</f>
        <v>32500</v>
      </c>
      <c r="K50" s="239">
        <f>'dod3'!K50-'dod3 Квітень+Комісії+Сесія'!K49</f>
        <v>0</v>
      </c>
      <c r="L50" s="239">
        <f>'dod3'!L50-'dod3 Квітень+Комісії+Сесія'!L49</f>
        <v>0</v>
      </c>
      <c r="M50" s="239">
        <f>'dod3'!M50-'dod3 Квітень+Комісії+Сесія'!M49</f>
        <v>0</v>
      </c>
      <c r="N50" s="239">
        <f>'dod3'!N50-'dod3 Квітень+Комісії+Сесія'!N49</f>
        <v>32500</v>
      </c>
      <c r="O50" s="239">
        <f>'dod3'!O50-'dod3 Квітень+Комісії+Сесія'!O49</f>
        <v>32500</v>
      </c>
      <c r="P50" s="239">
        <f>'dod3'!P50-'dod3 Квітень+Комісії+Сесія'!P49</f>
        <v>-2774224</v>
      </c>
    </row>
    <row r="51" spans="1:22" ht="137.25" x14ac:dyDescent="0.2">
      <c r="A51" s="411" t="s">
        <v>783</v>
      </c>
      <c r="B51" s="410" t="s">
        <v>784</v>
      </c>
      <c r="C51" s="410"/>
      <c r="D51" s="410" t="s">
        <v>785</v>
      </c>
      <c r="E51" s="239">
        <f>'dod3'!E51-'dod3 Квітень+Комісії+Сесія'!E50</f>
        <v>2360700</v>
      </c>
      <c r="F51" s="239">
        <f>'dod3'!F51-'dod3 Квітень+Комісії+Сесія'!F50</f>
        <v>2360700</v>
      </c>
      <c r="G51" s="239">
        <f>'dod3'!G51-'dod3 Квітень+Комісії+Сесія'!G50</f>
        <v>0</v>
      </c>
      <c r="H51" s="239">
        <f>'dod3'!H51-'dod3 Квітень+Комісії+Сесія'!H50</f>
        <v>0</v>
      </c>
      <c r="I51" s="239">
        <f>'dod3'!I51-'dod3 Квітень+Комісії+Сесія'!I50</f>
        <v>0</v>
      </c>
      <c r="J51" s="239">
        <f>'dod3'!J51-'dod3 Квітень+Комісії+Сесія'!J50</f>
        <v>0</v>
      </c>
      <c r="K51" s="239">
        <f>'dod3'!K51-'dod3 Квітень+Комісії+Сесія'!K50</f>
        <v>0</v>
      </c>
      <c r="L51" s="239">
        <f>'dod3'!L51-'dod3 Квітень+Комісії+Сесія'!L50</f>
        <v>0</v>
      </c>
      <c r="M51" s="239">
        <f>'dod3'!M51-'dod3 Квітень+Комісії+Сесія'!M50</f>
        <v>0</v>
      </c>
      <c r="N51" s="239">
        <f>'dod3'!N51-'dod3 Квітень+Комісії+Сесія'!N50</f>
        <v>0</v>
      </c>
      <c r="O51" s="239">
        <f>'dod3'!O51-'dod3 Квітень+Комісії+Сесія'!O50</f>
        <v>0</v>
      </c>
      <c r="P51" s="239">
        <f>'dod3'!P51-'dod3 Квітень+Комісії+Сесія'!P50</f>
        <v>2360700</v>
      </c>
    </row>
    <row r="52" spans="1:22" ht="183" x14ac:dyDescent="0.2">
      <c r="A52" s="413" t="s">
        <v>786</v>
      </c>
      <c r="B52" s="413" t="s">
        <v>787</v>
      </c>
      <c r="C52" s="410" t="s">
        <v>425</v>
      </c>
      <c r="D52" s="298" t="s">
        <v>788</v>
      </c>
      <c r="E52" s="239">
        <f>'dod3'!E52-'dod3 Квітень+Комісії+Сесія'!E51</f>
        <v>2360700</v>
      </c>
      <c r="F52" s="239">
        <f>'dod3'!F52-'dod3 Квітень+Комісії+Сесія'!F51</f>
        <v>2360700</v>
      </c>
      <c r="G52" s="239">
        <f>'dod3'!G52-'dod3 Квітень+Комісії+Сесія'!G51</f>
        <v>0</v>
      </c>
      <c r="H52" s="239">
        <f>'dod3'!H52-'dod3 Квітень+Комісії+Сесія'!H51</f>
        <v>0</v>
      </c>
      <c r="I52" s="239">
        <f>'dod3'!I52-'dod3 Квітень+Комісії+Сесія'!I51</f>
        <v>0</v>
      </c>
      <c r="J52" s="239">
        <f>'dod3'!J52-'dod3 Квітень+Комісії+Сесія'!J51</f>
        <v>0</v>
      </c>
      <c r="K52" s="239">
        <f>'dod3'!K52-'dod3 Квітень+Комісії+Сесія'!K51</f>
        <v>0</v>
      </c>
      <c r="L52" s="239">
        <f>'dod3'!L52-'dod3 Квітень+Комісії+Сесія'!L51</f>
        <v>0</v>
      </c>
      <c r="M52" s="239">
        <f>'dod3'!M52-'dod3 Квітень+Комісії+Сесія'!M51</f>
        <v>0</v>
      </c>
      <c r="N52" s="239">
        <f>'dod3'!N52-'dod3 Квітень+Комісії+Сесія'!N51</f>
        <v>0</v>
      </c>
      <c r="O52" s="239">
        <f>'dod3'!O52-'dod3 Квітень+Комісії+Сесія'!O51</f>
        <v>0</v>
      </c>
      <c r="P52" s="239">
        <f>'dod3'!P52-'dod3 Квітень+Комісії+Сесія'!P51</f>
        <v>2360700</v>
      </c>
    </row>
    <row r="53" spans="1:22" ht="183" x14ac:dyDescent="0.2">
      <c r="A53" s="413" t="s">
        <v>791</v>
      </c>
      <c r="B53" s="413" t="s">
        <v>790</v>
      </c>
      <c r="C53" s="410" t="s">
        <v>425</v>
      </c>
      <c r="D53" s="298" t="s">
        <v>789</v>
      </c>
      <c r="E53" s="239">
        <f>'dod3'!E53-'dod3 Квітень+Комісії+Сесія'!E52</f>
        <v>0</v>
      </c>
      <c r="F53" s="239">
        <f>'dod3'!F53-'dod3 Квітень+Комісії+Сесія'!F52</f>
        <v>0</v>
      </c>
      <c r="G53" s="239">
        <f>'dod3'!G53-'dod3 Квітень+Комісії+Сесія'!G52</f>
        <v>0</v>
      </c>
      <c r="H53" s="239">
        <f>'dod3'!H53-'dod3 Квітень+Комісії+Сесія'!H52</f>
        <v>0</v>
      </c>
      <c r="I53" s="239">
        <f>'dod3'!I53-'dod3 Квітень+Комісії+Сесія'!I52</f>
        <v>0</v>
      </c>
      <c r="J53" s="239">
        <f>'dod3'!J53-'dod3 Квітень+Комісії+Сесія'!J52</f>
        <v>0</v>
      </c>
      <c r="K53" s="239">
        <f>'dod3'!K53-'dod3 Квітень+Комісії+Сесія'!K52</f>
        <v>0</v>
      </c>
      <c r="L53" s="239">
        <f>'dod3'!L53-'dod3 Квітень+Комісії+Сесія'!L52</f>
        <v>0</v>
      </c>
      <c r="M53" s="239">
        <f>'dod3'!M53-'dod3 Квітень+Комісії+Сесія'!M52</f>
        <v>0</v>
      </c>
      <c r="N53" s="239">
        <f>'dod3'!N53-'dod3 Квітень+Комісії+Сесія'!N52</f>
        <v>0</v>
      </c>
      <c r="O53" s="239">
        <f>'dod3'!O53-'dod3 Квітень+Комісії+Сесія'!O52</f>
        <v>0</v>
      </c>
      <c r="P53" s="239">
        <f>'dod3'!P53-'dod3 Квітень+Комісії+Сесія'!P52</f>
        <v>0</v>
      </c>
    </row>
    <row r="54" spans="1:22" ht="91.5" customHeight="1" x14ac:dyDescent="0.2">
      <c r="A54" s="411" t="s">
        <v>423</v>
      </c>
      <c r="B54" s="410" t="s">
        <v>424</v>
      </c>
      <c r="C54" s="410"/>
      <c r="D54" s="410" t="s">
        <v>426</v>
      </c>
      <c r="E54" s="239">
        <f>'dod3'!E54-'dod3 Квітень+Комісії+Сесія'!E53</f>
        <v>20000</v>
      </c>
      <c r="F54" s="239">
        <f>'dod3'!F54-'dod3 Квітень+Комісії+Сесія'!F53</f>
        <v>20000</v>
      </c>
      <c r="G54" s="239">
        <f>'dod3'!G54-'dod3 Квітень+Комісії+Сесія'!G53</f>
        <v>0</v>
      </c>
      <c r="H54" s="239">
        <f>'dod3'!H54-'dod3 Квітень+Комісії+Сесія'!H53</f>
        <v>0</v>
      </c>
      <c r="I54" s="239">
        <f>'dod3'!I54-'dod3 Квітень+Комісії+Сесія'!I53</f>
        <v>0</v>
      </c>
      <c r="J54" s="239">
        <f>'dod3'!J54-'dod3 Квітень+Комісії+Сесія'!J53</f>
        <v>-17600</v>
      </c>
      <c r="K54" s="239">
        <f>'dod3'!K54-'dod3 Квітень+Комісії+Сесія'!K53</f>
        <v>0</v>
      </c>
      <c r="L54" s="239">
        <f>'dod3'!L54-'dod3 Квітень+Комісії+Сесія'!L53</f>
        <v>0</v>
      </c>
      <c r="M54" s="239">
        <f>'dod3'!M54-'dod3 Квітень+Комісії+Сесія'!M53</f>
        <v>0</v>
      </c>
      <c r="N54" s="239">
        <f>'dod3'!N54-'dod3 Квітень+Комісії+Сесія'!N53</f>
        <v>-17600</v>
      </c>
      <c r="O54" s="239">
        <f>'dod3'!O54-'dod3 Квітень+Комісії+Сесія'!O53</f>
        <v>-17600</v>
      </c>
      <c r="P54" s="239">
        <f>'dod3'!P54-'dod3 Квітень+Комісії+Сесія'!P53</f>
        <v>2400</v>
      </c>
    </row>
    <row r="55" spans="1:22" s="203" customFormat="1" ht="137.25" x14ac:dyDescent="0.2">
      <c r="A55" s="413" t="s">
        <v>660</v>
      </c>
      <c r="B55" s="413" t="s">
        <v>662</v>
      </c>
      <c r="C55" s="408" t="s">
        <v>425</v>
      </c>
      <c r="D55" s="298" t="s">
        <v>658</v>
      </c>
      <c r="E55" s="239">
        <f>'dod3'!E55-'dod3 Квітень+Комісії+Сесія'!E54</f>
        <v>20000</v>
      </c>
      <c r="F55" s="239">
        <f>'dod3'!F55-'dod3 Квітень+Комісії+Сесія'!F54</f>
        <v>20000</v>
      </c>
      <c r="G55" s="239">
        <f>'dod3'!G55-'dod3 Квітень+Комісії+Сесія'!G54</f>
        <v>0</v>
      </c>
      <c r="H55" s="239">
        <f>'dod3'!H55-'dod3 Квітень+Комісії+Сесія'!H54</f>
        <v>0</v>
      </c>
      <c r="I55" s="239">
        <f>'dod3'!I55-'dod3 Квітень+Комісії+Сесія'!I54</f>
        <v>0</v>
      </c>
      <c r="J55" s="239">
        <f>'dod3'!J55-'dod3 Квітень+Комісії+Сесія'!J54</f>
        <v>-17600</v>
      </c>
      <c r="K55" s="239">
        <f>'dod3'!K55-'dod3 Квітень+Комісії+Сесія'!K54</f>
        <v>0</v>
      </c>
      <c r="L55" s="239">
        <f>'dod3'!L55-'dod3 Квітень+Комісії+Сесія'!L54</f>
        <v>0</v>
      </c>
      <c r="M55" s="239">
        <f>'dod3'!M55-'dod3 Квітень+Комісії+Сесія'!M54</f>
        <v>0</v>
      </c>
      <c r="N55" s="239">
        <f>'dod3'!N55-'dod3 Квітень+Комісії+Сесія'!N54</f>
        <v>-17600</v>
      </c>
      <c r="O55" s="239">
        <f>'dod3'!O55-'dod3 Квітень+Комісії+Сесія'!O54</f>
        <v>-17600</v>
      </c>
      <c r="P55" s="239">
        <f>'dod3'!P55-'dod3 Квітень+Комісії+Сесія'!P54</f>
        <v>2400</v>
      </c>
    </row>
    <row r="56" spans="1:22" s="203" customFormat="1" ht="91.5" x14ac:dyDescent="0.2">
      <c r="A56" s="413" t="s">
        <v>661</v>
      </c>
      <c r="B56" s="413" t="s">
        <v>663</v>
      </c>
      <c r="C56" s="408" t="s">
        <v>425</v>
      </c>
      <c r="D56" s="298" t="s">
        <v>659</v>
      </c>
      <c r="E56" s="239">
        <f>'dod3'!E56-'dod3 Квітень+Комісії+Сесія'!E55</f>
        <v>0</v>
      </c>
      <c r="F56" s="239">
        <f>'dod3'!F56-'dod3 Квітень+Комісії+Сесія'!F55</f>
        <v>0</v>
      </c>
      <c r="G56" s="239">
        <f>'dod3'!G56-'dod3 Квітень+Комісії+Сесія'!G55</f>
        <v>0</v>
      </c>
      <c r="H56" s="239">
        <f>'dod3'!H56-'dod3 Квітень+Комісії+Сесія'!H55</f>
        <v>0</v>
      </c>
      <c r="I56" s="239">
        <f>'dod3'!I56-'dod3 Квітень+Комісії+Сесія'!I55</f>
        <v>0</v>
      </c>
      <c r="J56" s="239">
        <f>'dod3'!J56-'dod3 Квітень+Комісії+Сесія'!J55</f>
        <v>0</v>
      </c>
      <c r="K56" s="239">
        <f>'dod3'!K56-'dod3 Квітень+Комісії+Сесія'!K55</f>
        <v>0</v>
      </c>
      <c r="L56" s="239">
        <f>'dod3'!L56-'dod3 Квітень+Комісії+Сесія'!L55</f>
        <v>0</v>
      </c>
      <c r="M56" s="239">
        <f>'dod3'!M56-'dod3 Квітень+Комісії+Сесія'!M55</f>
        <v>0</v>
      </c>
      <c r="N56" s="239">
        <f>'dod3'!N56-'dod3 Квітень+Комісії+Сесія'!N55</f>
        <v>0</v>
      </c>
      <c r="O56" s="239">
        <f>'dod3'!O56-'dod3 Квітень+Комісії+Сесія'!O55</f>
        <v>0</v>
      </c>
      <c r="P56" s="239">
        <f>'dod3'!P56-'dod3 Квітень+Комісії+Сесія'!P55</f>
        <v>0</v>
      </c>
    </row>
    <row r="57" spans="1:22" ht="91.5" x14ac:dyDescent="0.2">
      <c r="A57" s="411" t="s">
        <v>799</v>
      </c>
      <c r="B57" s="410" t="s">
        <v>800</v>
      </c>
      <c r="C57" s="410" t="s">
        <v>103</v>
      </c>
      <c r="D57" s="410" t="s">
        <v>801</v>
      </c>
      <c r="E57" s="239">
        <f>'dod3'!E57-'dod3 Квітень+Комісії+Сесія'!E56</f>
        <v>184400</v>
      </c>
      <c r="F57" s="239">
        <f>'dod3'!F57-'dod3 Квітень+Комісії+Сесія'!F56</f>
        <v>184400</v>
      </c>
      <c r="G57" s="239">
        <f>'dod3'!G57-'dod3 Квітень+Комісії+Сесія'!G56</f>
        <v>0</v>
      </c>
      <c r="H57" s="239">
        <f>'dod3'!H57-'dod3 Квітень+Комісії+Сесія'!H56</f>
        <v>0</v>
      </c>
      <c r="I57" s="239">
        <f>'dod3'!I57-'dod3 Квітень+Комісії+Сесія'!I56</f>
        <v>0</v>
      </c>
      <c r="J57" s="239">
        <f>'dod3'!J57-'dod3 Квітень+Комісії+Сесія'!J56</f>
        <v>969637</v>
      </c>
      <c r="K57" s="239">
        <f>'dod3'!K57-'dod3 Квітень+Комісії+Сесія'!K56</f>
        <v>0</v>
      </c>
      <c r="L57" s="239">
        <f>'dod3'!L57-'dod3 Квітень+Комісії+Сесія'!L56</f>
        <v>0</v>
      </c>
      <c r="M57" s="239">
        <f>'dod3'!M57-'dod3 Квітень+Комісії+Сесія'!M56</f>
        <v>0</v>
      </c>
      <c r="N57" s="239">
        <f>'dod3'!N57-'dod3 Квітень+Комісії+Сесія'!N56</f>
        <v>969637</v>
      </c>
      <c r="O57" s="239">
        <f>'dod3'!O57-'dod3 Квітень+Комісії+Сесія'!O56</f>
        <v>969637</v>
      </c>
      <c r="P57" s="239">
        <f>'dod3'!P57-'dod3 Квітень+Комісії+Сесія'!P56</f>
        <v>1154037</v>
      </c>
    </row>
    <row r="58" spans="1:22" ht="225" x14ac:dyDescent="0.2">
      <c r="A58" s="277" t="s">
        <v>310</v>
      </c>
      <c r="B58" s="277"/>
      <c r="C58" s="277"/>
      <c r="D58" s="278" t="s">
        <v>92</v>
      </c>
      <c r="E58" s="243">
        <f>E59</f>
        <v>11910150</v>
      </c>
      <c r="F58" s="243">
        <f>F59</f>
        <v>11910150</v>
      </c>
      <c r="G58" s="243">
        <f>G59</f>
        <v>36900</v>
      </c>
      <c r="H58" s="243">
        <f t="shared" ref="H58:O58" si="9">H59</f>
        <v>20200</v>
      </c>
      <c r="I58" s="243">
        <f t="shared" si="9"/>
        <v>0</v>
      </c>
      <c r="J58" s="243">
        <f t="shared" si="9"/>
        <v>261347</v>
      </c>
      <c r="K58" s="243">
        <f t="shared" si="9"/>
        <v>0</v>
      </c>
      <c r="L58" s="243">
        <f t="shared" si="9"/>
        <v>0</v>
      </c>
      <c r="M58" s="243">
        <f t="shared" si="9"/>
        <v>0</v>
      </c>
      <c r="N58" s="243">
        <f t="shared" si="9"/>
        <v>261347</v>
      </c>
      <c r="O58" s="244">
        <f t="shared" si="9"/>
        <v>261347</v>
      </c>
      <c r="P58" s="244">
        <f>P59</f>
        <v>12171497</v>
      </c>
    </row>
    <row r="59" spans="1:22" ht="225" x14ac:dyDescent="0.2">
      <c r="A59" s="280" t="s">
        <v>311</v>
      </c>
      <c r="B59" s="280"/>
      <c r="C59" s="280"/>
      <c r="D59" s="281" t="s">
        <v>93</v>
      </c>
      <c r="E59" s="244">
        <f>E97+E89+E105+E92+E72+E81+E66+E60+E63+E103+E80+E88+E93+E96</f>
        <v>11910150</v>
      </c>
      <c r="F59" s="243">
        <f>F97+F89+F105+F92+F72+F81+F66+F60+F63+F103+F80+F88+F93+F96</f>
        <v>11910150</v>
      </c>
      <c r="G59" s="244">
        <f>G97+G89+G105+G92+G72+G81+G66+G60+G63+G103+G80+G88</f>
        <v>36900</v>
      </c>
      <c r="H59" s="244">
        <f>H97+H89+H105+H92+H72+H81+H66+H60+H63+H103+H80+H88</f>
        <v>20200</v>
      </c>
      <c r="I59" s="243">
        <v>0</v>
      </c>
      <c r="J59" s="244">
        <f t="shared" ref="J59" si="10">K59+N59</f>
        <v>261347</v>
      </c>
      <c r="K59" s="243">
        <f>K97+K89+K105+K92+K72+K81+K66+K60+K63+K103+K80+K88+K108+K99</f>
        <v>0</v>
      </c>
      <c r="L59" s="244">
        <f>L97+L89+L105+L92+L72+L81+L66+L60+L63+L103+L80+L88</f>
        <v>0</v>
      </c>
      <c r="M59" s="244">
        <f>M97+M89+M105+M92+M72+M81+M66+M60+M63+M103+M80+M88</f>
        <v>0</v>
      </c>
      <c r="N59" s="243">
        <f>N97+N89+N105+N92+N72+N81+N66+N60+N63+N103+N80+N88+N108+N99</f>
        <v>261347</v>
      </c>
      <c r="O59" s="244">
        <f>O97+O89+O105+O92+O72+O81+O66+O60+O63+O103+O80+O88+O108+O99</f>
        <v>261347</v>
      </c>
      <c r="P59" s="244">
        <f t="shared" ref="P59" si="11">E59+J59</f>
        <v>12171497</v>
      </c>
      <c r="Q59" s="311"/>
      <c r="R59" s="325"/>
      <c r="S59" s="312"/>
      <c r="T59" s="311"/>
      <c r="U59" s="312"/>
      <c r="V59" s="312"/>
    </row>
    <row r="60" spans="1:22" ht="366" x14ac:dyDescent="0.2">
      <c r="A60" s="495" t="s">
        <v>451</v>
      </c>
      <c r="B60" s="495" t="s">
        <v>452</v>
      </c>
      <c r="C60" s="495"/>
      <c r="D60" s="495" t="s">
        <v>14</v>
      </c>
      <c r="E60" s="500">
        <f>'dod3'!E60-'dod3 Квітень+Комісії+Сесія'!E59</f>
        <v>0</v>
      </c>
      <c r="F60" s="500">
        <f>'dod3'!F60-'dod3 Квітень+Комісії+Сесія'!F59</f>
        <v>0</v>
      </c>
      <c r="G60" s="500">
        <f>'dod3'!G60-'dod3 Квітень+Комісії+Сесія'!G59</f>
        <v>0</v>
      </c>
      <c r="H60" s="500">
        <f>'dod3'!H60-'dod3 Квітень+Комісії+Сесія'!H59</f>
        <v>0</v>
      </c>
      <c r="I60" s="500">
        <f>'dod3'!I60-'dod3 Квітень+Комісії+Сесія'!I59</f>
        <v>0</v>
      </c>
      <c r="J60" s="500">
        <f>'dod3'!J60-'dod3 Квітень+Комісії+Сесія'!J59</f>
        <v>0</v>
      </c>
      <c r="K60" s="500">
        <f>'dod3'!K60-'dod3 Квітень+Комісії+Сесія'!K59</f>
        <v>0</v>
      </c>
      <c r="L60" s="500">
        <f>'dod3'!L60-'dod3 Квітень+Комісії+Сесія'!L59</f>
        <v>0</v>
      </c>
      <c r="M60" s="500">
        <f>'dod3'!M60-'dod3 Квітень+Комісії+Сесія'!M59</f>
        <v>0</v>
      </c>
      <c r="N60" s="500">
        <f>'dod3'!N60-'dod3 Квітень+Комісії+Сесія'!N59</f>
        <v>0</v>
      </c>
      <c r="O60" s="500">
        <f>'dod3'!O60-'dod3 Квітень+Комісії+Сесія'!O59</f>
        <v>0</v>
      </c>
      <c r="P60" s="500">
        <f>'dod3'!P60-'dod3 Квітень+Комісії+Сесія'!P59</f>
        <v>0</v>
      </c>
    </row>
    <row r="61" spans="1:22" ht="183" x14ac:dyDescent="0.2">
      <c r="A61" s="497" t="s">
        <v>453</v>
      </c>
      <c r="B61" s="497" t="s">
        <v>454</v>
      </c>
      <c r="C61" s="497" t="s">
        <v>385</v>
      </c>
      <c r="D61" s="301" t="s">
        <v>450</v>
      </c>
      <c r="E61" s="500">
        <f>'dod3'!E61-'dod3 Квітень+Комісії+Сесія'!E60</f>
        <v>0</v>
      </c>
      <c r="F61" s="500">
        <f>'dod3'!F61-'dod3 Квітень+Комісії+Сесія'!F60</f>
        <v>0</v>
      </c>
      <c r="G61" s="500">
        <f>'dod3'!G61-'dod3 Квітень+Комісії+Сесія'!G60</f>
        <v>0</v>
      </c>
      <c r="H61" s="500">
        <f>'dod3'!H61-'dod3 Квітень+Комісії+Сесія'!H60</f>
        <v>0</v>
      </c>
      <c r="I61" s="500">
        <f>'dod3'!I61-'dod3 Квітень+Комісії+Сесія'!I60</f>
        <v>0</v>
      </c>
      <c r="J61" s="500">
        <f>'dod3'!J61-'dod3 Квітень+Комісії+Сесія'!J60</f>
        <v>0</v>
      </c>
      <c r="K61" s="500">
        <f>'dod3'!K61-'dod3 Квітень+Комісії+Сесія'!K60</f>
        <v>0</v>
      </c>
      <c r="L61" s="500">
        <f>'dod3'!L61-'dod3 Квітень+Комісії+Сесія'!L60</f>
        <v>0</v>
      </c>
      <c r="M61" s="500">
        <f>'dod3'!M61-'dod3 Квітень+Комісії+Сесія'!M60</f>
        <v>0</v>
      </c>
      <c r="N61" s="500">
        <f>'dod3'!N61-'dod3 Квітень+Комісії+Сесія'!N60</f>
        <v>0</v>
      </c>
      <c r="O61" s="500">
        <f>'dod3'!O61-'dod3 Квітень+Комісії+Сесія'!O60</f>
        <v>0</v>
      </c>
      <c r="P61" s="500">
        <f>'dod3'!P61-'dod3 Квітень+Комісії+Сесія'!P60</f>
        <v>0</v>
      </c>
    </row>
    <row r="62" spans="1:22" ht="183" x14ac:dyDescent="0.2">
      <c r="A62" s="302" t="s">
        <v>476</v>
      </c>
      <c r="B62" s="497" t="s">
        <v>477</v>
      </c>
      <c r="C62" s="497" t="s">
        <v>117</v>
      </c>
      <c r="D62" s="498" t="s">
        <v>15</v>
      </c>
      <c r="E62" s="500">
        <f>'dod3'!E62-'dod3 Квітень+Комісії+Сесія'!E61</f>
        <v>0</v>
      </c>
      <c r="F62" s="500">
        <f>'dod3'!F62-'dod3 Квітень+Комісії+Сесія'!F61</f>
        <v>0</v>
      </c>
      <c r="G62" s="500">
        <f>'dod3'!G62-'dod3 Квітень+Комісії+Сесія'!G61</f>
        <v>0</v>
      </c>
      <c r="H62" s="500">
        <f>'dod3'!H62-'dod3 Квітень+Комісії+Сесія'!H61</f>
        <v>0</v>
      </c>
      <c r="I62" s="500">
        <f>'dod3'!I62-'dod3 Квітень+Комісії+Сесія'!I61</f>
        <v>0</v>
      </c>
      <c r="J62" s="500">
        <f>'dod3'!J62-'dod3 Квітень+Комісії+Сесія'!J61</f>
        <v>0</v>
      </c>
      <c r="K62" s="500">
        <f>'dod3'!K62-'dod3 Квітень+Комісії+Сесія'!K61</f>
        <v>0</v>
      </c>
      <c r="L62" s="500">
        <f>'dod3'!L62-'dod3 Квітень+Комісії+Сесія'!L61</f>
        <v>0</v>
      </c>
      <c r="M62" s="500">
        <f>'dod3'!M62-'dod3 Квітень+Комісії+Сесія'!M61</f>
        <v>0</v>
      </c>
      <c r="N62" s="500">
        <f>'dod3'!N62-'dod3 Квітень+Комісії+Сесія'!N61</f>
        <v>0</v>
      </c>
      <c r="O62" s="500">
        <f>'dod3'!O62-'dod3 Квітень+Комісії+Сесія'!O61</f>
        <v>0</v>
      </c>
      <c r="P62" s="500">
        <f>'dod3'!P62-'dod3 Квітень+Комісії+Сесія'!P61</f>
        <v>0</v>
      </c>
    </row>
    <row r="63" spans="1:22" ht="228.75" x14ac:dyDescent="0.2">
      <c r="A63" s="496" t="s">
        <v>478</v>
      </c>
      <c r="B63" s="496" t="s">
        <v>479</v>
      </c>
      <c r="C63" s="498"/>
      <c r="D63" s="496" t="s">
        <v>16</v>
      </c>
      <c r="E63" s="500">
        <f>'dod3'!E63-'dod3 Квітень+Комісії+Сесія'!E62</f>
        <v>0</v>
      </c>
      <c r="F63" s="500">
        <f>'dod3'!F63-'dod3 Квітень+Комісії+Сесія'!F62</f>
        <v>0</v>
      </c>
      <c r="G63" s="500">
        <f>'dod3'!G63-'dod3 Квітень+Комісії+Сесія'!G62</f>
        <v>0</v>
      </c>
      <c r="H63" s="500">
        <f>'dod3'!H63-'dod3 Квітень+Комісії+Сесія'!H62</f>
        <v>0</v>
      </c>
      <c r="I63" s="500">
        <f>'dod3'!I63-'dod3 Квітень+Комісії+Сесія'!I62</f>
        <v>0</v>
      </c>
      <c r="J63" s="500">
        <f>'dod3'!J63-'dod3 Квітень+Комісії+Сесія'!J62</f>
        <v>0</v>
      </c>
      <c r="K63" s="500">
        <f>'dod3'!K63-'dod3 Квітень+Комісії+Сесія'!K62</f>
        <v>0</v>
      </c>
      <c r="L63" s="500">
        <f>'dod3'!L63-'dod3 Квітень+Комісії+Сесія'!L62</f>
        <v>0</v>
      </c>
      <c r="M63" s="500">
        <f>'dod3'!M63-'dod3 Квітень+Комісії+Сесія'!M62</f>
        <v>0</v>
      </c>
      <c r="N63" s="500">
        <f>'dod3'!N63-'dod3 Квітень+Комісії+Сесія'!N62</f>
        <v>0</v>
      </c>
      <c r="O63" s="500">
        <f>'dod3'!O63-'dod3 Квітень+Комісії+Сесія'!O62</f>
        <v>0</v>
      </c>
      <c r="P63" s="500">
        <f>'dod3'!P63-'dod3 Квітень+Комісії+Сесія'!P62</f>
        <v>0</v>
      </c>
    </row>
    <row r="64" spans="1:22" ht="274.5" x14ac:dyDescent="0.2">
      <c r="A64" s="498" t="s">
        <v>481</v>
      </c>
      <c r="B64" s="498" t="s">
        <v>482</v>
      </c>
      <c r="C64" s="498" t="s">
        <v>385</v>
      </c>
      <c r="D64" s="303" t="s">
        <v>480</v>
      </c>
      <c r="E64" s="500">
        <f>'dod3'!E64-'dod3 Квітень+Комісії+Сесія'!E63</f>
        <v>0</v>
      </c>
      <c r="F64" s="500">
        <f>'dod3'!F64-'dod3 Квітень+Комісії+Сесія'!F63</f>
        <v>0</v>
      </c>
      <c r="G64" s="500">
        <f>'dod3'!G64-'dod3 Квітень+Комісії+Сесія'!G63</f>
        <v>0</v>
      </c>
      <c r="H64" s="500">
        <f>'dod3'!H64-'dod3 Квітень+Комісії+Сесія'!H63</f>
        <v>0</v>
      </c>
      <c r="I64" s="500">
        <f>'dod3'!I64-'dod3 Квітень+Комісії+Сесія'!I63</f>
        <v>0</v>
      </c>
      <c r="J64" s="500">
        <f>'dod3'!J64-'dod3 Квітень+Комісії+Сесія'!J63</f>
        <v>0</v>
      </c>
      <c r="K64" s="500">
        <f>'dod3'!K64-'dod3 Квітень+Комісії+Сесія'!K63</f>
        <v>0</v>
      </c>
      <c r="L64" s="500">
        <f>'dod3'!L64-'dod3 Квітень+Комісії+Сесія'!L63</f>
        <v>0</v>
      </c>
      <c r="M64" s="500">
        <f>'dod3'!M64-'dod3 Квітень+Комісії+Сесія'!M63</f>
        <v>0</v>
      </c>
      <c r="N64" s="500">
        <f>'dod3'!N64-'dod3 Квітень+Комісії+Сесія'!N63</f>
        <v>0</v>
      </c>
      <c r="O64" s="500">
        <f>'dod3'!O64-'dod3 Квітень+Комісії+Сесія'!O63</f>
        <v>0</v>
      </c>
      <c r="P64" s="500">
        <f>'dod3'!P64-'dod3 Квітень+Комісії+Сесія'!P63</f>
        <v>0</v>
      </c>
    </row>
    <row r="65" spans="1:16" ht="228.75" x14ac:dyDescent="0.2">
      <c r="A65" s="498" t="s">
        <v>483</v>
      </c>
      <c r="B65" s="498" t="s">
        <v>484</v>
      </c>
      <c r="C65" s="303">
        <v>1060</v>
      </c>
      <c r="D65" s="304" t="s">
        <v>27</v>
      </c>
      <c r="E65" s="500">
        <f>'dod3'!E65-'dod3 Квітень+Комісії+Сесія'!E64</f>
        <v>0</v>
      </c>
      <c r="F65" s="500">
        <f>'dod3'!F65-'dod3 Квітень+Комісії+Сесія'!F64</f>
        <v>0</v>
      </c>
      <c r="G65" s="500">
        <f>'dod3'!G65-'dod3 Квітень+Комісії+Сесія'!G64</f>
        <v>0</v>
      </c>
      <c r="H65" s="500">
        <f>'dod3'!H65-'dod3 Квітень+Комісії+Сесія'!H64</f>
        <v>0</v>
      </c>
      <c r="I65" s="500">
        <f>'dod3'!I65-'dod3 Квітень+Комісії+Сесія'!I64</f>
        <v>0</v>
      </c>
      <c r="J65" s="500">
        <f>'dod3'!J65-'dod3 Квітень+Комісії+Сесія'!J64</f>
        <v>0</v>
      </c>
      <c r="K65" s="500">
        <f>'dod3'!K65-'dod3 Квітень+Комісії+Сесія'!K64</f>
        <v>0</v>
      </c>
      <c r="L65" s="500">
        <f>'dod3'!L65-'dod3 Квітень+Комісії+Сесія'!L64</f>
        <v>0</v>
      </c>
      <c r="M65" s="500">
        <f>'dod3'!M65-'dod3 Квітень+Комісії+Сесія'!M64</f>
        <v>0</v>
      </c>
      <c r="N65" s="500">
        <f>'dod3'!N65-'dod3 Квітень+Комісії+Сесія'!N64</f>
        <v>0</v>
      </c>
      <c r="O65" s="500">
        <f>'dod3'!O65-'dod3 Квітень+Комісії+Сесія'!O64</f>
        <v>0</v>
      </c>
      <c r="P65" s="500">
        <f>'dod3'!P65-'dod3 Квітень+Комісії+Сесія'!P64</f>
        <v>0</v>
      </c>
    </row>
    <row r="66" spans="1:16" ht="320.25" x14ac:dyDescent="0.2">
      <c r="A66" s="495" t="s">
        <v>514</v>
      </c>
      <c r="B66" s="495" t="s">
        <v>515</v>
      </c>
      <c r="C66" s="495"/>
      <c r="D66" s="305" t="s">
        <v>513</v>
      </c>
      <c r="E66" s="500">
        <f>'dod3'!E66-'dod3 Квітень+Комісії+Сесія'!E65</f>
        <v>6800000</v>
      </c>
      <c r="F66" s="500">
        <f>'dod3'!F66-'dod3 Квітень+Комісії+Сесія'!F65</f>
        <v>6800000</v>
      </c>
      <c r="G66" s="500">
        <f>'dod3'!G66-'dod3 Квітень+Комісії+Сесія'!G65</f>
        <v>0</v>
      </c>
      <c r="H66" s="500">
        <f>'dod3'!H66-'dod3 Квітень+Комісії+Сесія'!H65</f>
        <v>0</v>
      </c>
      <c r="I66" s="500">
        <f>'dod3'!I66-'dod3 Квітень+Комісії+Сесія'!I65</f>
        <v>0</v>
      </c>
      <c r="J66" s="500">
        <f>'dod3'!J66-'dod3 Квітень+Комісії+Сесія'!J65</f>
        <v>0</v>
      </c>
      <c r="K66" s="500">
        <f>'dod3'!K66-'dod3 Квітень+Комісії+Сесія'!K65</f>
        <v>0</v>
      </c>
      <c r="L66" s="500">
        <f>'dod3'!L66-'dod3 Квітень+Комісії+Сесія'!L65</f>
        <v>0</v>
      </c>
      <c r="M66" s="500">
        <f>'dod3'!M66-'dod3 Квітень+Комісії+Сесія'!M65</f>
        <v>0</v>
      </c>
      <c r="N66" s="500">
        <f>'dod3'!N66-'dod3 Квітень+Комісії+Сесія'!N65</f>
        <v>0</v>
      </c>
      <c r="O66" s="500">
        <f>'dod3'!O66-'dod3 Квітень+Комісії+Сесія'!O65</f>
        <v>0</v>
      </c>
      <c r="P66" s="500">
        <f>'dod3'!P66-'dod3 Квітень+Комісії+Сесія'!P65</f>
        <v>6800000</v>
      </c>
    </row>
    <row r="67" spans="1:16" s="203" customFormat="1" ht="137.25" x14ac:dyDescent="0.2">
      <c r="A67" s="497" t="s">
        <v>516</v>
      </c>
      <c r="B67" s="497" t="s">
        <v>517</v>
      </c>
      <c r="C67" s="497" t="s">
        <v>385</v>
      </c>
      <c r="D67" s="306" t="s">
        <v>518</v>
      </c>
      <c r="E67" s="500">
        <f>'dod3'!E67-'dod3 Квітень+Комісії+Сесія'!E66</f>
        <v>0</v>
      </c>
      <c r="F67" s="500">
        <f>'dod3'!F67-'dod3 Квітень+Комісії+Сесія'!F66</f>
        <v>0</v>
      </c>
      <c r="G67" s="500">
        <f>'dod3'!G67-'dod3 Квітень+Комісії+Сесія'!G66</f>
        <v>0</v>
      </c>
      <c r="H67" s="500">
        <f>'dod3'!H67-'dod3 Квітень+Комісії+Сесія'!H66</f>
        <v>0</v>
      </c>
      <c r="I67" s="500">
        <f>'dod3'!I67-'dod3 Квітень+Комісії+Сесія'!I66</f>
        <v>0</v>
      </c>
      <c r="J67" s="500">
        <f>'dod3'!J67-'dod3 Квітень+Комісії+Сесія'!J66</f>
        <v>0</v>
      </c>
      <c r="K67" s="500">
        <f>'dod3'!K67-'dod3 Квітень+Комісії+Сесія'!K66</f>
        <v>0</v>
      </c>
      <c r="L67" s="500">
        <f>'dod3'!L67-'dod3 Квітень+Комісії+Сесія'!L66</f>
        <v>0</v>
      </c>
      <c r="M67" s="500">
        <f>'dod3'!M67-'dod3 Квітень+Комісії+Сесія'!M66</f>
        <v>0</v>
      </c>
      <c r="N67" s="500">
        <f>'dod3'!N67-'dod3 Квітень+Комісії+Сесія'!N66</f>
        <v>0</v>
      </c>
      <c r="O67" s="500">
        <f>'dod3'!O67-'dod3 Квітень+Комісії+Сесія'!O66</f>
        <v>0</v>
      </c>
      <c r="P67" s="500">
        <f>'dod3'!P67-'dod3 Квітень+Комісії+Сесія'!P66</f>
        <v>0</v>
      </c>
    </row>
    <row r="68" spans="1:16" s="203" customFormat="1" ht="137.25" x14ac:dyDescent="0.2">
      <c r="A68" s="498" t="s">
        <v>519</v>
      </c>
      <c r="B68" s="498" t="s">
        <v>520</v>
      </c>
      <c r="C68" s="498" t="s">
        <v>386</v>
      </c>
      <c r="D68" s="498" t="s">
        <v>24</v>
      </c>
      <c r="E68" s="500">
        <f>'dod3'!E68-'dod3 Квітень+Комісії+Сесія'!E67</f>
        <v>-200000</v>
      </c>
      <c r="F68" s="500">
        <f>'dod3'!F68-'dod3 Квітень+Комісії+Сесія'!F67</f>
        <v>-200000</v>
      </c>
      <c r="G68" s="500">
        <f>'dod3'!G68-'dod3 Квітень+Комісії+Сесія'!G67</f>
        <v>0</v>
      </c>
      <c r="H68" s="500">
        <f>'dod3'!H68-'dod3 Квітень+Комісії+Сесія'!H67</f>
        <v>0</v>
      </c>
      <c r="I68" s="500">
        <f>'dod3'!I68-'dod3 Квітень+Комісії+Сесія'!I67</f>
        <v>0</v>
      </c>
      <c r="J68" s="500">
        <f>'dod3'!J68-'dod3 Квітень+Комісії+Сесія'!J67</f>
        <v>0</v>
      </c>
      <c r="K68" s="500">
        <f>'dod3'!K68-'dod3 Квітень+Комісії+Сесія'!K67</f>
        <v>0</v>
      </c>
      <c r="L68" s="500">
        <f>'dod3'!L68-'dod3 Квітень+Комісії+Сесія'!L67</f>
        <v>0</v>
      </c>
      <c r="M68" s="500">
        <f>'dod3'!M68-'dod3 Квітень+Комісії+Сесія'!M67</f>
        <v>0</v>
      </c>
      <c r="N68" s="500">
        <f>'dod3'!N68-'dod3 Квітень+Комісії+Сесія'!N67</f>
        <v>0</v>
      </c>
      <c r="O68" s="500">
        <f>'dod3'!O68-'dod3 Квітень+Комісії+Сесія'!O67</f>
        <v>0</v>
      </c>
      <c r="P68" s="500">
        <f>'dod3'!P68-'dod3 Квітень+Комісії+Сесія'!P67</f>
        <v>-200000</v>
      </c>
    </row>
    <row r="69" spans="1:16" s="203" customFormat="1" ht="183" x14ac:dyDescent="0.2">
      <c r="A69" s="498" t="s">
        <v>522</v>
      </c>
      <c r="B69" s="498" t="s">
        <v>523</v>
      </c>
      <c r="C69" s="498" t="s">
        <v>386</v>
      </c>
      <c r="D69" s="497" t="s">
        <v>25</v>
      </c>
      <c r="E69" s="500">
        <f>'dod3'!E69-'dod3 Квітень+Комісії+Сесія'!E68</f>
        <v>0</v>
      </c>
      <c r="F69" s="500">
        <f>'dod3'!F69-'dod3 Квітень+Комісії+Сесія'!F68</f>
        <v>0</v>
      </c>
      <c r="G69" s="500">
        <f>'dod3'!G69-'dod3 Квітень+Комісії+Сесія'!G68</f>
        <v>0</v>
      </c>
      <c r="H69" s="500">
        <f>'dod3'!H69-'dod3 Квітень+Комісії+Сесія'!H68</f>
        <v>0</v>
      </c>
      <c r="I69" s="500">
        <f>'dod3'!I69-'dod3 Квітень+Комісії+Сесія'!I68</f>
        <v>0</v>
      </c>
      <c r="J69" s="500">
        <f>'dod3'!J69-'dod3 Квітень+Комісії+Сесія'!J68</f>
        <v>0</v>
      </c>
      <c r="K69" s="500">
        <f>'dod3'!K69-'dod3 Квітень+Комісії+Сесія'!K68</f>
        <v>0</v>
      </c>
      <c r="L69" s="500">
        <f>'dod3'!L69-'dod3 Квітень+Комісії+Сесія'!L68</f>
        <v>0</v>
      </c>
      <c r="M69" s="500">
        <f>'dod3'!M69-'dod3 Квітень+Комісії+Сесія'!M68</f>
        <v>0</v>
      </c>
      <c r="N69" s="500">
        <f>'dod3'!N69-'dod3 Квітень+Комісії+Сесія'!N68</f>
        <v>0</v>
      </c>
      <c r="O69" s="500">
        <f>'dod3'!O69-'dod3 Квітень+Комісії+Сесія'!O68</f>
        <v>0</v>
      </c>
      <c r="P69" s="500">
        <f>'dod3'!P69-'dod3 Квітень+Комісії+Сесія'!P68</f>
        <v>0</v>
      </c>
    </row>
    <row r="70" spans="1:16" s="203" customFormat="1" ht="183" x14ac:dyDescent="0.2">
      <c r="A70" s="497" t="s">
        <v>524</v>
      </c>
      <c r="B70" s="497" t="s">
        <v>521</v>
      </c>
      <c r="C70" s="497" t="s">
        <v>386</v>
      </c>
      <c r="D70" s="497" t="s">
        <v>26</v>
      </c>
      <c r="E70" s="500">
        <f>'dod3'!E70-'dod3 Квітень+Комісії+Сесія'!E69</f>
        <v>0</v>
      </c>
      <c r="F70" s="500">
        <f>'dod3'!F70-'dod3 Квітень+Комісії+Сесія'!F69</f>
        <v>0</v>
      </c>
      <c r="G70" s="500">
        <f>'dod3'!G70-'dod3 Квітень+Комісії+Сесія'!G69</f>
        <v>0</v>
      </c>
      <c r="H70" s="500">
        <f>'dod3'!H70-'dod3 Квітень+Комісії+Сесія'!H69</f>
        <v>0</v>
      </c>
      <c r="I70" s="500">
        <f>'dod3'!I70-'dod3 Квітень+Комісії+Сесія'!I69</f>
        <v>0</v>
      </c>
      <c r="J70" s="500">
        <f>'dod3'!J70-'dod3 Квітень+Комісії+Сесія'!J69</f>
        <v>0</v>
      </c>
      <c r="K70" s="500">
        <f>'dod3'!K70-'dod3 Квітень+Комісії+Сесія'!K69</f>
        <v>0</v>
      </c>
      <c r="L70" s="500">
        <f>'dod3'!L70-'dod3 Квітень+Комісії+Сесія'!L69</f>
        <v>0</v>
      </c>
      <c r="M70" s="500">
        <f>'dod3'!M70-'dod3 Квітень+Комісії+Сесія'!M69</f>
        <v>0</v>
      </c>
      <c r="N70" s="500">
        <f>'dod3'!N70-'dod3 Квітень+Комісії+Сесія'!N69</f>
        <v>0</v>
      </c>
      <c r="O70" s="500">
        <f>'dod3'!O70-'dod3 Квітень+Комісії+Сесія'!O69</f>
        <v>0</v>
      </c>
      <c r="P70" s="500">
        <f>'dod3'!P70-'dod3 Квітень+Комісії+Сесія'!P69</f>
        <v>0</v>
      </c>
    </row>
    <row r="71" spans="1:16" s="203" customFormat="1" ht="183" x14ac:dyDescent="0.2">
      <c r="A71" s="497" t="s">
        <v>525</v>
      </c>
      <c r="B71" s="497" t="s">
        <v>526</v>
      </c>
      <c r="C71" s="497" t="s">
        <v>386</v>
      </c>
      <c r="D71" s="497" t="s">
        <v>31</v>
      </c>
      <c r="E71" s="500">
        <f>'dod3'!E71-'dod3 Квітень+Комісії+Сесія'!E70</f>
        <v>7000000</v>
      </c>
      <c r="F71" s="500">
        <f>'dod3'!F71-'dod3 Квітень+Комісії+Сесія'!F70</f>
        <v>7000000</v>
      </c>
      <c r="G71" s="500">
        <f>'dod3'!G71-'dod3 Квітень+Комісії+Сесія'!G70</f>
        <v>0</v>
      </c>
      <c r="H71" s="500">
        <f>'dod3'!H71-'dod3 Квітень+Комісії+Сесія'!H70</f>
        <v>0</v>
      </c>
      <c r="I71" s="500">
        <f>'dod3'!I71-'dod3 Квітень+Комісії+Сесія'!I70</f>
        <v>0</v>
      </c>
      <c r="J71" s="500">
        <f>'dod3'!J71-'dod3 Квітень+Комісії+Сесія'!J70</f>
        <v>0</v>
      </c>
      <c r="K71" s="500">
        <f>'dod3'!K71-'dod3 Квітень+Комісії+Сесія'!K70</f>
        <v>0</v>
      </c>
      <c r="L71" s="500">
        <f>'dod3'!L71-'dod3 Квітень+Комісії+Сесія'!L70</f>
        <v>0</v>
      </c>
      <c r="M71" s="500">
        <f>'dod3'!M71-'dod3 Квітень+Комісії+Сесія'!M70</f>
        <v>0</v>
      </c>
      <c r="N71" s="500">
        <f>'dod3'!N71-'dod3 Квітень+Комісії+Сесія'!N70</f>
        <v>0</v>
      </c>
      <c r="O71" s="500">
        <f>'dod3'!O71-'dod3 Квітень+Комісії+Сесія'!O70</f>
        <v>0</v>
      </c>
      <c r="P71" s="500">
        <f>'dod3'!P71-'dod3 Квітень+Комісії+Сесія'!P70</f>
        <v>7000000</v>
      </c>
    </row>
    <row r="72" spans="1:16" ht="183" x14ac:dyDescent="0.2">
      <c r="A72" s="496" t="s">
        <v>455</v>
      </c>
      <c r="B72" s="496" t="s">
        <v>456</v>
      </c>
      <c r="C72" s="496"/>
      <c r="D72" s="496" t="s">
        <v>733</v>
      </c>
      <c r="E72" s="500">
        <f>'dod3'!E72-'dod3 Квітень+Комісії+Сесія'!E71</f>
        <v>0</v>
      </c>
      <c r="F72" s="500">
        <f>'dod3'!F72-'dod3 Квітень+Комісії+Сесія'!F71</f>
        <v>0</v>
      </c>
      <c r="G72" s="500">
        <f>'dod3'!G72-'dod3 Квітень+Комісії+Сесія'!G71</f>
        <v>0</v>
      </c>
      <c r="H72" s="500">
        <f>'dod3'!H72-'dod3 Квітень+Комісії+Сесія'!H71</f>
        <v>0</v>
      </c>
      <c r="I72" s="500">
        <f>'dod3'!I72-'dod3 Квітень+Комісії+Сесія'!I71</f>
        <v>0</v>
      </c>
      <c r="J72" s="500">
        <f>'dod3'!J72-'dod3 Квітень+Комісії+Сесія'!J71</f>
        <v>0</v>
      </c>
      <c r="K72" s="500">
        <f>'dod3'!K72-'dod3 Квітень+Комісії+Сесія'!K71</f>
        <v>0</v>
      </c>
      <c r="L72" s="500">
        <f>'dod3'!L72-'dod3 Квітень+Комісії+Сесія'!L71</f>
        <v>0</v>
      </c>
      <c r="M72" s="500">
        <f>'dod3'!M72-'dod3 Квітень+Комісії+Сесія'!M71</f>
        <v>0</v>
      </c>
      <c r="N72" s="500">
        <f>'dod3'!N72-'dod3 Квітень+Комісії+Сесія'!N71</f>
        <v>0</v>
      </c>
      <c r="O72" s="500">
        <f>'dod3'!O72-'dod3 Квітень+Комісії+Сесія'!O71</f>
        <v>0</v>
      </c>
      <c r="P72" s="500">
        <f>'dod3'!P72-'dod3 Квітень+Комісії+Сесія'!P71</f>
        <v>0</v>
      </c>
    </row>
    <row r="73" spans="1:16" s="203" customFormat="1" ht="91.5" x14ac:dyDescent="0.2">
      <c r="A73" s="498" t="s">
        <v>465</v>
      </c>
      <c r="B73" s="498" t="s">
        <v>457</v>
      </c>
      <c r="C73" s="498" t="s">
        <v>353</v>
      </c>
      <c r="D73" s="498" t="s">
        <v>18</v>
      </c>
      <c r="E73" s="500">
        <f>'dod3'!E73-'dod3 Квітень+Комісії+Сесія'!E72</f>
        <v>0</v>
      </c>
      <c r="F73" s="500">
        <f>'dod3'!F73-'dod3 Квітень+Комісії+Сесія'!F72</f>
        <v>0</v>
      </c>
      <c r="G73" s="500">
        <f>'dod3'!G73-'dod3 Квітень+Комісії+Сесія'!G72</f>
        <v>0</v>
      </c>
      <c r="H73" s="500">
        <f>'dod3'!H73-'dod3 Квітень+Комісії+Сесія'!H72</f>
        <v>0</v>
      </c>
      <c r="I73" s="500">
        <f>'dod3'!I73-'dod3 Квітень+Комісії+Сесія'!I72</f>
        <v>0</v>
      </c>
      <c r="J73" s="500">
        <f>'dod3'!J73-'dod3 Квітень+Комісії+Сесія'!J72</f>
        <v>0</v>
      </c>
      <c r="K73" s="500">
        <f>'dod3'!K73-'dod3 Квітень+Комісії+Сесія'!K72</f>
        <v>0</v>
      </c>
      <c r="L73" s="500">
        <f>'dod3'!L73-'dod3 Квітень+Комісії+Сесія'!L72</f>
        <v>0</v>
      </c>
      <c r="M73" s="500">
        <f>'dod3'!M73-'dod3 Квітень+Комісії+Сесія'!M72</f>
        <v>0</v>
      </c>
      <c r="N73" s="500">
        <f>'dod3'!N73-'dod3 Квітень+Комісії+Сесія'!N72</f>
        <v>0</v>
      </c>
      <c r="O73" s="500">
        <f>'dod3'!O73-'dod3 Квітень+Комісії+Сесія'!O72</f>
        <v>0</v>
      </c>
      <c r="P73" s="500">
        <f>'dod3'!P73-'dod3 Квітень+Комісії+Сесія'!P72</f>
        <v>0</v>
      </c>
    </row>
    <row r="74" spans="1:16" s="203" customFormat="1" ht="91.5" x14ac:dyDescent="0.2">
      <c r="A74" s="498" t="s">
        <v>466</v>
      </c>
      <c r="B74" s="498" t="s">
        <v>458</v>
      </c>
      <c r="C74" s="498" t="s">
        <v>353</v>
      </c>
      <c r="D74" s="498" t="s">
        <v>464</v>
      </c>
      <c r="E74" s="500">
        <f>'dod3'!E74-'dod3 Квітень+Комісії+Сесія'!E73</f>
        <v>0</v>
      </c>
      <c r="F74" s="500">
        <f>'dod3'!F74-'dod3 Квітень+Комісії+Сесія'!F73</f>
        <v>0</v>
      </c>
      <c r="G74" s="500">
        <f>'dod3'!G74-'dod3 Квітень+Комісії+Сесія'!G73</f>
        <v>0</v>
      </c>
      <c r="H74" s="500">
        <f>'dod3'!H74-'dod3 Квітень+Комісії+Сесія'!H73</f>
        <v>0</v>
      </c>
      <c r="I74" s="500">
        <f>'dod3'!I74-'dod3 Квітень+Комісії+Сесія'!I73</f>
        <v>0</v>
      </c>
      <c r="J74" s="500">
        <f>'dod3'!J74-'dod3 Квітень+Комісії+Сесія'!J73</f>
        <v>0</v>
      </c>
      <c r="K74" s="500">
        <f>'dod3'!K74-'dod3 Квітень+Комісії+Сесія'!K73</f>
        <v>0</v>
      </c>
      <c r="L74" s="500">
        <f>'dod3'!L74-'dod3 Квітень+Комісії+Сесія'!L73</f>
        <v>0</v>
      </c>
      <c r="M74" s="500">
        <f>'dod3'!M74-'dod3 Квітень+Комісії+Сесія'!M73</f>
        <v>0</v>
      </c>
      <c r="N74" s="500">
        <f>'dod3'!N74-'dod3 Квітень+Комісії+Сесія'!N73</f>
        <v>0</v>
      </c>
      <c r="O74" s="500">
        <f>'dod3'!O74-'dod3 Квітень+Комісії+Сесія'!O73</f>
        <v>0</v>
      </c>
      <c r="P74" s="500">
        <f>'dod3'!P74-'dod3 Квітень+Комісії+Сесія'!P73</f>
        <v>0</v>
      </c>
    </row>
    <row r="75" spans="1:16" s="203" customFormat="1" ht="91.5" x14ac:dyDescent="0.2">
      <c r="A75" s="498" t="s">
        <v>467</v>
      </c>
      <c r="B75" s="498" t="s">
        <v>459</v>
      </c>
      <c r="C75" s="498" t="s">
        <v>353</v>
      </c>
      <c r="D75" s="498" t="s">
        <v>19</v>
      </c>
      <c r="E75" s="500">
        <f>'dod3'!E75-'dod3 Квітень+Комісії+Сесія'!E74</f>
        <v>0</v>
      </c>
      <c r="F75" s="500">
        <f>'dod3'!F75-'dod3 Квітень+Комісії+Сесія'!F74</f>
        <v>0</v>
      </c>
      <c r="G75" s="500">
        <f>'dod3'!G75-'dod3 Квітень+Комісії+Сесія'!G74</f>
        <v>0</v>
      </c>
      <c r="H75" s="500">
        <f>'dod3'!H75-'dod3 Квітень+Комісії+Сесія'!H74</f>
        <v>0</v>
      </c>
      <c r="I75" s="500">
        <f>'dod3'!I75-'dod3 Квітень+Комісії+Сесія'!I74</f>
        <v>0</v>
      </c>
      <c r="J75" s="500">
        <f>'dod3'!J75-'dod3 Квітень+Комісії+Сесія'!J74</f>
        <v>0</v>
      </c>
      <c r="K75" s="500">
        <f>'dod3'!K75-'dod3 Квітень+Комісії+Сесія'!K74</f>
        <v>0</v>
      </c>
      <c r="L75" s="500">
        <f>'dod3'!L75-'dod3 Квітень+Комісії+Сесія'!L74</f>
        <v>0</v>
      </c>
      <c r="M75" s="500">
        <f>'dod3'!M75-'dod3 Квітень+Комісії+Сесія'!M74</f>
        <v>0</v>
      </c>
      <c r="N75" s="500">
        <f>'dod3'!N75-'dod3 Квітень+Комісії+Сесія'!N74</f>
        <v>0</v>
      </c>
      <c r="O75" s="500">
        <f>'dod3'!O75-'dod3 Квітень+Комісії+Сесія'!O74</f>
        <v>0</v>
      </c>
      <c r="P75" s="500">
        <f>'dod3'!P75-'dod3 Квітень+Комісії+Сесія'!P74</f>
        <v>0</v>
      </c>
    </row>
    <row r="76" spans="1:16" s="203" customFormat="1" ht="137.25" x14ac:dyDescent="0.2">
      <c r="A76" s="498" t="s">
        <v>468</v>
      </c>
      <c r="B76" s="498" t="s">
        <v>460</v>
      </c>
      <c r="C76" s="498" t="s">
        <v>353</v>
      </c>
      <c r="D76" s="498" t="s">
        <v>20</v>
      </c>
      <c r="E76" s="500">
        <f>'dod3'!E76-'dod3 Квітень+Комісії+Сесія'!E75</f>
        <v>0</v>
      </c>
      <c r="F76" s="500">
        <f>'dod3'!F76-'dod3 Квітень+Комісії+Сесія'!F75</f>
        <v>0</v>
      </c>
      <c r="G76" s="500">
        <f>'dod3'!G76-'dod3 Квітень+Комісії+Сесія'!G75</f>
        <v>0</v>
      </c>
      <c r="H76" s="500">
        <f>'dod3'!H76-'dod3 Квітень+Комісії+Сесія'!H75</f>
        <v>0</v>
      </c>
      <c r="I76" s="500">
        <f>'dod3'!I76-'dod3 Квітень+Комісії+Сесія'!I75</f>
        <v>0</v>
      </c>
      <c r="J76" s="500">
        <f>'dod3'!J76-'dod3 Квітень+Комісії+Сесія'!J75</f>
        <v>0</v>
      </c>
      <c r="K76" s="500">
        <f>'dod3'!K76-'dod3 Квітень+Комісії+Сесія'!K75</f>
        <v>0</v>
      </c>
      <c r="L76" s="500">
        <f>'dod3'!L76-'dod3 Квітень+Комісії+Сесія'!L75</f>
        <v>0</v>
      </c>
      <c r="M76" s="500">
        <f>'dod3'!M76-'dod3 Квітень+Комісії+Сесія'!M75</f>
        <v>0</v>
      </c>
      <c r="N76" s="500">
        <f>'dod3'!N76-'dod3 Квітень+Комісії+Сесія'!N75</f>
        <v>0</v>
      </c>
      <c r="O76" s="500">
        <f>'dod3'!O76-'dod3 Квітень+Комісії+Сесія'!O75</f>
        <v>0</v>
      </c>
      <c r="P76" s="500">
        <f>'dod3'!P76-'dod3 Квітень+Комісії+Сесія'!P75</f>
        <v>0</v>
      </c>
    </row>
    <row r="77" spans="1:16" s="203" customFormat="1" ht="91.5" x14ac:dyDescent="0.2">
      <c r="A77" s="498" t="s">
        <v>469</v>
      </c>
      <c r="B77" s="498" t="s">
        <v>461</v>
      </c>
      <c r="C77" s="498" t="s">
        <v>353</v>
      </c>
      <c r="D77" s="498" t="s">
        <v>21</v>
      </c>
      <c r="E77" s="500">
        <f>'dod3'!E77-'dod3 Квітень+Комісії+Сесія'!E76</f>
        <v>0</v>
      </c>
      <c r="F77" s="500">
        <f>'dod3'!F77-'dod3 Квітень+Комісії+Сесія'!F76</f>
        <v>0</v>
      </c>
      <c r="G77" s="500">
        <f>'dod3'!G77-'dod3 Квітень+Комісії+Сесія'!G76</f>
        <v>0</v>
      </c>
      <c r="H77" s="500">
        <f>'dod3'!H77-'dod3 Квітень+Комісії+Сесія'!H76</f>
        <v>0</v>
      </c>
      <c r="I77" s="500">
        <f>'dod3'!I77-'dod3 Квітень+Комісії+Сесія'!I76</f>
        <v>0</v>
      </c>
      <c r="J77" s="500">
        <f>'dod3'!J77-'dod3 Квітень+Комісії+Сесія'!J76</f>
        <v>0</v>
      </c>
      <c r="K77" s="500">
        <f>'dod3'!K77-'dod3 Квітень+Комісії+Сесія'!K76</f>
        <v>0</v>
      </c>
      <c r="L77" s="500">
        <f>'dod3'!L77-'dod3 Квітень+Комісії+Сесія'!L76</f>
        <v>0</v>
      </c>
      <c r="M77" s="500">
        <f>'dod3'!M77-'dod3 Квітень+Комісії+Сесія'!M76</f>
        <v>0</v>
      </c>
      <c r="N77" s="500">
        <f>'dod3'!N77-'dod3 Квітень+Комісії+Сесія'!N76</f>
        <v>0</v>
      </c>
      <c r="O77" s="500">
        <f>'dod3'!O77-'dod3 Квітень+Комісії+Сесія'!O76</f>
        <v>0</v>
      </c>
      <c r="P77" s="500">
        <f>'dod3'!P77-'dod3 Квітень+Комісії+Сесія'!P76</f>
        <v>0</v>
      </c>
    </row>
    <row r="78" spans="1:16" s="203" customFormat="1" ht="91.5" x14ac:dyDescent="0.2">
      <c r="A78" s="498" t="s">
        <v>470</v>
      </c>
      <c r="B78" s="498" t="s">
        <v>462</v>
      </c>
      <c r="C78" s="498" t="s">
        <v>353</v>
      </c>
      <c r="D78" s="498" t="s">
        <v>22</v>
      </c>
      <c r="E78" s="500">
        <f>'dod3'!E78-'dod3 Квітень+Комісії+Сесія'!E77</f>
        <v>0</v>
      </c>
      <c r="F78" s="500">
        <f>'dod3'!F78-'dod3 Квітень+Комісії+Сесія'!F77</f>
        <v>0</v>
      </c>
      <c r="G78" s="500">
        <f>'dod3'!G78-'dod3 Квітень+Комісії+Сесія'!G77</f>
        <v>0</v>
      </c>
      <c r="H78" s="500">
        <f>'dod3'!H78-'dod3 Квітень+Комісії+Сесія'!H77</f>
        <v>0</v>
      </c>
      <c r="I78" s="500">
        <f>'dod3'!I78-'dod3 Квітень+Комісії+Сесія'!I77</f>
        <v>0</v>
      </c>
      <c r="J78" s="500">
        <f>'dod3'!J78-'dod3 Квітень+Комісії+Сесія'!J77</f>
        <v>0</v>
      </c>
      <c r="K78" s="500">
        <f>'dod3'!K78-'dod3 Квітень+Комісії+Сесія'!K77</f>
        <v>0</v>
      </c>
      <c r="L78" s="500">
        <f>'dod3'!L78-'dod3 Квітень+Комісії+Сесія'!L77</f>
        <v>0</v>
      </c>
      <c r="M78" s="500">
        <f>'dod3'!M78-'dod3 Квітень+Комісії+Сесія'!M77</f>
        <v>0</v>
      </c>
      <c r="N78" s="500">
        <f>'dod3'!N78-'dod3 Квітень+Комісії+Сесія'!N77</f>
        <v>0</v>
      </c>
      <c r="O78" s="500">
        <f>'dod3'!O78-'dod3 Квітень+Комісії+Сесія'!O77</f>
        <v>0</v>
      </c>
      <c r="P78" s="500">
        <f>'dod3'!P78-'dod3 Квітень+Комісії+Сесія'!P77</f>
        <v>0</v>
      </c>
    </row>
    <row r="79" spans="1:16" s="203" customFormat="1" ht="137.25" x14ac:dyDescent="0.2">
      <c r="A79" s="498" t="s">
        <v>471</v>
      </c>
      <c r="B79" s="498" t="s">
        <v>463</v>
      </c>
      <c r="C79" s="498" t="s">
        <v>353</v>
      </c>
      <c r="D79" s="498" t="s">
        <v>23</v>
      </c>
      <c r="E79" s="500">
        <f>'dod3'!E79-'dod3 Квітень+Комісії+Сесія'!E78</f>
        <v>0</v>
      </c>
      <c r="F79" s="500">
        <f>'dod3'!F79-'dod3 Квітень+Комісії+Сесія'!F78</f>
        <v>0</v>
      </c>
      <c r="G79" s="500">
        <f>'dod3'!G79-'dod3 Квітень+Комісії+Сесія'!G78</f>
        <v>0</v>
      </c>
      <c r="H79" s="500">
        <f>'dod3'!H79-'dod3 Квітень+Комісії+Сесія'!H78</f>
        <v>0</v>
      </c>
      <c r="I79" s="500">
        <f>'dod3'!I79-'dod3 Квітень+Комісії+Сесія'!I78</f>
        <v>0</v>
      </c>
      <c r="J79" s="500">
        <f>'dod3'!J79-'dod3 Квітень+Комісії+Сесія'!J78</f>
        <v>0</v>
      </c>
      <c r="K79" s="500">
        <f>'dod3'!K79-'dod3 Квітень+Комісії+Сесія'!K78</f>
        <v>0</v>
      </c>
      <c r="L79" s="500">
        <f>'dod3'!L79-'dod3 Квітень+Комісії+Сесія'!L78</f>
        <v>0</v>
      </c>
      <c r="M79" s="500">
        <f>'dod3'!M79-'dod3 Квітень+Комісії+Сесія'!M78</f>
        <v>0</v>
      </c>
      <c r="N79" s="500">
        <f>'dod3'!N79-'dod3 Квітень+Комісії+Сесія'!N78</f>
        <v>0</v>
      </c>
      <c r="O79" s="500">
        <f>'dod3'!O79-'dod3 Квітень+Комісії+Сесія'!O78</f>
        <v>0</v>
      </c>
      <c r="P79" s="500">
        <f>'dod3'!P79-'dod3 Квітень+Комісії+Сесія'!P78</f>
        <v>0</v>
      </c>
    </row>
    <row r="80" spans="1:16" ht="183" x14ac:dyDescent="0.2">
      <c r="A80" s="496" t="s">
        <v>485</v>
      </c>
      <c r="B80" s="496" t="s">
        <v>472</v>
      </c>
      <c r="C80" s="496" t="s">
        <v>386</v>
      </c>
      <c r="D80" s="496" t="s">
        <v>17</v>
      </c>
      <c r="E80" s="500">
        <f>'dod3'!E80-'dod3 Квітень+Комісії+Сесія'!E79</f>
        <v>0</v>
      </c>
      <c r="F80" s="500">
        <f>'dod3'!F80-'dod3 Квітень+Комісії+Сесія'!F79</f>
        <v>0</v>
      </c>
      <c r="G80" s="500">
        <f>'dod3'!G80-'dod3 Квітень+Комісії+Сесія'!G79</f>
        <v>0</v>
      </c>
      <c r="H80" s="500">
        <f>'dod3'!H80-'dod3 Квітень+Комісії+Сесія'!H79</f>
        <v>0</v>
      </c>
      <c r="I80" s="500">
        <f>'dod3'!I80-'dod3 Квітень+Комісії+Сесія'!I79</f>
        <v>0</v>
      </c>
      <c r="J80" s="500">
        <f>'dod3'!J80-'dod3 Квітень+Комісії+Сесія'!J79</f>
        <v>0</v>
      </c>
      <c r="K80" s="500">
        <f>'dod3'!K80-'dod3 Квітень+Комісії+Сесія'!K79</f>
        <v>0</v>
      </c>
      <c r="L80" s="500">
        <f>'dod3'!L80-'dod3 Квітень+Комісії+Сесія'!L79</f>
        <v>0</v>
      </c>
      <c r="M80" s="500">
        <f>'dod3'!M80-'dod3 Квітень+Комісії+Сесія'!M79</f>
        <v>0</v>
      </c>
      <c r="N80" s="500">
        <f>'dod3'!N80-'dod3 Квітень+Комісії+Сесія'!N79</f>
        <v>0</v>
      </c>
      <c r="O80" s="500">
        <f>'dod3'!O80-'dod3 Квітень+Комісії+Сесія'!O79</f>
        <v>0</v>
      </c>
      <c r="P80" s="500">
        <f>'dod3'!P80-'dod3 Квітень+Комісії+Сесія'!P79</f>
        <v>0</v>
      </c>
    </row>
    <row r="81" spans="1:16" ht="361.5" customHeight="1" x14ac:dyDescent="0.2">
      <c r="A81" s="720" t="s">
        <v>475</v>
      </c>
      <c r="B81" s="721" t="s">
        <v>473</v>
      </c>
      <c r="C81" s="721"/>
      <c r="D81" s="307" t="s">
        <v>737</v>
      </c>
      <c r="E81" s="735">
        <f t="shared" ref="E81" si="12">F81</f>
        <v>0</v>
      </c>
      <c r="F81" s="724">
        <f>SUM(F83:F87)</f>
        <v>0</v>
      </c>
      <c r="G81" s="724"/>
      <c r="H81" s="724"/>
      <c r="I81" s="724"/>
      <c r="J81" s="738">
        <f t="shared" ref="J81" si="13">K81+N81</f>
        <v>0</v>
      </c>
      <c r="K81" s="724"/>
      <c r="L81" s="724"/>
      <c r="M81" s="724"/>
      <c r="N81" s="724">
        <f t="shared" ref="N81" si="14">O81</f>
        <v>0</v>
      </c>
      <c r="O81" s="724"/>
      <c r="P81" s="738">
        <f t="shared" ref="P81" si="15">E81+J81</f>
        <v>0</v>
      </c>
    </row>
    <row r="82" spans="1:16" ht="336" customHeight="1" x14ac:dyDescent="0.2">
      <c r="A82" s="694"/>
      <c r="B82" s="722"/>
      <c r="C82" s="722"/>
      <c r="D82" s="308" t="s">
        <v>738</v>
      </c>
      <c r="E82" s="736"/>
      <c r="F82" s="719"/>
      <c r="G82" s="737"/>
      <c r="H82" s="737"/>
      <c r="I82" s="719"/>
      <c r="J82" s="737"/>
      <c r="K82" s="719"/>
      <c r="L82" s="737"/>
      <c r="M82" s="737"/>
      <c r="N82" s="719"/>
      <c r="O82" s="737"/>
      <c r="P82" s="737"/>
    </row>
    <row r="83" spans="1:16" s="203" customFormat="1" ht="183" x14ac:dyDescent="0.2">
      <c r="A83" s="498" t="s">
        <v>739</v>
      </c>
      <c r="B83" s="498" t="s">
        <v>740</v>
      </c>
      <c r="C83" s="498" t="s">
        <v>377</v>
      </c>
      <c r="D83" s="498" t="s">
        <v>736</v>
      </c>
      <c r="E83" s="499">
        <f>'dod3'!E83-'dod3 Квітень+Комісії+Сесія'!E82</f>
        <v>0</v>
      </c>
      <c r="F83" s="499">
        <f>'dod3'!F83-'dod3 Квітень+Комісії+Сесія'!F82</f>
        <v>0</v>
      </c>
      <c r="G83" s="499">
        <f>'dod3'!G83-'dod3 Квітень+Комісії+Сесія'!G82</f>
        <v>0</v>
      </c>
      <c r="H83" s="499">
        <f>'dod3'!H83-'dod3 Квітень+Комісії+Сесія'!H82</f>
        <v>0</v>
      </c>
      <c r="I83" s="499">
        <f>'dod3'!I83-'dod3 Квітень+Комісії+Сесія'!I82</f>
        <v>0</v>
      </c>
      <c r="J83" s="499">
        <f>'dod3'!J83-'dod3 Квітень+Комісії+Сесія'!J82</f>
        <v>0</v>
      </c>
      <c r="K83" s="499">
        <f>'dod3'!K83-'dod3 Квітень+Комісії+Сесія'!K82</f>
        <v>0</v>
      </c>
      <c r="L83" s="499">
        <f>'dod3'!L83-'dod3 Квітень+Комісії+Сесія'!L82</f>
        <v>0</v>
      </c>
      <c r="M83" s="499">
        <f>'dod3'!M83-'dod3 Квітень+Комісії+Сесія'!M82</f>
        <v>0</v>
      </c>
      <c r="N83" s="499">
        <f>'dod3'!N83-'dod3 Квітень+Комісії+Сесія'!N82</f>
        <v>0</v>
      </c>
      <c r="O83" s="499">
        <f>'dod3'!O83-'dod3 Квітень+Комісії+Сесія'!O82</f>
        <v>0</v>
      </c>
      <c r="P83" s="499">
        <f>'dod3'!P83-'dod3 Квітень+Комісії+Сесія'!P82</f>
        <v>0</v>
      </c>
    </row>
    <row r="84" spans="1:16" s="203" customFormat="1" ht="274.5" x14ac:dyDescent="0.2">
      <c r="A84" s="498" t="s">
        <v>846</v>
      </c>
      <c r="B84" s="498" t="s">
        <v>847</v>
      </c>
      <c r="C84" s="498" t="s">
        <v>377</v>
      </c>
      <c r="D84" s="498" t="s">
        <v>848</v>
      </c>
      <c r="E84" s="499">
        <f>'dod3'!E84-'dod3 Квітень+Комісії+Сесія'!E83</f>
        <v>4500000</v>
      </c>
      <c r="F84" s="499">
        <f>'dod3'!F84-'dod3 Квітень+Комісії+Сесія'!F83</f>
        <v>4500000</v>
      </c>
      <c r="G84" s="499">
        <f>'dod3'!G84-'dod3 Квітень+Комісії+Сесія'!G83</f>
        <v>0</v>
      </c>
      <c r="H84" s="499">
        <f>'dod3'!H84-'dod3 Квітень+Комісії+Сесія'!H83</f>
        <v>0</v>
      </c>
      <c r="I84" s="499">
        <f>'dod3'!I84-'dod3 Квітень+Комісії+Сесія'!I83</f>
        <v>0</v>
      </c>
      <c r="J84" s="499">
        <f>'dod3'!J84-'dod3 Квітень+Комісії+Сесія'!J83</f>
        <v>0</v>
      </c>
      <c r="K84" s="499">
        <f>'dod3'!K84-'dod3 Квітень+Комісії+Сесія'!K83</f>
        <v>0</v>
      </c>
      <c r="L84" s="499">
        <f>'dod3'!L84-'dod3 Квітень+Комісії+Сесія'!L83</f>
        <v>0</v>
      </c>
      <c r="M84" s="499">
        <f>'dod3'!M84-'dod3 Квітень+Комісії+Сесія'!M83</f>
        <v>0</v>
      </c>
      <c r="N84" s="499">
        <f>'dod3'!N84-'dod3 Квітень+Комісії+Сесія'!N83</f>
        <v>0</v>
      </c>
      <c r="O84" s="499">
        <f>'dod3'!O84-'dod3 Квітень+Комісії+Сесія'!O83</f>
        <v>0</v>
      </c>
      <c r="P84" s="499">
        <f>'dod3'!P84-'dod3 Квітень+Комісії+Сесія'!P83</f>
        <v>4500000</v>
      </c>
    </row>
    <row r="85" spans="1:16" s="203" customFormat="1" ht="183" x14ac:dyDescent="0.2">
      <c r="A85" s="498" t="s">
        <v>734</v>
      </c>
      <c r="B85" s="498" t="s">
        <v>735</v>
      </c>
      <c r="C85" s="498" t="s">
        <v>377</v>
      </c>
      <c r="D85" s="498" t="s">
        <v>664</v>
      </c>
      <c r="E85" s="499">
        <f>'dod3'!E85-'dod3 Квітень+Комісії+Сесія'!E84</f>
        <v>-4500000</v>
      </c>
      <c r="F85" s="499">
        <f>'dod3'!F85-'dod3 Квітень+Комісії+Сесія'!F84</f>
        <v>-4500000</v>
      </c>
      <c r="G85" s="499">
        <f>'dod3'!G85-'dod3 Квітень+Комісії+Сесія'!G84</f>
        <v>0</v>
      </c>
      <c r="H85" s="499">
        <f>'dod3'!H85-'dod3 Квітень+Комісії+Сесія'!H84</f>
        <v>0</v>
      </c>
      <c r="I85" s="499">
        <f>'dod3'!I85-'dod3 Квітень+Комісії+Сесія'!I84</f>
        <v>0</v>
      </c>
      <c r="J85" s="499">
        <f>'dod3'!J85-'dod3 Квітень+Комісії+Сесія'!J84</f>
        <v>0</v>
      </c>
      <c r="K85" s="499">
        <f>'dod3'!K85-'dod3 Квітень+Комісії+Сесія'!K84</f>
        <v>0</v>
      </c>
      <c r="L85" s="499">
        <f>'dod3'!L85-'dod3 Квітень+Комісії+Сесія'!L84</f>
        <v>0</v>
      </c>
      <c r="M85" s="499">
        <f>'dod3'!M85-'dod3 Квітень+Комісії+Сесія'!M84</f>
        <v>0</v>
      </c>
      <c r="N85" s="499">
        <f>'dod3'!N85-'dod3 Квітень+Комісії+Сесія'!N84</f>
        <v>0</v>
      </c>
      <c r="O85" s="499">
        <f>'dod3'!O85-'dod3 Квітень+Комісії+Сесія'!O84</f>
        <v>0</v>
      </c>
      <c r="P85" s="499">
        <f>'dod3'!P85-'dod3 Квітень+Комісії+Сесія'!P84</f>
        <v>-4500000</v>
      </c>
    </row>
    <row r="86" spans="1:16" s="203" customFormat="1" ht="274.5" x14ac:dyDescent="0.2">
      <c r="A86" s="498" t="s">
        <v>743</v>
      </c>
      <c r="B86" s="498" t="s">
        <v>744</v>
      </c>
      <c r="C86" s="498" t="s">
        <v>377</v>
      </c>
      <c r="D86" s="498" t="s">
        <v>745</v>
      </c>
      <c r="E86" s="499">
        <f>'dod3'!E86-'dod3 Квітень+Комісії+Сесія'!E85</f>
        <v>0</v>
      </c>
      <c r="F86" s="499">
        <f>'dod3'!F86-'dod3 Квітень+Комісії+Сесія'!F85</f>
        <v>0</v>
      </c>
      <c r="G86" s="499">
        <f>'dod3'!G86-'dod3 Квітень+Комісії+Сесія'!G85</f>
        <v>0</v>
      </c>
      <c r="H86" s="499">
        <f>'dod3'!H86-'dod3 Квітень+Комісії+Сесія'!H85</f>
        <v>0</v>
      </c>
      <c r="I86" s="499">
        <f>'dod3'!I86-'dod3 Квітень+Комісії+Сесія'!I85</f>
        <v>0</v>
      </c>
      <c r="J86" s="499">
        <f>'dod3'!J86-'dod3 Квітень+Комісії+Сесія'!J85</f>
        <v>0</v>
      </c>
      <c r="K86" s="499">
        <f>'dod3'!K86-'dod3 Квітень+Комісії+Сесія'!K85</f>
        <v>0</v>
      </c>
      <c r="L86" s="499">
        <f>'dod3'!L86-'dod3 Квітень+Комісії+Сесія'!L85</f>
        <v>0</v>
      </c>
      <c r="M86" s="499">
        <f>'dod3'!M86-'dod3 Квітень+Комісії+Сесія'!M85</f>
        <v>0</v>
      </c>
      <c r="N86" s="499">
        <f>'dod3'!N86-'dod3 Квітень+Комісії+Сесія'!N85</f>
        <v>0</v>
      </c>
      <c r="O86" s="499">
        <f>'dod3'!O86-'dod3 Квітень+Комісії+Сесія'!O85</f>
        <v>0</v>
      </c>
      <c r="P86" s="499">
        <f>'dod3'!P86-'dod3 Квітень+Комісії+Сесія'!P85</f>
        <v>0</v>
      </c>
    </row>
    <row r="87" spans="1:16" s="203" customFormat="1" ht="320.25" x14ac:dyDescent="0.2">
      <c r="A87" s="498" t="s">
        <v>741</v>
      </c>
      <c r="B87" s="498" t="s">
        <v>742</v>
      </c>
      <c r="C87" s="498" t="s">
        <v>377</v>
      </c>
      <c r="D87" s="498" t="s">
        <v>746</v>
      </c>
      <c r="E87" s="499">
        <f>'dod3'!E87-'dod3 Квітень+Комісії+Сесія'!E86</f>
        <v>0</v>
      </c>
      <c r="F87" s="499">
        <f>'dod3'!F87-'dod3 Квітень+Комісії+Сесія'!F86</f>
        <v>0</v>
      </c>
      <c r="G87" s="499">
        <f>'dod3'!G87-'dod3 Квітень+Комісії+Сесія'!G86</f>
        <v>0</v>
      </c>
      <c r="H87" s="499">
        <f>'dod3'!H87-'dod3 Квітень+Комісії+Сесія'!H86</f>
        <v>0</v>
      </c>
      <c r="I87" s="499">
        <f>'dod3'!I87-'dod3 Квітень+Комісії+Сесія'!I86</f>
        <v>0</v>
      </c>
      <c r="J87" s="499">
        <f>'dod3'!J87-'dod3 Квітень+Комісії+Сесія'!J86</f>
        <v>0</v>
      </c>
      <c r="K87" s="499">
        <f>'dod3'!K87-'dod3 Квітень+Комісії+Сесія'!K86</f>
        <v>0</v>
      </c>
      <c r="L87" s="499">
        <f>'dod3'!L87-'dod3 Квітень+Комісії+Сесія'!L86</f>
        <v>0</v>
      </c>
      <c r="M87" s="499">
        <f>'dod3'!M87-'dod3 Квітень+Комісії+Сесія'!M86</f>
        <v>0</v>
      </c>
      <c r="N87" s="499">
        <f>'dod3'!N87-'dod3 Квітень+Комісії+Сесія'!N86</f>
        <v>0</v>
      </c>
      <c r="O87" s="499">
        <f>'dod3'!O87-'dod3 Квітень+Комісії+Сесія'!O86</f>
        <v>0</v>
      </c>
      <c r="P87" s="499">
        <f>'dod3'!P87-'dod3 Квітень+Комісії+Сесія'!P86</f>
        <v>0</v>
      </c>
    </row>
    <row r="88" spans="1:16" ht="163.5" customHeight="1" x14ac:dyDescent="0.2">
      <c r="A88" s="496" t="s">
        <v>486</v>
      </c>
      <c r="B88" s="496" t="s">
        <v>474</v>
      </c>
      <c r="C88" s="496" t="s">
        <v>385</v>
      </c>
      <c r="D88" s="496" t="s">
        <v>665</v>
      </c>
      <c r="E88" s="499">
        <f>'dod3'!E88-'dod3 Квітень+Комісії+Сесія'!E87</f>
        <v>0</v>
      </c>
      <c r="F88" s="499">
        <f>'dod3'!F88-'dod3 Квітень+Комісії+Сесія'!F87</f>
        <v>0</v>
      </c>
      <c r="G88" s="499">
        <f>'dod3'!G88-'dod3 Квітень+Комісії+Сесія'!G87</f>
        <v>0</v>
      </c>
      <c r="H88" s="499">
        <f>'dod3'!H88-'dod3 Квітень+Комісії+Сесія'!H87</f>
        <v>0</v>
      </c>
      <c r="I88" s="499">
        <f>'dod3'!I88-'dod3 Квітень+Комісії+Сесія'!I87</f>
        <v>0</v>
      </c>
      <c r="J88" s="499">
        <f>'dod3'!J88-'dod3 Квітень+Комісії+Сесія'!J87</f>
        <v>0</v>
      </c>
      <c r="K88" s="499">
        <f>'dod3'!K88-'dod3 Квітень+Комісії+Сесія'!K87</f>
        <v>0</v>
      </c>
      <c r="L88" s="499">
        <f>'dod3'!L88-'dod3 Квітень+Комісії+Сесія'!L87</f>
        <v>0</v>
      </c>
      <c r="M88" s="499">
        <f>'dod3'!M88-'dod3 Квітень+Комісії+Сесія'!M87</f>
        <v>0</v>
      </c>
      <c r="N88" s="499">
        <f>'dod3'!N88-'dod3 Квітень+Комісії+Сесія'!N87</f>
        <v>0</v>
      </c>
      <c r="O88" s="499">
        <f>'dod3'!O88-'dod3 Квітень+Комісії+Сесія'!O87</f>
        <v>0</v>
      </c>
      <c r="P88" s="499">
        <f>'dod3'!P88-'dod3 Квітень+Комісії+Сесія'!P87</f>
        <v>0</v>
      </c>
    </row>
    <row r="89" spans="1:16" ht="274.5" x14ac:dyDescent="0.2">
      <c r="A89" s="496" t="s">
        <v>507</v>
      </c>
      <c r="B89" s="496" t="s">
        <v>508</v>
      </c>
      <c r="C89" s="496"/>
      <c r="D89" s="496" t="s">
        <v>666</v>
      </c>
      <c r="E89" s="499">
        <f>'dod3'!E89-'dod3 Квітень+Комісії+Сесія'!E88</f>
        <v>263200</v>
      </c>
      <c r="F89" s="499">
        <f>'dod3'!F89-'dod3 Квітень+Комісії+Сесія'!F88</f>
        <v>263200</v>
      </c>
      <c r="G89" s="499">
        <f>'dod3'!G89-'dod3 Квітень+Комісії+Сесія'!G88</f>
        <v>36900</v>
      </c>
      <c r="H89" s="499">
        <f>'dod3'!H89-'dod3 Квітень+Комісії+Сесія'!H88</f>
        <v>20200</v>
      </c>
      <c r="I89" s="499">
        <f>'dod3'!I89-'dod3 Квітень+Комісії+Сесія'!I88</f>
        <v>0</v>
      </c>
      <c r="J89" s="499">
        <f>'dod3'!J89-'dod3 Квітень+Комісії+Сесія'!J88</f>
        <v>35000</v>
      </c>
      <c r="K89" s="499">
        <f>'dod3'!K89-'dod3 Квітень+Комісії+Сесія'!K88</f>
        <v>0</v>
      </c>
      <c r="L89" s="499">
        <f>'dod3'!L89-'dod3 Квітень+Комісії+Сесія'!L88</f>
        <v>0</v>
      </c>
      <c r="M89" s="499">
        <f>'dod3'!M89-'dod3 Квітень+Комісії+Сесія'!M88</f>
        <v>0</v>
      </c>
      <c r="N89" s="499">
        <f>'dod3'!N89-'dod3 Квітень+Комісії+Сесія'!N88</f>
        <v>35000</v>
      </c>
      <c r="O89" s="499">
        <f>'dod3'!O89-'dod3 Квітень+Комісії+Сесія'!O88</f>
        <v>35000</v>
      </c>
      <c r="P89" s="499">
        <f>'dod3'!P89-'dod3 Квітень+Комісії+Сесія'!P88</f>
        <v>298200</v>
      </c>
    </row>
    <row r="90" spans="1:16" ht="301.5" customHeight="1" x14ac:dyDescent="0.2">
      <c r="A90" s="498" t="s">
        <v>511</v>
      </c>
      <c r="B90" s="498" t="s">
        <v>509</v>
      </c>
      <c r="C90" s="498" t="s">
        <v>378</v>
      </c>
      <c r="D90" s="498" t="s">
        <v>52</v>
      </c>
      <c r="E90" s="499">
        <f>'dod3'!E90-'dod3 Квітень+Комісії+Сесія'!E89</f>
        <v>263200</v>
      </c>
      <c r="F90" s="499">
        <f>'dod3'!F90-'dod3 Квітень+Комісії+Сесія'!F89</f>
        <v>263200</v>
      </c>
      <c r="G90" s="499">
        <f>'dod3'!G90-'dod3 Квітень+Комісії+Сесія'!G89</f>
        <v>36900</v>
      </c>
      <c r="H90" s="499">
        <f>'dod3'!H90-'dod3 Квітень+Комісії+Сесія'!H89</f>
        <v>20200</v>
      </c>
      <c r="I90" s="499">
        <f>'dod3'!I90-'dod3 Квітень+Комісії+Сесія'!I89</f>
        <v>0</v>
      </c>
      <c r="J90" s="499">
        <f>'dod3'!J90-'dod3 Квітень+Комісії+Сесія'!J89</f>
        <v>35000</v>
      </c>
      <c r="K90" s="499">
        <f>'dod3'!K90-'dod3 Квітень+Комісії+Сесія'!K89</f>
        <v>0</v>
      </c>
      <c r="L90" s="499">
        <f>'dod3'!L90-'dod3 Квітень+Комісії+Сесія'!L89</f>
        <v>0</v>
      </c>
      <c r="M90" s="499">
        <f>'dod3'!M90-'dod3 Квітень+Комісії+Сесія'!M89</f>
        <v>0</v>
      </c>
      <c r="N90" s="499">
        <f>'dod3'!N90-'dod3 Квітень+Комісії+Сесія'!N89</f>
        <v>35000</v>
      </c>
      <c r="O90" s="499">
        <f>'dod3'!O90-'dod3 Квітень+Комісії+Сесія'!O89</f>
        <v>35000</v>
      </c>
      <c r="P90" s="499">
        <f>'dod3'!P90-'dod3 Квітень+Комісії+Сесія'!P89</f>
        <v>298200</v>
      </c>
    </row>
    <row r="91" spans="1:16" ht="137.25" x14ac:dyDescent="0.2">
      <c r="A91" s="498" t="s">
        <v>512</v>
      </c>
      <c r="B91" s="498" t="s">
        <v>510</v>
      </c>
      <c r="C91" s="498" t="s">
        <v>377</v>
      </c>
      <c r="D91" s="498" t="s">
        <v>667</v>
      </c>
      <c r="E91" s="499">
        <f>'dod3'!E91-'dod3 Квітень+Комісії+Сесія'!E90</f>
        <v>0</v>
      </c>
      <c r="F91" s="499">
        <f>'dod3'!F91-'dod3 Квітень+Комісії+Сесія'!F90</f>
        <v>0</v>
      </c>
      <c r="G91" s="499">
        <f>'dod3'!G91-'dod3 Квітень+Комісії+Сесія'!G90</f>
        <v>0</v>
      </c>
      <c r="H91" s="499">
        <f>'dod3'!H91-'dod3 Квітень+Комісії+Сесія'!H90</f>
        <v>0</v>
      </c>
      <c r="I91" s="499">
        <f>'dod3'!I91-'dod3 Квітень+Комісії+Сесія'!I90</f>
        <v>0</v>
      </c>
      <c r="J91" s="499">
        <f>'dod3'!J91-'dod3 Квітень+Комісії+Сесія'!J90</f>
        <v>0</v>
      </c>
      <c r="K91" s="499">
        <f>'dod3'!K91-'dod3 Квітень+Комісії+Сесія'!K90</f>
        <v>0</v>
      </c>
      <c r="L91" s="499">
        <f>'dod3'!L91-'dod3 Квітень+Комісії+Сесія'!L90</f>
        <v>0</v>
      </c>
      <c r="M91" s="499">
        <f>'dod3'!M91-'dod3 Квітень+Комісії+Сесія'!M90</f>
        <v>0</v>
      </c>
      <c r="N91" s="499">
        <f>'dod3'!N91-'dod3 Квітень+Комісії+Сесія'!N90</f>
        <v>0</v>
      </c>
      <c r="O91" s="499">
        <f>'dod3'!O91-'dod3 Квітень+Комісії+Сесія'!O90</f>
        <v>0</v>
      </c>
      <c r="P91" s="499">
        <f>'dod3'!P91-'dod3 Квітень+Комісії+Сесія'!P90</f>
        <v>0</v>
      </c>
    </row>
    <row r="92" spans="1:16" ht="409.5" x14ac:dyDescent="0.2">
      <c r="A92" s="496" t="s">
        <v>504</v>
      </c>
      <c r="B92" s="496" t="s">
        <v>505</v>
      </c>
      <c r="C92" s="496" t="s">
        <v>377</v>
      </c>
      <c r="D92" s="496" t="s">
        <v>668</v>
      </c>
      <c r="E92" s="499">
        <f>'dod3'!E92-'dod3 Квітень+Комісії+Сесія'!E91</f>
        <v>0</v>
      </c>
      <c r="F92" s="499">
        <f>'dod3'!F92-'dod3 Квітень+Комісії+Сесія'!F91</f>
        <v>0</v>
      </c>
      <c r="G92" s="499">
        <f>'dod3'!G92-'dod3 Квітень+Комісії+Сесія'!G91</f>
        <v>0</v>
      </c>
      <c r="H92" s="499">
        <f>'dod3'!H92-'dod3 Квітень+Комісії+Сесія'!H91</f>
        <v>0</v>
      </c>
      <c r="I92" s="499">
        <f>'dod3'!I92-'dod3 Квітень+Комісії+Сесія'!I91</f>
        <v>0</v>
      </c>
      <c r="J92" s="499">
        <f>'dod3'!J92-'dod3 Квітень+Комісії+Сесія'!J91</f>
        <v>0</v>
      </c>
      <c r="K92" s="499">
        <f>'dod3'!K92-'dod3 Квітень+Комісії+Сесія'!K91</f>
        <v>0</v>
      </c>
      <c r="L92" s="499">
        <f>'dod3'!L92-'dod3 Квітень+Комісії+Сесія'!L91</f>
        <v>0</v>
      </c>
      <c r="M92" s="499">
        <f>'dod3'!M92-'dod3 Квітень+Комісії+Сесія'!M91</f>
        <v>0</v>
      </c>
      <c r="N92" s="499">
        <f>'dod3'!N92-'dod3 Квітень+Комісії+Сесія'!N91</f>
        <v>0</v>
      </c>
      <c r="O92" s="499">
        <f>'dod3'!O92-'dod3 Квітень+Комісії+Сесія'!O91</f>
        <v>0</v>
      </c>
      <c r="P92" s="499">
        <f>'dod3'!P92-'dod3 Квітень+Комісії+Сесія'!P91</f>
        <v>0</v>
      </c>
    </row>
    <row r="93" spans="1:16" ht="137.25" x14ac:dyDescent="0.2">
      <c r="A93" s="496" t="s">
        <v>669</v>
      </c>
      <c r="B93" s="496" t="s">
        <v>670</v>
      </c>
      <c r="C93" s="496"/>
      <c r="D93" s="496" t="s">
        <v>671</v>
      </c>
      <c r="E93" s="499">
        <f>'dod3'!E93-'dod3 Квітень+Комісії+Сесія'!E92</f>
        <v>0</v>
      </c>
      <c r="F93" s="499">
        <f>'dod3'!F93-'dod3 Квітень+Комісії+Сесія'!F92</f>
        <v>0</v>
      </c>
      <c r="G93" s="499">
        <f>'dod3'!G93-'dod3 Квітень+Комісії+Сесія'!G92</f>
        <v>0</v>
      </c>
      <c r="H93" s="499">
        <f>'dod3'!H93-'dod3 Квітень+Комісії+Сесія'!H92</f>
        <v>0</v>
      </c>
      <c r="I93" s="499">
        <f>'dod3'!I93-'dod3 Квітень+Комісії+Сесія'!I92</f>
        <v>0</v>
      </c>
      <c r="J93" s="499">
        <f>'dod3'!J93-'dod3 Квітень+Комісії+Сесія'!J92</f>
        <v>0</v>
      </c>
      <c r="K93" s="499">
        <f>'dod3'!K93-'dod3 Квітень+Комісії+Сесія'!K92</f>
        <v>0</v>
      </c>
      <c r="L93" s="499">
        <f>'dod3'!L93-'dod3 Квітень+Комісії+Сесія'!L92</f>
        <v>0</v>
      </c>
      <c r="M93" s="499">
        <f>'dod3'!M93-'dod3 Квітень+Комісії+Сесія'!M92</f>
        <v>0</v>
      </c>
      <c r="N93" s="499">
        <f>'dod3'!N93-'dod3 Квітень+Комісії+Сесія'!N92</f>
        <v>0</v>
      </c>
      <c r="O93" s="499">
        <f>'dod3'!O93-'dod3 Квітень+Комісії+Сесія'!O92</f>
        <v>0</v>
      </c>
      <c r="P93" s="499">
        <f>'dod3'!P93-'dod3 Квітень+Комісії+Сесія'!P92</f>
        <v>0</v>
      </c>
    </row>
    <row r="94" spans="1:16" ht="274.5" x14ac:dyDescent="0.2">
      <c r="A94" s="498" t="s">
        <v>672</v>
      </c>
      <c r="B94" s="498" t="s">
        <v>673</v>
      </c>
      <c r="C94" s="498" t="s">
        <v>377</v>
      </c>
      <c r="D94" s="498" t="s">
        <v>747</v>
      </c>
      <c r="E94" s="499">
        <f>'dod3'!E94-'dod3 Квітень+Комісії+Сесія'!E93</f>
        <v>0</v>
      </c>
      <c r="F94" s="499">
        <f>'dod3'!F94-'dod3 Квітень+Комісії+Сесія'!F93</f>
        <v>0</v>
      </c>
      <c r="G94" s="499">
        <f>'dod3'!G94-'dod3 Квітень+Комісії+Сесія'!G93</f>
        <v>0</v>
      </c>
      <c r="H94" s="499">
        <f>'dod3'!H94-'dod3 Квітень+Комісії+Сесія'!H93</f>
        <v>0</v>
      </c>
      <c r="I94" s="499">
        <f>'dod3'!I94-'dod3 Квітень+Комісії+Сесія'!I93</f>
        <v>0</v>
      </c>
      <c r="J94" s="499">
        <f>'dod3'!J94-'dod3 Квітень+Комісії+Сесія'!J93</f>
        <v>0</v>
      </c>
      <c r="K94" s="499">
        <f>'dod3'!K94-'dod3 Квітень+Комісії+Сесія'!K93</f>
        <v>0</v>
      </c>
      <c r="L94" s="499">
        <f>'dod3'!L94-'dod3 Квітень+Комісії+Сесія'!L93</f>
        <v>0</v>
      </c>
      <c r="M94" s="499">
        <f>'dod3'!M94-'dod3 Квітень+Комісії+Сесія'!M93</f>
        <v>0</v>
      </c>
      <c r="N94" s="499">
        <f>'dod3'!N94-'dod3 Квітень+Комісії+Сесія'!N93</f>
        <v>0</v>
      </c>
      <c r="O94" s="499">
        <f>'dod3'!O94-'dod3 Квітень+Комісії+Сесія'!O93</f>
        <v>0</v>
      </c>
      <c r="P94" s="499">
        <f>'dod3'!P94-'dod3 Квітень+Комісії+Сесія'!P93</f>
        <v>0</v>
      </c>
    </row>
    <row r="95" spans="1:16" ht="112.5" customHeight="1" x14ac:dyDescent="0.2">
      <c r="A95" s="498" t="s">
        <v>674</v>
      </c>
      <c r="B95" s="498" t="s">
        <v>675</v>
      </c>
      <c r="C95" s="498" t="s">
        <v>377</v>
      </c>
      <c r="D95" s="498" t="s">
        <v>748</v>
      </c>
      <c r="E95" s="499">
        <f>'dod3'!E95-'dod3 Квітень+Комісії+Сесія'!E94</f>
        <v>0</v>
      </c>
      <c r="F95" s="499">
        <f>'dod3'!F95-'dod3 Квітень+Комісії+Сесія'!F94</f>
        <v>0</v>
      </c>
      <c r="G95" s="499">
        <f>'dod3'!G95-'dod3 Квітень+Комісії+Сесія'!G94</f>
        <v>0</v>
      </c>
      <c r="H95" s="499">
        <f>'dod3'!H95-'dod3 Квітень+Комісії+Сесія'!H94</f>
        <v>0</v>
      </c>
      <c r="I95" s="499">
        <f>'dod3'!I95-'dod3 Квітень+Комісії+Сесія'!I94</f>
        <v>0</v>
      </c>
      <c r="J95" s="499">
        <f>'dod3'!J95-'dod3 Квітень+Комісії+Сесія'!J94</f>
        <v>0</v>
      </c>
      <c r="K95" s="499">
        <f>'dod3'!K95-'dod3 Квітень+Комісії+Сесія'!K94</f>
        <v>0</v>
      </c>
      <c r="L95" s="499">
        <f>'dod3'!L95-'dod3 Квітень+Комісії+Сесія'!L94</f>
        <v>0</v>
      </c>
      <c r="M95" s="499">
        <f>'dod3'!M95-'dod3 Квітень+Комісії+Сесія'!M94</f>
        <v>0</v>
      </c>
      <c r="N95" s="499">
        <f>'dod3'!N95-'dod3 Квітень+Комісії+Сесія'!N94</f>
        <v>0</v>
      </c>
      <c r="O95" s="499">
        <f>'dod3'!O95-'dod3 Квітень+Комісії+Сесія'!O94</f>
        <v>0</v>
      </c>
      <c r="P95" s="499">
        <f>'dod3'!P95-'dod3 Квітень+Комісії+Сесія'!P94</f>
        <v>0</v>
      </c>
    </row>
    <row r="96" spans="1:16" ht="366" x14ac:dyDescent="0.2">
      <c r="A96" s="496" t="s">
        <v>751</v>
      </c>
      <c r="B96" s="496" t="s">
        <v>750</v>
      </c>
      <c r="C96" s="496" t="s">
        <v>117</v>
      </c>
      <c r="D96" s="496" t="s">
        <v>749</v>
      </c>
      <c r="E96" s="499">
        <f>'dod3'!E96-'dod3 Квітень+Комісії+Сесія'!E95</f>
        <v>0</v>
      </c>
      <c r="F96" s="499">
        <f>'dod3'!F96-'dod3 Квітень+Комісії+Сесія'!F95</f>
        <v>0</v>
      </c>
      <c r="G96" s="499">
        <f>'dod3'!G96-'dod3 Квітень+Комісії+Сесія'!G95</f>
        <v>0</v>
      </c>
      <c r="H96" s="499">
        <f>'dod3'!H96-'dod3 Квітень+Комісії+Сесія'!H95</f>
        <v>0</v>
      </c>
      <c r="I96" s="499">
        <f>'dod3'!I96-'dod3 Квітень+Комісії+Сесія'!I95</f>
        <v>0</v>
      </c>
      <c r="J96" s="499">
        <f>'dod3'!J96-'dod3 Квітень+Комісії+Сесія'!J95</f>
        <v>0</v>
      </c>
      <c r="K96" s="499">
        <f>'dod3'!K96-'dod3 Квітень+Комісії+Сесія'!K95</f>
        <v>0</v>
      </c>
      <c r="L96" s="499">
        <f>'dod3'!L96-'dod3 Квітень+Комісії+Сесія'!L95</f>
        <v>0</v>
      </c>
      <c r="M96" s="499">
        <f>'dod3'!M96-'dod3 Квітень+Комісії+Сесія'!M95</f>
        <v>0</v>
      </c>
      <c r="N96" s="499">
        <f>'dod3'!N96-'dod3 Квітень+Комісії+Сесія'!N95</f>
        <v>0</v>
      </c>
      <c r="O96" s="499">
        <f>'dod3'!O96-'dod3 Квітень+Комісії+Сесія'!O95</f>
        <v>0</v>
      </c>
      <c r="P96" s="499">
        <f>'dod3'!P96-'dod3 Квітень+Комісії+Сесія'!P95</f>
        <v>0</v>
      </c>
    </row>
    <row r="97" spans="1:18" ht="91.5" x14ac:dyDescent="0.2">
      <c r="A97" s="496" t="s">
        <v>676</v>
      </c>
      <c r="B97" s="496" t="s">
        <v>677</v>
      </c>
      <c r="C97" s="496"/>
      <c r="D97" s="309" t="s">
        <v>50</v>
      </c>
      <c r="E97" s="499">
        <f>'dod3'!E97-'dod3 Квітень+Комісії+Сесія'!E96</f>
        <v>100000</v>
      </c>
      <c r="F97" s="499">
        <f>'dod3'!F97-'dod3 Квітень+Комісії+Сесія'!F96</f>
        <v>100000</v>
      </c>
      <c r="G97" s="499">
        <f>'dod3'!G97-'dod3 Квітень+Комісії+Сесія'!G96</f>
        <v>0</v>
      </c>
      <c r="H97" s="499">
        <f>'dod3'!H97-'dod3 Квітень+Комісії+Сесія'!H96</f>
        <v>0</v>
      </c>
      <c r="I97" s="499">
        <f>'dod3'!I97-'dod3 Квітень+Комісії+Сесія'!I96</f>
        <v>0</v>
      </c>
      <c r="J97" s="499">
        <f>'dod3'!J97-'dod3 Квітень+Комісії+Сесія'!J96</f>
        <v>0</v>
      </c>
      <c r="K97" s="499">
        <f>'dod3'!K97-'dod3 Квітень+Комісії+Сесія'!K96</f>
        <v>0</v>
      </c>
      <c r="L97" s="499">
        <f>'dod3'!L97-'dod3 Квітень+Комісії+Сесія'!L96</f>
        <v>0</v>
      </c>
      <c r="M97" s="499">
        <f>'dod3'!M97-'dod3 Квітень+Комісії+Сесія'!M96</f>
        <v>0</v>
      </c>
      <c r="N97" s="499">
        <f>'dod3'!N97-'dod3 Квітень+Комісії+Сесія'!N96</f>
        <v>0</v>
      </c>
      <c r="O97" s="499">
        <f>'dod3'!O97-'dod3 Квітень+Комісії+Сесія'!O96</f>
        <v>0</v>
      </c>
      <c r="P97" s="499">
        <f>'dod3'!P97-'dod3 Квітень+Комісії+Сесія'!P96</f>
        <v>100000</v>
      </c>
    </row>
    <row r="98" spans="1:18" ht="228.75" x14ac:dyDescent="0.2">
      <c r="A98" s="498" t="s">
        <v>678</v>
      </c>
      <c r="B98" s="498" t="s">
        <v>679</v>
      </c>
      <c r="C98" s="498" t="s">
        <v>385</v>
      </c>
      <c r="D98" s="498" t="s">
        <v>752</v>
      </c>
      <c r="E98" s="499">
        <f>'dod3'!E98-'dod3 Квітень+Комісії+Сесія'!E97</f>
        <v>100000</v>
      </c>
      <c r="F98" s="499">
        <f>'dod3'!F98-'dod3 Квітень+Комісії+Сесія'!F97</f>
        <v>100000</v>
      </c>
      <c r="G98" s="499">
        <f>'dod3'!G98-'dod3 Квітень+Комісії+Сесія'!G97</f>
        <v>0</v>
      </c>
      <c r="H98" s="499">
        <f>'dod3'!H98-'dod3 Квітень+Комісії+Сесія'!H97</f>
        <v>0</v>
      </c>
      <c r="I98" s="499">
        <f>'dod3'!I98-'dod3 Квітень+Комісії+Сесія'!I97</f>
        <v>0</v>
      </c>
      <c r="J98" s="499">
        <f>'dod3'!J98-'dod3 Квітень+Комісії+Сесія'!J97</f>
        <v>0</v>
      </c>
      <c r="K98" s="499">
        <f>'dod3'!K98-'dod3 Квітень+Комісії+Сесія'!K97</f>
        <v>0</v>
      </c>
      <c r="L98" s="499">
        <f>'dod3'!L98-'dod3 Квітень+Комісії+Сесія'!L97</f>
        <v>0</v>
      </c>
      <c r="M98" s="499">
        <f>'dod3'!M98-'dod3 Квітень+Комісії+Сесія'!M97</f>
        <v>0</v>
      </c>
      <c r="N98" s="499">
        <f>'dod3'!N98-'dod3 Квітень+Комісії+Сесія'!N97</f>
        <v>0</v>
      </c>
      <c r="O98" s="499">
        <f>'dod3'!O98-'dod3 Квітень+Комісії+Сесія'!O97</f>
        <v>0</v>
      </c>
      <c r="P98" s="499">
        <f>'dod3'!P98-'dod3 Квітень+Комісії+Сесія'!P97</f>
        <v>100000</v>
      </c>
    </row>
    <row r="99" spans="1:18" ht="228.75" x14ac:dyDescent="0.2">
      <c r="A99" s="496" t="s">
        <v>947</v>
      </c>
      <c r="B99" s="496" t="s">
        <v>948</v>
      </c>
      <c r="C99" s="496"/>
      <c r="D99" s="309" t="s">
        <v>946</v>
      </c>
      <c r="E99" s="499">
        <f>'dod3'!E99-'dod3 Квітень+Комісії+Сесія'!E98</f>
        <v>0</v>
      </c>
      <c r="F99" s="499">
        <f>'dod3'!F99-'dod3 Квітень+Комісії+Сесія'!F98</f>
        <v>0</v>
      </c>
      <c r="G99" s="499">
        <f>'dod3'!G99-'dod3 Квітень+Комісії+Сесія'!G98</f>
        <v>0</v>
      </c>
      <c r="H99" s="499">
        <f>'dod3'!H99-'dod3 Квітень+Комісії+Сесія'!H98</f>
        <v>0</v>
      </c>
      <c r="I99" s="499">
        <f>'dod3'!I99-'dod3 Квітень+Комісії+Сесія'!I98</f>
        <v>0</v>
      </c>
      <c r="J99" s="499">
        <f>'dod3'!J99-'dod3 Квітень+Комісії+Сесія'!J98</f>
        <v>0</v>
      </c>
      <c r="K99" s="499">
        <f>'dod3'!K99-'dod3 Квітень+Комісії+Сесія'!K98</f>
        <v>0</v>
      </c>
      <c r="L99" s="499">
        <f>'dod3'!L99-'dod3 Квітень+Комісії+Сесія'!L98</f>
        <v>0</v>
      </c>
      <c r="M99" s="499">
        <f>'dod3'!M99-'dod3 Квітень+Комісії+Сесія'!M98</f>
        <v>0</v>
      </c>
      <c r="N99" s="499">
        <f>'dod3'!N99-'dod3 Квітень+Комісії+Сесія'!N98</f>
        <v>0</v>
      </c>
      <c r="O99" s="499">
        <f>'dod3'!O99-'dod3 Квітень+Комісії+Сесія'!O98</f>
        <v>0</v>
      </c>
      <c r="P99" s="499">
        <f>'dod3'!P99-'dod3 Квітень+Комісії+Сесія'!P98</f>
        <v>0</v>
      </c>
    </row>
    <row r="100" spans="1:18" s="203" customFormat="1" ht="409.5" x14ac:dyDescent="0.2">
      <c r="A100" s="718" t="s">
        <v>949</v>
      </c>
      <c r="B100" s="718" t="s">
        <v>950</v>
      </c>
      <c r="C100" s="728" t="s">
        <v>117</v>
      </c>
      <c r="D100" s="310" t="s">
        <v>951</v>
      </c>
      <c r="E100" s="730">
        <v>0</v>
      </c>
      <c r="F100" s="730">
        <v>0</v>
      </c>
      <c r="G100" s="730">
        <v>0</v>
      </c>
      <c r="H100" s="730">
        <v>0</v>
      </c>
      <c r="I100" s="730">
        <v>0</v>
      </c>
      <c r="J100" s="724">
        <v>0</v>
      </c>
      <c r="K100" s="724">
        <v>0</v>
      </c>
      <c r="L100" s="724">
        <v>0</v>
      </c>
      <c r="M100" s="724">
        <v>0</v>
      </c>
      <c r="N100" s="724">
        <v>0</v>
      </c>
      <c r="O100" s="724">
        <v>0</v>
      </c>
      <c r="P100" s="724">
        <v>0</v>
      </c>
    </row>
    <row r="101" spans="1:18" s="203" customFormat="1" ht="409.5" x14ac:dyDescent="0.2">
      <c r="A101" s="739"/>
      <c r="B101" s="739"/>
      <c r="C101" s="740"/>
      <c r="D101" s="310" t="s">
        <v>952</v>
      </c>
      <c r="E101" s="740"/>
      <c r="F101" s="740"/>
      <c r="G101" s="740"/>
      <c r="H101" s="740"/>
      <c r="I101" s="740"/>
      <c r="J101" s="739"/>
      <c r="K101" s="739"/>
      <c r="L101" s="739"/>
      <c r="M101" s="739"/>
      <c r="N101" s="739"/>
      <c r="O101" s="739"/>
      <c r="P101" s="739"/>
    </row>
    <row r="102" spans="1:18" s="203" customFormat="1" ht="94.5" customHeight="1" x14ac:dyDescent="0.2">
      <c r="A102" s="719"/>
      <c r="B102" s="719"/>
      <c r="C102" s="740"/>
      <c r="D102" s="498" t="s">
        <v>953</v>
      </c>
      <c r="E102" s="740"/>
      <c r="F102" s="740"/>
      <c r="G102" s="740"/>
      <c r="H102" s="740"/>
      <c r="I102" s="740"/>
      <c r="J102" s="719"/>
      <c r="K102" s="719"/>
      <c r="L102" s="719"/>
      <c r="M102" s="719"/>
      <c r="N102" s="719"/>
      <c r="O102" s="719"/>
      <c r="P102" s="719"/>
    </row>
    <row r="103" spans="1:18" ht="409.5" x14ac:dyDescent="0.2">
      <c r="A103" s="720" t="s">
        <v>503</v>
      </c>
      <c r="B103" s="720" t="s">
        <v>362</v>
      </c>
      <c r="C103" s="721" t="s">
        <v>353</v>
      </c>
      <c r="D103" s="307" t="s">
        <v>680</v>
      </c>
      <c r="E103" s="735">
        <v>0</v>
      </c>
      <c r="F103" s="724">
        <v>0</v>
      </c>
      <c r="G103" s="724">
        <v>0</v>
      </c>
      <c r="H103" s="724">
        <v>0</v>
      </c>
      <c r="I103" s="724">
        <v>0</v>
      </c>
      <c r="J103" s="738">
        <v>0</v>
      </c>
      <c r="K103" s="724">
        <v>0</v>
      </c>
      <c r="L103" s="724">
        <v>0</v>
      </c>
      <c r="M103" s="724">
        <v>0</v>
      </c>
      <c r="N103" s="724">
        <v>0</v>
      </c>
      <c r="O103" s="724">
        <v>0</v>
      </c>
      <c r="P103" s="738">
        <v>0</v>
      </c>
    </row>
    <row r="104" spans="1:18" ht="327.75" customHeight="1" x14ac:dyDescent="0.2">
      <c r="A104" s="694"/>
      <c r="B104" s="694"/>
      <c r="C104" s="722"/>
      <c r="D104" s="321" t="s">
        <v>681</v>
      </c>
      <c r="E104" s="736"/>
      <c r="F104" s="719"/>
      <c r="G104" s="737"/>
      <c r="H104" s="737"/>
      <c r="I104" s="719"/>
      <c r="J104" s="737"/>
      <c r="K104" s="719"/>
      <c r="L104" s="737"/>
      <c r="M104" s="737"/>
      <c r="N104" s="719"/>
      <c r="O104" s="737"/>
      <c r="P104" s="737"/>
    </row>
    <row r="105" spans="1:18" ht="46.5" x14ac:dyDescent="0.2">
      <c r="A105" s="496" t="s">
        <v>684</v>
      </c>
      <c r="B105" s="496" t="s">
        <v>685</v>
      </c>
      <c r="C105" s="496"/>
      <c r="D105" s="496" t="s">
        <v>364</v>
      </c>
      <c r="E105" s="500">
        <f>'dod3'!E105-'dod3 Квітень+Комісії+Сесія'!E104</f>
        <v>4746950</v>
      </c>
      <c r="F105" s="500">
        <f>'dod3'!F105-'dod3 Квітень+Комісії+Сесія'!F104</f>
        <v>4746950</v>
      </c>
      <c r="G105" s="500">
        <f>'dod3'!G105-'dod3 Квітень+Комісії+Сесія'!G104</f>
        <v>0</v>
      </c>
      <c r="H105" s="500">
        <f>'dod3'!H105-'dod3 Квітень+Комісії+Сесія'!H104</f>
        <v>0</v>
      </c>
      <c r="I105" s="500">
        <f>'dod3'!I105-'dod3 Квітень+Комісії+Сесія'!I104</f>
        <v>0</v>
      </c>
      <c r="J105" s="500">
        <f>'dod3'!J105-'dod3 Квітень+Комісії+Сесія'!J104</f>
        <v>192000</v>
      </c>
      <c r="K105" s="500">
        <f>'dod3'!K105-'dod3 Квітень+Комісії+Сесія'!K104</f>
        <v>0</v>
      </c>
      <c r="L105" s="500">
        <f>'dod3'!L105-'dod3 Квітень+Комісії+Сесія'!L104</f>
        <v>0</v>
      </c>
      <c r="M105" s="500">
        <f>'dod3'!M105-'dod3 Квітень+Комісії+Сесія'!M104</f>
        <v>0</v>
      </c>
      <c r="N105" s="500">
        <f>'dod3'!N105-'dod3 Квітень+Комісії+Сесія'!N104</f>
        <v>192000</v>
      </c>
      <c r="O105" s="500">
        <f>'dod3'!O105-'dod3 Квітень+Комісії+Сесія'!O104</f>
        <v>192000</v>
      </c>
      <c r="P105" s="500">
        <f>'dod3'!P105-'dod3 Квітень+Комісії+Сесія'!P104</f>
        <v>4938950</v>
      </c>
    </row>
    <row r="106" spans="1:18" ht="183" x14ac:dyDescent="0.2">
      <c r="A106" s="498" t="s">
        <v>682</v>
      </c>
      <c r="B106" s="498" t="s">
        <v>686</v>
      </c>
      <c r="C106" s="498" t="s">
        <v>363</v>
      </c>
      <c r="D106" s="298" t="s">
        <v>688</v>
      </c>
      <c r="E106" s="500">
        <f>'dod3'!E106-'dod3 Квітень+Комісії+Сесія'!E105</f>
        <v>96300</v>
      </c>
      <c r="F106" s="500">
        <f>'dod3'!F106-'dod3 Квітень+Комісії+Сесія'!F105</f>
        <v>96300</v>
      </c>
      <c r="G106" s="500">
        <f>'dod3'!G106-'dod3 Квітень+Комісії+Сесія'!G105</f>
        <v>0</v>
      </c>
      <c r="H106" s="500">
        <f>'dod3'!H106-'dod3 Квітень+Комісії+Сесія'!H105</f>
        <v>0</v>
      </c>
      <c r="I106" s="500">
        <f>'dod3'!I106-'dod3 Квітень+Комісії+Сесія'!I105</f>
        <v>0</v>
      </c>
      <c r="J106" s="500">
        <f>'dod3'!J106-'dod3 Квітень+Комісії+Сесія'!J105</f>
        <v>12000</v>
      </c>
      <c r="K106" s="500">
        <f>'dod3'!K106-'dod3 Квітень+Комісії+Сесія'!K105</f>
        <v>0</v>
      </c>
      <c r="L106" s="500">
        <f>'dod3'!L106-'dod3 Квітень+Комісії+Сесія'!L105</f>
        <v>0</v>
      </c>
      <c r="M106" s="500">
        <f>'dod3'!M106-'dod3 Квітень+Комісії+Сесія'!M105</f>
        <v>0</v>
      </c>
      <c r="N106" s="500">
        <f>'dod3'!N106-'dod3 Квітень+Комісії+Сесія'!N105</f>
        <v>12000</v>
      </c>
      <c r="O106" s="500">
        <f>'dod3'!O106-'dod3 Квітень+Комісії+Сесія'!O105</f>
        <v>12000</v>
      </c>
      <c r="P106" s="500">
        <f>'dod3'!P106-'dod3 Квітень+Комісії+Сесія'!P105</f>
        <v>108300</v>
      </c>
    </row>
    <row r="107" spans="1:18" ht="137.25" x14ac:dyDescent="0.2">
      <c r="A107" s="498" t="s">
        <v>683</v>
      </c>
      <c r="B107" s="498" t="s">
        <v>687</v>
      </c>
      <c r="C107" s="498" t="s">
        <v>363</v>
      </c>
      <c r="D107" s="298" t="s">
        <v>689</v>
      </c>
      <c r="E107" s="500">
        <f>'dod3'!E107-'dod3 Квітень+Комісії+Сесія'!E106</f>
        <v>4650650</v>
      </c>
      <c r="F107" s="500">
        <f>'dod3'!F107-'dod3 Квітень+Комісії+Сесія'!F106</f>
        <v>4650650</v>
      </c>
      <c r="G107" s="500">
        <f>'dod3'!G107-'dod3 Квітень+Комісії+Сесія'!G106</f>
        <v>0</v>
      </c>
      <c r="H107" s="500">
        <f>'dod3'!H107-'dod3 Квітень+Комісії+Сесія'!H106</f>
        <v>0</v>
      </c>
      <c r="I107" s="500">
        <f>'dod3'!I107-'dod3 Квітень+Комісії+Сесія'!I106</f>
        <v>0</v>
      </c>
      <c r="J107" s="500">
        <f>'dod3'!J107-'dod3 Квітень+Комісії+Сесія'!J106</f>
        <v>180000</v>
      </c>
      <c r="K107" s="500">
        <f>'dod3'!K107-'dod3 Квітень+Комісії+Сесія'!K106</f>
        <v>0</v>
      </c>
      <c r="L107" s="500">
        <f>'dod3'!L107-'dod3 Квітень+Комісії+Сесія'!L106</f>
        <v>0</v>
      </c>
      <c r="M107" s="500">
        <f>'dod3'!M107-'dod3 Квітень+Комісії+Сесія'!M106</f>
        <v>0</v>
      </c>
      <c r="N107" s="500">
        <f>'dod3'!N107-'dod3 Квітень+Комісії+Сесія'!N106</f>
        <v>180000</v>
      </c>
      <c r="O107" s="500">
        <f>'dod3'!O107-'dod3 Квітень+Комісії+Сесія'!O106</f>
        <v>180000</v>
      </c>
      <c r="P107" s="500">
        <f>'dod3'!P107-'dod3 Квітень+Комісії+Сесія'!P106</f>
        <v>4830650</v>
      </c>
    </row>
    <row r="108" spans="1:18" ht="91.5" x14ac:dyDescent="0.2">
      <c r="A108" s="496" t="s">
        <v>832</v>
      </c>
      <c r="B108" s="496" t="s">
        <v>706</v>
      </c>
      <c r="C108" s="496"/>
      <c r="D108" s="496" t="s">
        <v>833</v>
      </c>
      <c r="E108" s="500">
        <f>'dod3'!E108-'dod3 Квітень+Комісії+Сесія'!E107</f>
        <v>0</v>
      </c>
      <c r="F108" s="500">
        <f>'dod3'!F108-'dod3 Квітень+Комісії+Сесія'!F107</f>
        <v>0</v>
      </c>
      <c r="G108" s="500">
        <f>'dod3'!G108-'dod3 Квітень+Комісії+Сесія'!G107</f>
        <v>0</v>
      </c>
      <c r="H108" s="500">
        <f>'dod3'!H108-'dod3 Квітень+Комісії+Сесія'!H107</f>
        <v>0</v>
      </c>
      <c r="I108" s="500">
        <f>'dod3'!I108-'dod3 Квітень+Комісії+Сесія'!I107</f>
        <v>0</v>
      </c>
      <c r="J108" s="500">
        <f>'dod3'!J108-'dod3 Квітень+Комісії+Сесія'!J107</f>
        <v>34347</v>
      </c>
      <c r="K108" s="500">
        <f>'dod3'!K108-'dod3 Квітень+Комісії+Сесія'!K107</f>
        <v>0</v>
      </c>
      <c r="L108" s="500">
        <f>'dod3'!L108-'dod3 Квітень+Комісії+Сесія'!L107</f>
        <v>0</v>
      </c>
      <c r="M108" s="500">
        <f>'dod3'!M108-'dod3 Квітень+Комісії+Сесія'!M107</f>
        <v>0</v>
      </c>
      <c r="N108" s="500">
        <f>'dod3'!N108-'dod3 Квітень+Комісії+Сесія'!N107</f>
        <v>34347</v>
      </c>
      <c r="O108" s="500">
        <f>'dod3'!O108-'dod3 Квітень+Комісії+Сесія'!O107</f>
        <v>34347</v>
      </c>
      <c r="P108" s="500">
        <f>'dod3'!P108-'dod3 Квітень+Комісії+Сесія'!P107</f>
        <v>34347</v>
      </c>
    </row>
    <row r="109" spans="1:18" ht="137.25" x14ac:dyDescent="0.2">
      <c r="A109" s="498" t="s">
        <v>836</v>
      </c>
      <c r="B109" s="498" t="s">
        <v>834</v>
      </c>
      <c r="C109" s="498" t="s">
        <v>708</v>
      </c>
      <c r="D109" s="298" t="s">
        <v>835</v>
      </c>
      <c r="E109" s="500">
        <f>'dod3'!E109-'dod3 Квітень+Комісії+Сесія'!E108</f>
        <v>0</v>
      </c>
      <c r="F109" s="500">
        <f>'dod3'!F109-'dod3 Квітень+Комісії+Сесія'!F108</f>
        <v>0</v>
      </c>
      <c r="G109" s="500">
        <f>'dod3'!G109-'dod3 Квітень+Комісії+Сесія'!G108</f>
        <v>0</v>
      </c>
      <c r="H109" s="500">
        <f>'dod3'!H109-'dod3 Квітень+Комісії+Сесія'!H108</f>
        <v>0</v>
      </c>
      <c r="I109" s="500">
        <f>'dod3'!I109-'dod3 Квітень+Комісії+Сесія'!I108</f>
        <v>0</v>
      </c>
      <c r="J109" s="500">
        <f>'dod3'!J109-'dod3 Квітень+Комісії+Сесія'!J108</f>
        <v>34347</v>
      </c>
      <c r="K109" s="500">
        <f>'dod3'!K109-'dod3 Квітень+Комісії+Сесія'!K108</f>
        <v>0</v>
      </c>
      <c r="L109" s="500">
        <f>'dod3'!L109-'dod3 Квітень+Комісії+Сесія'!L108</f>
        <v>0</v>
      </c>
      <c r="M109" s="500">
        <f>'dod3'!M109-'dod3 Квітень+Комісії+Сесія'!M108</f>
        <v>0</v>
      </c>
      <c r="N109" s="500">
        <f>'dod3'!N109-'dod3 Квітень+Комісії+Сесія'!N108</f>
        <v>34347</v>
      </c>
      <c r="O109" s="500">
        <f>'dod3'!O109-'dod3 Квітень+Комісії+Сесія'!O108</f>
        <v>34347</v>
      </c>
      <c r="P109" s="500">
        <f>'dod3'!P109-'dod3 Квітень+Комісії+Сесія'!P108</f>
        <v>34347</v>
      </c>
    </row>
    <row r="110" spans="1:18" ht="180" x14ac:dyDescent="0.2">
      <c r="A110" s="322">
        <v>1000000</v>
      </c>
      <c r="B110" s="322"/>
      <c r="C110" s="322"/>
      <c r="D110" s="277" t="s">
        <v>68</v>
      </c>
      <c r="E110" s="243">
        <f>E111</f>
        <v>821600</v>
      </c>
      <c r="F110" s="243">
        <f t="shared" ref="F110:P110" si="16">F111</f>
        <v>821600</v>
      </c>
      <c r="G110" s="243">
        <f t="shared" si="16"/>
        <v>0</v>
      </c>
      <c r="H110" s="243">
        <f t="shared" si="16"/>
        <v>0</v>
      </c>
      <c r="I110" s="243">
        <f t="shared" si="16"/>
        <v>0</v>
      </c>
      <c r="J110" s="243">
        <f t="shared" si="16"/>
        <v>-897665</v>
      </c>
      <c r="K110" s="243">
        <f t="shared" si="16"/>
        <v>0</v>
      </c>
      <c r="L110" s="243">
        <f t="shared" si="16"/>
        <v>0</v>
      </c>
      <c r="M110" s="243">
        <f t="shared" si="16"/>
        <v>0</v>
      </c>
      <c r="N110" s="243">
        <f t="shared" si="16"/>
        <v>-897665</v>
      </c>
      <c r="O110" s="244">
        <f t="shared" si="16"/>
        <v>-897665</v>
      </c>
      <c r="P110" s="243">
        <f t="shared" si="16"/>
        <v>-76065</v>
      </c>
    </row>
    <row r="111" spans="1:18" ht="180" x14ac:dyDescent="0.2">
      <c r="A111" s="323">
        <v>1010000</v>
      </c>
      <c r="B111" s="323"/>
      <c r="C111" s="323"/>
      <c r="D111" s="280" t="s">
        <v>94</v>
      </c>
      <c r="E111" s="244">
        <f>E113+E114+E115+E116+E112+E118+E117+E121</f>
        <v>821600</v>
      </c>
      <c r="F111" s="243">
        <f>F113+F114+F115+F116+F112+F118+F117+F121</f>
        <v>821600</v>
      </c>
      <c r="G111" s="244">
        <f>G113+G114+G115+G116+G112+G118+G117+G121</f>
        <v>0</v>
      </c>
      <c r="H111" s="244">
        <f>H113+H114+H115+H116+H112+H118+H117+H121</f>
        <v>0</v>
      </c>
      <c r="I111" s="243">
        <v>0</v>
      </c>
      <c r="J111" s="244">
        <f t="shared" ref="J111" si="17">K111+N111</f>
        <v>-897665</v>
      </c>
      <c r="K111" s="243">
        <f>K113+K114+K115+K116+K112+K118+K117+K121</f>
        <v>0</v>
      </c>
      <c r="L111" s="244">
        <f>L113+L114+L115+L116+L112+L118+L117+L121</f>
        <v>0</v>
      </c>
      <c r="M111" s="244">
        <f>M113+M114+M115+M116+M112+M118+M117+M121</f>
        <v>0</v>
      </c>
      <c r="N111" s="243">
        <f>N113+N114+N115+N116+N112+N118+N117+N121</f>
        <v>-897665</v>
      </c>
      <c r="O111" s="244">
        <f>O113+O114+O115+O116+O112+O118+O117+O121</f>
        <v>-897665</v>
      </c>
      <c r="P111" s="244">
        <f t="shared" ref="P111" si="18">E111+J111</f>
        <v>-76065</v>
      </c>
      <c r="Q111" s="311"/>
      <c r="R111" s="325"/>
    </row>
    <row r="112" spans="1:18" ht="274.5" x14ac:dyDescent="0.2">
      <c r="A112" s="387" t="s">
        <v>49</v>
      </c>
      <c r="B112" s="387" t="s">
        <v>343</v>
      </c>
      <c r="C112" s="387" t="s">
        <v>344</v>
      </c>
      <c r="D112" s="387" t="s">
        <v>342</v>
      </c>
      <c r="E112" s="239">
        <f>'dod3'!E112-'dod3 Квітень+Комісії+Сесія'!E111</f>
        <v>0</v>
      </c>
      <c r="F112" s="239">
        <f>'dod3'!F112-'dod3 Квітень+Комісії+Сесія'!F111</f>
        <v>0</v>
      </c>
      <c r="G112" s="239">
        <f>'dod3'!G112-'dod3 Квітень+Комісії+Сесія'!G111</f>
        <v>0</v>
      </c>
      <c r="H112" s="239">
        <f>'dod3'!H112-'dod3 Квітень+Комісії+Сесія'!H111</f>
        <v>0</v>
      </c>
      <c r="I112" s="239">
        <f>'dod3'!I112-'dod3 Квітень+Комісії+Сесія'!I111</f>
        <v>0</v>
      </c>
      <c r="J112" s="239">
        <f>'dod3'!J112-'dod3 Квітень+Комісії+Сесія'!J111</f>
        <v>342735</v>
      </c>
      <c r="K112" s="239">
        <f>'dod3'!K112-'dod3 Квітень+Комісії+Сесія'!K111</f>
        <v>0</v>
      </c>
      <c r="L112" s="239">
        <f>'dod3'!L112-'dod3 Квітень+Комісії+Сесія'!L111</f>
        <v>0</v>
      </c>
      <c r="M112" s="239">
        <f>'dod3'!M112-'dod3 Квітень+Комісії+Сесія'!M111</f>
        <v>0</v>
      </c>
      <c r="N112" s="239">
        <f>'dod3'!N112-'dod3 Квітень+Комісії+Сесія'!N111</f>
        <v>342735</v>
      </c>
      <c r="O112" s="239">
        <f>'dod3'!O112-'dod3 Квітень+Комісії+Сесія'!O111</f>
        <v>342735</v>
      </c>
      <c r="P112" s="239">
        <f>'dod3'!P112-'dod3 Квітень+Комісії+Сесія'!P111</f>
        <v>342735</v>
      </c>
    </row>
    <row r="113" spans="1:18" ht="46.5" x14ac:dyDescent="0.2">
      <c r="A113" s="387" t="s">
        <v>325</v>
      </c>
      <c r="B113" s="387" t="s">
        <v>326</v>
      </c>
      <c r="C113" s="387" t="s">
        <v>330</v>
      </c>
      <c r="D113" s="387" t="s">
        <v>331</v>
      </c>
      <c r="E113" s="239">
        <f>'dod3'!E113-'dod3 Квітень+Комісії+Сесія'!E112</f>
        <v>0</v>
      </c>
      <c r="F113" s="239">
        <f>'dod3'!F113-'dod3 Квітень+Комісії+Сесія'!F112</f>
        <v>0</v>
      </c>
      <c r="G113" s="239">
        <f>'dod3'!G113-'dod3 Квітень+Комісії+Сесія'!G112</f>
        <v>0</v>
      </c>
      <c r="H113" s="239">
        <f>'dod3'!H113-'dod3 Квітень+Комісії+Сесія'!H112</f>
        <v>0</v>
      </c>
      <c r="I113" s="239">
        <f>'dod3'!I113-'dod3 Квітень+Комісії+Сесія'!I112</f>
        <v>0</v>
      </c>
      <c r="J113" s="239">
        <f>'dod3'!J113-'dod3 Квітень+Комісії+Сесія'!J112</f>
        <v>0</v>
      </c>
      <c r="K113" s="239">
        <f>'dod3'!K113-'dod3 Квітень+Комісії+Сесія'!K112</f>
        <v>0</v>
      </c>
      <c r="L113" s="239">
        <f>'dod3'!L113-'dod3 Квітень+Комісії+Сесія'!L112</f>
        <v>0</v>
      </c>
      <c r="M113" s="239">
        <f>'dod3'!M113-'dod3 Квітень+Комісії+Сесія'!M112</f>
        <v>0</v>
      </c>
      <c r="N113" s="239">
        <f>'dod3'!N113-'dod3 Квітень+Комісії+Сесія'!N112</f>
        <v>0</v>
      </c>
      <c r="O113" s="239">
        <f>'dod3'!O113-'dod3 Квітень+Комісії+Сесія'!O112</f>
        <v>0</v>
      </c>
      <c r="P113" s="239">
        <f>'dod3'!P113-'dod3 Квітень+Комісії+Сесія'!P112</f>
        <v>0</v>
      </c>
    </row>
    <row r="114" spans="1:18" ht="91.5" x14ac:dyDescent="0.2">
      <c r="A114" s="387" t="s">
        <v>332</v>
      </c>
      <c r="B114" s="387" t="s">
        <v>333</v>
      </c>
      <c r="C114" s="387" t="s">
        <v>334</v>
      </c>
      <c r="D114" s="387" t="s">
        <v>335</v>
      </c>
      <c r="E114" s="239">
        <f>'dod3'!E114-'dod3 Квітень+Комісії+Сесія'!E113</f>
        <v>0</v>
      </c>
      <c r="F114" s="239">
        <f>'dod3'!F114-'dod3 Квітень+Комісії+Сесія'!F113</f>
        <v>0</v>
      </c>
      <c r="G114" s="239">
        <f>'dod3'!G114-'dod3 Квітень+Комісії+Сесія'!G113</f>
        <v>0</v>
      </c>
      <c r="H114" s="239">
        <f>'dod3'!H114-'dod3 Квітень+Комісії+Сесія'!H113</f>
        <v>0</v>
      </c>
      <c r="I114" s="239">
        <f>'dod3'!I114-'dod3 Квітень+Комісії+Сесія'!I113</f>
        <v>0</v>
      </c>
      <c r="J114" s="239">
        <f>'dod3'!J114-'dod3 Квітень+Комісії+Сесія'!J113</f>
        <v>17000</v>
      </c>
      <c r="K114" s="239">
        <f>'dod3'!K114-'dod3 Квітень+Комісії+Сесія'!K113</f>
        <v>0</v>
      </c>
      <c r="L114" s="239">
        <f>'dod3'!L114-'dod3 Квітень+Комісії+Сесія'!L113</f>
        <v>0</v>
      </c>
      <c r="M114" s="239">
        <f>'dod3'!M114-'dod3 Квітень+Комісії+Сесія'!M113</f>
        <v>0</v>
      </c>
      <c r="N114" s="239">
        <f>'dod3'!N114-'dod3 Квітень+Комісії+Сесія'!N113</f>
        <v>17000</v>
      </c>
      <c r="O114" s="239">
        <f>'dod3'!O114-'dod3 Квітень+Комісії+Сесія'!O113</f>
        <v>17000</v>
      </c>
      <c r="P114" s="239">
        <f>'dod3'!P114-'dod3 Квітень+Комісії+Сесія'!P113</f>
        <v>17000</v>
      </c>
    </row>
    <row r="115" spans="1:18" ht="91.5" x14ac:dyDescent="0.2">
      <c r="A115" s="387" t="s">
        <v>336</v>
      </c>
      <c r="B115" s="387" t="s">
        <v>337</v>
      </c>
      <c r="C115" s="387" t="s">
        <v>334</v>
      </c>
      <c r="D115" s="387" t="s">
        <v>338</v>
      </c>
      <c r="E115" s="239">
        <f>'dod3'!E115-'dod3 Квітень+Комісії+Сесія'!E114</f>
        <v>0</v>
      </c>
      <c r="F115" s="239">
        <f>'dod3'!F115-'dod3 Квітень+Комісії+Сесія'!F114</f>
        <v>0</v>
      </c>
      <c r="G115" s="239">
        <f>'dod3'!G115-'dod3 Квітень+Комісії+Сесія'!G114</f>
        <v>0</v>
      </c>
      <c r="H115" s="239">
        <f>'dod3'!H115-'dod3 Квітень+Комісії+Сесія'!H114</f>
        <v>0</v>
      </c>
      <c r="I115" s="239">
        <f>'dod3'!I115-'dod3 Квітень+Комісії+Сесія'!I114</f>
        <v>0</v>
      </c>
      <c r="J115" s="239">
        <f>'dod3'!J115-'dod3 Квітень+Комісії+Сесія'!J114</f>
        <v>-160000</v>
      </c>
      <c r="K115" s="239">
        <f>'dod3'!K115-'dod3 Квітень+Комісії+Сесія'!K114</f>
        <v>0</v>
      </c>
      <c r="L115" s="239">
        <f>'dod3'!L115-'dod3 Квітень+Комісії+Сесія'!L114</f>
        <v>0</v>
      </c>
      <c r="M115" s="239">
        <f>'dod3'!M115-'dod3 Квітень+Комісії+Сесія'!M114</f>
        <v>0</v>
      </c>
      <c r="N115" s="239">
        <f>'dod3'!N115-'dod3 Квітень+Комісії+Сесія'!N114</f>
        <v>-160000</v>
      </c>
      <c r="O115" s="239">
        <f>'dod3'!O115-'dod3 Квітень+Комісії+Сесія'!O114</f>
        <v>-160000</v>
      </c>
      <c r="P115" s="239">
        <f>'dod3'!P115-'dod3 Квітень+Комісії+Сесія'!P114</f>
        <v>-160000</v>
      </c>
    </row>
    <row r="116" spans="1:18" ht="183" x14ac:dyDescent="0.2">
      <c r="A116" s="387" t="s">
        <v>339</v>
      </c>
      <c r="B116" s="387" t="s">
        <v>327</v>
      </c>
      <c r="C116" s="387" t="s">
        <v>340</v>
      </c>
      <c r="D116" s="387" t="s">
        <v>341</v>
      </c>
      <c r="E116" s="239">
        <f>'dod3'!E116-'dod3 Квітень+Комісії+Сесія'!E115</f>
        <v>30000</v>
      </c>
      <c r="F116" s="239">
        <f>'dod3'!F116-'dod3 Квітень+Комісії+Сесія'!F115</f>
        <v>30000</v>
      </c>
      <c r="G116" s="239">
        <f>'dod3'!G116-'dod3 Квітень+Комісії+Сесія'!G115</f>
        <v>0</v>
      </c>
      <c r="H116" s="239">
        <f>'dod3'!H116-'dod3 Квітень+Комісії+Сесія'!H115</f>
        <v>0</v>
      </c>
      <c r="I116" s="239">
        <f>'dod3'!I116-'dod3 Квітень+Комісії+Сесія'!I115</f>
        <v>0</v>
      </c>
      <c r="J116" s="239">
        <f>'dod3'!J116-'dod3 Квітень+Комісії+Сесія'!J115</f>
        <v>-1171500</v>
      </c>
      <c r="K116" s="239">
        <f>'dod3'!K116-'dod3 Квітень+Комісії+Сесія'!K115</f>
        <v>0</v>
      </c>
      <c r="L116" s="239">
        <f>'dod3'!L116-'dod3 Квітень+Комісії+Сесія'!L115</f>
        <v>0</v>
      </c>
      <c r="M116" s="239">
        <f>'dod3'!M116-'dod3 Квітень+Комісії+Сесія'!M115</f>
        <v>0</v>
      </c>
      <c r="N116" s="239">
        <f>'dod3'!N116-'dod3 Квітень+Комісії+Сесія'!N115</f>
        <v>-1171500</v>
      </c>
      <c r="O116" s="239">
        <f>'dod3'!O116-'dod3 Квітень+Комісії+Сесія'!O115</f>
        <v>-1171500</v>
      </c>
      <c r="P116" s="239">
        <f>'dod3'!P116-'dod3 Квітень+Комісії+Сесія'!P115</f>
        <v>-1141500</v>
      </c>
    </row>
    <row r="117" spans="1:18" ht="91.5" x14ac:dyDescent="0.2">
      <c r="A117" s="387" t="s">
        <v>815</v>
      </c>
      <c r="B117" s="387" t="s">
        <v>816</v>
      </c>
      <c r="C117" s="387" t="s">
        <v>817</v>
      </c>
      <c r="D117" s="387" t="s">
        <v>814</v>
      </c>
      <c r="E117" s="239">
        <f>'dod3'!E117-'dod3 Квітень+Комісії+Сесія'!E116</f>
        <v>50000</v>
      </c>
      <c r="F117" s="239">
        <f>'dod3'!F117-'dod3 Квітень+Комісії+Сесія'!F116</f>
        <v>50000</v>
      </c>
      <c r="G117" s="239">
        <f>'dod3'!G117-'dod3 Квітень+Комісії+Сесія'!G116</f>
        <v>0</v>
      </c>
      <c r="H117" s="239">
        <f>'dod3'!H117-'dod3 Квітень+Комісії+Сесія'!H116</f>
        <v>0</v>
      </c>
      <c r="I117" s="239">
        <f>'dod3'!I117-'dod3 Квітень+Комісії+Сесія'!I116</f>
        <v>0</v>
      </c>
      <c r="J117" s="239">
        <f>'dod3'!J117-'dod3 Квітень+Комісії+Сесія'!J116</f>
        <v>0</v>
      </c>
      <c r="K117" s="239">
        <f>'dod3'!K117-'dod3 Квітень+Комісії+Сесія'!K116</f>
        <v>0</v>
      </c>
      <c r="L117" s="239">
        <f>'dod3'!L117-'dod3 Квітень+Комісії+Сесія'!L116</f>
        <v>0</v>
      </c>
      <c r="M117" s="239">
        <f>'dod3'!M117-'dod3 Квітень+Комісії+Сесія'!M116</f>
        <v>0</v>
      </c>
      <c r="N117" s="239">
        <f>'dod3'!N117-'dod3 Квітень+Комісії+Сесія'!N116</f>
        <v>0</v>
      </c>
      <c r="O117" s="239">
        <f>'dod3'!O117-'dod3 Квітень+Комісії+Сесія'!O116</f>
        <v>0</v>
      </c>
      <c r="P117" s="239">
        <f>'dod3'!P117-'dod3 Квітень+Комісії+Сесія'!P116</f>
        <v>50000</v>
      </c>
    </row>
    <row r="118" spans="1:18" ht="91.5" x14ac:dyDescent="0.2">
      <c r="A118" s="387" t="s">
        <v>346</v>
      </c>
      <c r="B118" s="387" t="s">
        <v>347</v>
      </c>
      <c r="C118" s="387"/>
      <c r="D118" s="387" t="s">
        <v>345</v>
      </c>
      <c r="E118" s="239">
        <f>'dod3'!E118-'dod3 Квітень+Комісії+Сесія'!E117</f>
        <v>741600</v>
      </c>
      <c r="F118" s="239">
        <f>'dod3'!F118-'dod3 Квітень+Комісії+Сесія'!F117</f>
        <v>741600</v>
      </c>
      <c r="G118" s="239">
        <f>'dod3'!G118-'dod3 Квітень+Комісії+Сесія'!G117</f>
        <v>0</v>
      </c>
      <c r="H118" s="239">
        <f>'dod3'!H118-'dod3 Квітень+Комісії+Сесія'!H117</f>
        <v>0</v>
      </c>
      <c r="I118" s="239">
        <f>'dod3'!I118-'dod3 Квітень+Комісії+Сесія'!I117</f>
        <v>0</v>
      </c>
      <c r="J118" s="239">
        <f>'dod3'!J118-'dod3 Квітень+Комісії+Сесія'!J117</f>
        <v>19300</v>
      </c>
      <c r="K118" s="239">
        <f>'dod3'!K118-'dod3 Квітень+Комісії+Сесія'!K117</f>
        <v>0</v>
      </c>
      <c r="L118" s="239">
        <f>'dod3'!L118-'dod3 Квітень+Комісії+Сесія'!L117</f>
        <v>0</v>
      </c>
      <c r="M118" s="239">
        <f>'dod3'!M118-'dod3 Квітень+Комісії+Сесія'!M117</f>
        <v>0</v>
      </c>
      <c r="N118" s="239">
        <f>'dod3'!N118-'dod3 Квітень+Комісії+Сесія'!N117</f>
        <v>19300</v>
      </c>
      <c r="O118" s="239">
        <f>'dod3'!O118-'dod3 Квітень+Комісії+Сесія'!O117</f>
        <v>19300</v>
      </c>
      <c r="P118" s="239">
        <f>'dod3'!P118-'dod3 Квітень+Комісії+Сесія'!P117</f>
        <v>760900</v>
      </c>
    </row>
    <row r="119" spans="1:18" ht="137.25" x14ac:dyDescent="0.2">
      <c r="A119" s="389" t="s">
        <v>691</v>
      </c>
      <c r="B119" s="389" t="s">
        <v>692</v>
      </c>
      <c r="C119" s="389" t="s">
        <v>348</v>
      </c>
      <c r="D119" s="389" t="s">
        <v>690</v>
      </c>
      <c r="E119" s="239">
        <f>'dod3'!E119-'dod3 Квітень+Комісії+Сесія'!E118</f>
        <v>191600</v>
      </c>
      <c r="F119" s="239">
        <f>'dod3'!F119-'dod3 Квітень+Комісії+Сесія'!F118</f>
        <v>191600</v>
      </c>
      <c r="G119" s="239">
        <f>'dod3'!G119-'dod3 Квітень+Комісії+Сесія'!G118</f>
        <v>0</v>
      </c>
      <c r="H119" s="239">
        <f>'dod3'!H119-'dod3 Квітень+Комісії+Сесія'!H118</f>
        <v>0</v>
      </c>
      <c r="I119" s="239">
        <f>'dod3'!I119-'dod3 Квітень+Комісії+Сесія'!I118</f>
        <v>0</v>
      </c>
      <c r="J119" s="239">
        <f>'dod3'!J119-'dod3 Квітень+Комісії+Сесія'!J118</f>
        <v>19300</v>
      </c>
      <c r="K119" s="239">
        <f>'dod3'!K119-'dod3 Квітень+Комісії+Сесія'!K118</f>
        <v>0</v>
      </c>
      <c r="L119" s="239">
        <f>'dod3'!L119-'dod3 Квітень+Комісії+Сесія'!L118</f>
        <v>0</v>
      </c>
      <c r="M119" s="239">
        <f>'dod3'!M119-'dod3 Квітень+Комісії+Сесія'!M118</f>
        <v>0</v>
      </c>
      <c r="N119" s="239">
        <f>'dod3'!N119-'dod3 Квітень+Комісії+Сесія'!N118</f>
        <v>19300</v>
      </c>
      <c r="O119" s="239">
        <f>'dod3'!O119-'dod3 Квітень+Комісії+Сесія'!O118</f>
        <v>19300</v>
      </c>
      <c r="P119" s="239">
        <f>'dod3'!P119-'dod3 Квітень+Комісії+Сесія'!P118</f>
        <v>210900</v>
      </c>
    </row>
    <row r="120" spans="1:18" ht="91.5" x14ac:dyDescent="0.2">
      <c r="A120" s="389" t="s">
        <v>693</v>
      </c>
      <c r="B120" s="389" t="s">
        <v>694</v>
      </c>
      <c r="C120" s="389" t="s">
        <v>348</v>
      </c>
      <c r="D120" s="389" t="s">
        <v>695</v>
      </c>
      <c r="E120" s="239">
        <f>'dod3'!E120-'dod3 Квітень+Комісії+Сесія'!E119</f>
        <v>550000</v>
      </c>
      <c r="F120" s="239">
        <f>'dod3'!F120-'dod3 Квітень+Комісії+Сесія'!F119</f>
        <v>550000</v>
      </c>
      <c r="G120" s="239">
        <f>'dod3'!G120-'dod3 Квітень+Комісії+Сесія'!G119</f>
        <v>0</v>
      </c>
      <c r="H120" s="239">
        <f>'dod3'!H120-'dod3 Квітень+Комісії+Сесія'!H119</f>
        <v>0</v>
      </c>
      <c r="I120" s="239">
        <f>'dod3'!I120-'dod3 Квітень+Комісії+Сесія'!I119</f>
        <v>0</v>
      </c>
      <c r="J120" s="239">
        <f>'dod3'!J120-'dod3 Квітень+Комісії+Сесія'!J119</f>
        <v>0</v>
      </c>
      <c r="K120" s="239">
        <f>'dod3'!K120-'dod3 Квітень+Комісії+Сесія'!K119</f>
        <v>0</v>
      </c>
      <c r="L120" s="239">
        <f>'dod3'!L120-'dod3 Квітень+Комісії+Сесія'!L119</f>
        <v>0</v>
      </c>
      <c r="M120" s="239">
        <f>'dod3'!M120-'dod3 Квітень+Комісії+Сесія'!M119</f>
        <v>0</v>
      </c>
      <c r="N120" s="239">
        <f>'dod3'!N120-'dod3 Квітень+Комісії+Сесія'!N119</f>
        <v>0</v>
      </c>
      <c r="O120" s="239">
        <f>'dod3'!O120-'dod3 Квітень+Комісії+Сесія'!O119</f>
        <v>0</v>
      </c>
      <c r="P120" s="239">
        <f>'dod3'!P120-'dod3 Квітень+Комісії+Сесія'!P119</f>
        <v>550000</v>
      </c>
    </row>
    <row r="121" spans="1:18" ht="91.5" x14ac:dyDescent="0.2">
      <c r="A121" s="387" t="s">
        <v>819</v>
      </c>
      <c r="B121" s="387" t="s">
        <v>373</v>
      </c>
      <c r="C121" s="387" t="s">
        <v>324</v>
      </c>
      <c r="D121" s="387" t="s">
        <v>818</v>
      </c>
      <c r="E121" s="239">
        <f>'dod3'!E121-'dod3 Квітень+Комісії+Сесія'!E120</f>
        <v>0</v>
      </c>
      <c r="F121" s="239">
        <f>'dod3'!F121-'dod3 Квітень+Комісії+Сесія'!F120</f>
        <v>0</v>
      </c>
      <c r="G121" s="239">
        <f>'dod3'!G121-'dod3 Квітень+Комісії+Сесія'!G120</f>
        <v>0</v>
      </c>
      <c r="H121" s="239">
        <f>'dod3'!H121-'dod3 Квітень+Комісії+Сесія'!H120</f>
        <v>0</v>
      </c>
      <c r="I121" s="239">
        <f>'dod3'!I121-'dod3 Квітень+Комісії+Сесія'!I120</f>
        <v>0</v>
      </c>
      <c r="J121" s="239">
        <f>'dod3'!J121-'dod3 Квітень+Комісії+Сесія'!J120</f>
        <v>54800</v>
      </c>
      <c r="K121" s="239">
        <f>'dod3'!K121-'dod3 Квітень+Комісії+Сесія'!K120</f>
        <v>0</v>
      </c>
      <c r="L121" s="239">
        <f>'dod3'!L121-'dod3 Квітень+Комісії+Сесія'!L120</f>
        <v>0</v>
      </c>
      <c r="M121" s="239">
        <f>'dod3'!M121-'dod3 Квітень+Комісії+Сесія'!M120</f>
        <v>0</v>
      </c>
      <c r="N121" s="239">
        <f>'dod3'!N121-'dod3 Квітень+Комісії+Сесія'!N120</f>
        <v>54800</v>
      </c>
      <c r="O121" s="239">
        <f>'dod3'!O121-'dod3 Квітень+Комісії+Сесія'!O120</f>
        <v>54800</v>
      </c>
      <c r="P121" s="239">
        <f>'dod3'!P121-'dod3 Квітень+Комісії+Сесія'!P120</f>
        <v>54800</v>
      </c>
    </row>
    <row r="122" spans="1:18" ht="135" x14ac:dyDescent="0.2">
      <c r="A122" s="277" t="s">
        <v>65</v>
      </c>
      <c r="B122" s="277"/>
      <c r="C122" s="277"/>
      <c r="D122" s="277" t="s">
        <v>66</v>
      </c>
      <c r="E122" s="243">
        <f>E123</f>
        <v>3486429</v>
      </c>
      <c r="F122" s="243">
        <f t="shared" ref="F122:P122" si="19">F123</f>
        <v>3486429</v>
      </c>
      <c r="G122" s="243">
        <f t="shared" si="19"/>
        <v>147400</v>
      </c>
      <c r="H122" s="243">
        <f t="shared" si="19"/>
        <v>45000</v>
      </c>
      <c r="I122" s="243">
        <f t="shared" si="19"/>
        <v>0</v>
      </c>
      <c r="J122" s="243">
        <f t="shared" si="19"/>
        <v>293165</v>
      </c>
      <c r="K122" s="243">
        <f t="shared" si="19"/>
        <v>0</v>
      </c>
      <c r="L122" s="243">
        <f t="shared" si="19"/>
        <v>0</v>
      </c>
      <c r="M122" s="243">
        <f t="shared" si="19"/>
        <v>0</v>
      </c>
      <c r="N122" s="243">
        <f t="shared" si="19"/>
        <v>293165</v>
      </c>
      <c r="O122" s="244">
        <f t="shared" si="19"/>
        <v>293165</v>
      </c>
      <c r="P122" s="243">
        <f t="shared" si="19"/>
        <v>3779594</v>
      </c>
    </row>
    <row r="123" spans="1:18" ht="135" x14ac:dyDescent="0.2">
      <c r="A123" s="280" t="s">
        <v>64</v>
      </c>
      <c r="B123" s="280"/>
      <c r="C123" s="280"/>
      <c r="D123" s="280" t="s">
        <v>90</v>
      </c>
      <c r="E123" s="244">
        <f>E124+E126+E130+E133+E135+E140+E145+E143+E146+E138</f>
        <v>3486429</v>
      </c>
      <c r="F123" s="243">
        <f>F124+F126+F130+F133+F135+F140+F145+F143+F146+F138</f>
        <v>3486429</v>
      </c>
      <c r="G123" s="244">
        <f>G124+G126+G130+G133+G135+G140+G145+G143+G146+G138</f>
        <v>147400</v>
      </c>
      <c r="H123" s="244">
        <f>H124+H126+H130+H133+H135+H140+H145+H143+H146+H138</f>
        <v>45000</v>
      </c>
      <c r="I123" s="243">
        <f>I124+I126+I130+I133+I135+I140+I145</f>
        <v>0</v>
      </c>
      <c r="J123" s="246">
        <f>K123+N123</f>
        <v>293165</v>
      </c>
      <c r="K123" s="243">
        <f>K124+K126+K130+K133+K135+K140+K145+K143+K146+K138</f>
        <v>0</v>
      </c>
      <c r="L123" s="244">
        <f>L124+L126+L130+L133+L135+L140+L145+L143+L146+L138</f>
        <v>0</v>
      </c>
      <c r="M123" s="244">
        <f>M124+M126+M130+M133+M135+M140+M145+M143+M146+M138</f>
        <v>0</v>
      </c>
      <c r="N123" s="243">
        <f>N124+N126+N130+N133+N135+N140+N145+N146+N138</f>
        <v>293165</v>
      </c>
      <c r="O123" s="244">
        <f>O124+O126+O130+O133+O135+O140+O145+O146+O138</f>
        <v>293165</v>
      </c>
      <c r="P123" s="244">
        <f>E123+J123</f>
        <v>3779594</v>
      </c>
      <c r="Q123" s="311"/>
      <c r="R123" s="325"/>
    </row>
    <row r="124" spans="1:18" ht="137.25" x14ac:dyDescent="0.2">
      <c r="A124" s="387" t="s">
        <v>349</v>
      </c>
      <c r="B124" s="387" t="s">
        <v>350</v>
      </c>
      <c r="C124" s="387"/>
      <c r="D124" s="387" t="s">
        <v>106</v>
      </c>
      <c r="E124" s="179">
        <f>'dod3'!E124-'dod3 Квітень+Комісії+Сесія'!E123</f>
        <v>0</v>
      </c>
      <c r="F124" s="179">
        <f>'dod3'!F124-'dod3 Квітень+Комісії+Сесія'!F123</f>
        <v>0</v>
      </c>
      <c r="G124" s="179">
        <f>'dod3'!G124-'dod3 Квітень+Комісії+Сесія'!G123</f>
        <v>0</v>
      </c>
      <c r="H124" s="179">
        <f>'dod3'!H124-'dod3 Квітень+Комісії+Сесія'!H123</f>
        <v>0</v>
      </c>
      <c r="I124" s="179">
        <f>'dod3'!I124-'dod3 Квітень+Комісії+Сесія'!I123</f>
        <v>0</v>
      </c>
      <c r="J124" s="179">
        <f>'dod3'!J124-'dod3 Квітень+Комісії+Сесія'!J123</f>
        <v>0</v>
      </c>
      <c r="K124" s="179">
        <f>'dod3'!K124-'dod3 Квітень+Комісії+Сесія'!K123</f>
        <v>0</v>
      </c>
      <c r="L124" s="179">
        <f>'dod3'!L124-'dod3 Квітень+Комісії+Сесія'!L123</f>
        <v>0</v>
      </c>
      <c r="M124" s="179">
        <f>'dod3'!M124-'dod3 Квітень+Комісії+Сесія'!M123</f>
        <v>0</v>
      </c>
      <c r="N124" s="179">
        <f>'dod3'!N124-'dod3 Квітень+Комісії+Сесія'!N123</f>
        <v>0</v>
      </c>
      <c r="O124" s="179">
        <f>'dod3'!O124-'dod3 Квітень+Комісії+Сесія'!O123</f>
        <v>0</v>
      </c>
      <c r="P124" s="179">
        <f>'dod3'!P124-'dod3 Квітень+Комісії+Сесія'!P123</f>
        <v>0</v>
      </c>
    </row>
    <row r="125" spans="1:18" ht="183" x14ac:dyDescent="0.2">
      <c r="A125" s="389" t="s">
        <v>351</v>
      </c>
      <c r="B125" s="389" t="s">
        <v>352</v>
      </c>
      <c r="C125" s="389" t="s">
        <v>353</v>
      </c>
      <c r="D125" s="389" t="s">
        <v>354</v>
      </c>
      <c r="E125" s="179">
        <f>'dod3'!E125-'dod3 Квітень+Комісії+Сесія'!E124</f>
        <v>0</v>
      </c>
      <c r="F125" s="179">
        <f>'dod3'!F125-'dod3 Квітень+Комісії+Сесія'!F124</f>
        <v>0</v>
      </c>
      <c r="G125" s="179">
        <f>'dod3'!G125-'dod3 Квітень+Комісії+Сесія'!G124</f>
        <v>0</v>
      </c>
      <c r="H125" s="179">
        <f>'dod3'!H125-'dod3 Квітень+Комісії+Сесія'!H124</f>
        <v>0</v>
      </c>
      <c r="I125" s="179">
        <f>'dod3'!I125-'dod3 Квітень+Комісії+Сесія'!I124</f>
        <v>0</v>
      </c>
      <c r="J125" s="179">
        <f>'dod3'!J125-'dod3 Квітень+Комісії+Сесія'!J124</f>
        <v>0</v>
      </c>
      <c r="K125" s="179">
        <f>'dod3'!K125-'dod3 Квітень+Комісії+Сесія'!K124</f>
        <v>0</v>
      </c>
      <c r="L125" s="179">
        <f>'dod3'!L125-'dod3 Квітень+Комісії+Сесія'!L124</f>
        <v>0</v>
      </c>
      <c r="M125" s="179">
        <f>'dod3'!M125-'dod3 Квітень+Комісії+Сесія'!M124</f>
        <v>0</v>
      </c>
      <c r="N125" s="179">
        <f>'dod3'!N125-'dod3 Квітень+Комісії+Сесія'!N124</f>
        <v>0</v>
      </c>
      <c r="O125" s="179">
        <f>'dod3'!O125-'dod3 Квітень+Комісії+Сесія'!O124</f>
        <v>0</v>
      </c>
      <c r="P125" s="179">
        <f>'dod3'!P125-'dod3 Квітень+Комісії+Сесія'!P124</f>
        <v>0</v>
      </c>
    </row>
    <row r="126" spans="1:18" ht="91.5" x14ac:dyDescent="0.2">
      <c r="A126" s="387" t="s">
        <v>105</v>
      </c>
      <c r="B126" s="387" t="s">
        <v>328</v>
      </c>
      <c r="C126" s="387"/>
      <c r="D126" s="387" t="s">
        <v>76</v>
      </c>
      <c r="E126" s="179">
        <f>'dod3'!E126-'dod3 Квітень+Комісії+Сесія'!E125</f>
        <v>1134425</v>
      </c>
      <c r="F126" s="179">
        <f>'dod3'!F126-'dod3 Квітень+Комісії+Сесія'!F125</f>
        <v>1134425</v>
      </c>
      <c r="G126" s="179">
        <f>'dod3'!G126-'dod3 Квітень+Комісії+Сесія'!G125</f>
        <v>0</v>
      </c>
      <c r="H126" s="179">
        <f>'dod3'!H126-'dod3 Квітень+Комісії+Сесія'!H125</f>
        <v>0</v>
      </c>
      <c r="I126" s="179">
        <f>'dod3'!I126-'dod3 Квітень+Комісії+Сесія'!I125</f>
        <v>0</v>
      </c>
      <c r="J126" s="179">
        <f>'dod3'!J126-'dod3 Квітень+Комісії+Сесія'!J125</f>
        <v>400000</v>
      </c>
      <c r="K126" s="179">
        <f>'dod3'!K126-'dod3 Квітень+Комісії+Сесія'!K125</f>
        <v>0</v>
      </c>
      <c r="L126" s="179">
        <f>'dod3'!L126-'dod3 Квітень+Комісії+Сесія'!L125</f>
        <v>0</v>
      </c>
      <c r="M126" s="179">
        <f>'dod3'!M126-'dod3 Квітень+Комісії+Сесія'!M125</f>
        <v>0</v>
      </c>
      <c r="N126" s="179">
        <f>'dod3'!N126-'dod3 Квітень+Комісії+Сесія'!N125</f>
        <v>400000</v>
      </c>
      <c r="O126" s="179">
        <f>'dod3'!O126-'dod3 Квітень+Комісії+Сесія'!O125</f>
        <v>400000</v>
      </c>
      <c r="P126" s="179">
        <f>'dod3'!P126-'dod3 Квітень+Комісії+Сесія'!P125</f>
        <v>1534425</v>
      </c>
    </row>
    <row r="127" spans="1:18" ht="228.75" x14ac:dyDescent="0.2">
      <c r="A127" s="389" t="s">
        <v>104</v>
      </c>
      <c r="B127" s="389" t="s">
        <v>329</v>
      </c>
      <c r="C127" s="389" t="s">
        <v>353</v>
      </c>
      <c r="D127" s="389" t="s">
        <v>33</v>
      </c>
      <c r="E127" s="179">
        <f>'dod3'!E127-'dod3 Квітень+Комісії+Сесія'!E126</f>
        <v>20000</v>
      </c>
      <c r="F127" s="179">
        <f>'dod3'!F127-'dod3 Квітень+Комісії+Сесія'!F126</f>
        <v>20000</v>
      </c>
      <c r="G127" s="179">
        <f>'dod3'!G127-'dod3 Квітень+Комісії+Сесія'!G126</f>
        <v>0</v>
      </c>
      <c r="H127" s="179">
        <f>'dod3'!H127-'dod3 Квітень+Комісії+Сесія'!H126</f>
        <v>0</v>
      </c>
      <c r="I127" s="179">
        <f>'dod3'!I127-'dod3 Квітень+Комісії+Сесія'!I126</f>
        <v>0</v>
      </c>
      <c r="J127" s="179">
        <f>'dod3'!J127-'dod3 Квітень+Комісії+Сесія'!J126</f>
        <v>0</v>
      </c>
      <c r="K127" s="179">
        <f>'dod3'!K127-'dod3 Квітень+Комісії+Сесія'!K126</f>
        <v>0</v>
      </c>
      <c r="L127" s="179">
        <f>'dod3'!L127-'dod3 Квітень+Комісії+Сесія'!L126</f>
        <v>0</v>
      </c>
      <c r="M127" s="179">
        <f>'dod3'!M127-'dod3 Квітень+Комісії+Сесія'!M126</f>
        <v>0</v>
      </c>
      <c r="N127" s="179">
        <f>'dod3'!N127-'dod3 Квітень+Комісії+Сесія'!N126</f>
        <v>0</v>
      </c>
      <c r="O127" s="179">
        <f>'dod3'!O127-'dod3 Квітень+Комісії+Сесія'!O126</f>
        <v>0</v>
      </c>
      <c r="P127" s="179">
        <f>'dod3'!P127-'dod3 Квітень+Комісії+Сесія'!P126</f>
        <v>20000</v>
      </c>
    </row>
    <row r="128" spans="1:18" ht="137.25" x14ac:dyDescent="0.2">
      <c r="A128" s="389" t="s">
        <v>360</v>
      </c>
      <c r="B128" s="389" t="s">
        <v>361</v>
      </c>
      <c r="C128" s="389" t="s">
        <v>353</v>
      </c>
      <c r="D128" s="389" t="s">
        <v>34</v>
      </c>
      <c r="E128" s="179">
        <f>'dod3'!E128-'dod3 Квітень+Комісії+Сесія'!E127</f>
        <v>211028</v>
      </c>
      <c r="F128" s="179">
        <f>'dod3'!F128-'dod3 Квітень+Комісії+Сесія'!F127</f>
        <v>211028</v>
      </c>
      <c r="G128" s="179">
        <f>'dod3'!G128-'dod3 Квітень+Комісії+Сесія'!G127</f>
        <v>0</v>
      </c>
      <c r="H128" s="179">
        <f>'dod3'!H128-'dod3 Квітень+Комісії+Сесія'!H127</f>
        <v>0</v>
      </c>
      <c r="I128" s="179">
        <f>'dod3'!I128-'dod3 Квітень+Комісії+Сесія'!I127</f>
        <v>0</v>
      </c>
      <c r="J128" s="179">
        <f>'dod3'!J128-'dod3 Квітень+Комісії+Сесія'!J127</f>
        <v>0</v>
      </c>
      <c r="K128" s="179">
        <f>'dod3'!K128-'dod3 Квітень+Комісії+Сесія'!K127</f>
        <v>0</v>
      </c>
      <c r="L128" s="179">
        <f>'dod3'!L128-'dod3 Квітень+Комісії+Сесія'!L127</f>
        <v>0</v>
      </c>
      <c r="M128" s="179">
        <f>'dod3'!M128-'dod3 Квітень+Комісії+Сесія'!M127</f>
        <v>0</v>
      </c>
      <c r="N128" s="179">
        <f>'dod3'!N128-'dod3 Квітень+Комісії+Сесія'!N127</f>
        <v>0</v>
      </c>
      <c r="O128" s="179">
        <f>'dod3'!O128-'dod3 Квітень+Комісії+Сесія'!O127</f>
        <v>0</v>
      </c>
      <c r="P128" s="179">
        <f>'dod3'!P128-'dod3 Квітень+Комісії+Сесія'!P127</f>
        <v>211028</v>
      </c>
    </row>
    <row r="129" spans="1:16" ht="91.5" x14ac:dyDescent="0.2">
      <c r="A129" s="389" t="s">
        <v>761</v>
      </c>
      <c r="B129" s="389" t="s">
        <v>762</v>
      </c>
      <c r="C129" s="389" t="s">
        <v>353</v>
      </c>
      <c r="D129" s="389" t="s">
        <v>763</v>
      </c>
      <c r="E129" s="179">
        <f>'dod3'!E129-'dod3 Квітень+Комісії+Сесія'!E128</f>
        <v>903397</v>
      </c>
      <c r="F129" s="179">
        <f>'dod3'!F129-'dod3 Квітень+Комісії+Сесія'!F128</f>
        <v>903397</v>
      </c>
      <c r="G129" s="179">
        <f>'dod3'!G129-'dod3 Квітень+Комісії+Сесія'!G128</f>
        <v>47800</v>
      </c>
      <c r="H129" s="179">
        <f>'dod3'!H129-'dod3 Квітень+Комісії+Сесія'!H128</f>
        <v>70000</v>
      </c>
      <c r="I129" s="179">
        <f>'dod3'!I129-'dod3 Квітень+Комісії+Сесія'!I128</f>
        <v>0</v>
      </c>
      <c r="J129" s="179">
        <f>'dod3'!J129-'dod3 Квітень+Комісії+Сесія'!J128</f>
        <v>400000</v>
      </c>
      <c r="K129" s="179">
        <f>'dod3'!K129-'dod3 Квітень+Комісії+Сесія'!K128</f>
        <v>0</v>
      </c>
      <c r="L129" s="179">
        <f>'dod3'!L129-'dod3 Квітень+Комісії+Сесія'!L128</f>
        <v>0</v>
      </c>
      <c r="M129" s="179">
        <f>'dod3'!M129-'dod3 Квітень+Комісії+Сесія'!M128</f>
        <v>0</v>
      </c>
      <c r="N129" s="179">
        <f>'dod3'!N129-'dod3 Квітень+Комісії+Сесія'!N128</f>
        <v>400000</v>
      </c>
      <c r="O129" s="179">
        <f>'dod3'!O129-'dod3 Квітень+Комісії+Сесія'!O128</f>
        <v>400000</v>
      </c>
      <c r="P129" s="179">
        <f>'dod3'!P129-'dod3 Квітень+Комісії+Сесія'!P128</f>
        <v>1303397</v>
      </c>
    </row>
    <row r="130" spans="1:16" ht="91.5" x14ac:dyDescent="0.2">
      <c r="A130" s="387" t="s">
        <v>107</v>
      </c>
      <c r="B130" s="387" t="s">
        <v>355</v>
      </c>
      <c r="C130" s="387"/>
      <c r="D130" s="387" t="s">
        <v>108</v>
      </c>
      <c r="E130" s="179">
        <f>'dod3'!E130-'dod3 Квітень+Комісії+Сесія'!E129</f>
        <v>1500000</v>
      </c>
      <c r="F130" s="179">
        <f>'dod3'!F130-'dod3 Квітень+Комісії+Сесія'!F129</f>
        <v>1500000</v>
      </c>
      <c r="G130" s="179">
        <f>'dod3'!G130-'dod3 Квітень+Комісії+Сесія'!G129</f>
        <v>0</v>
      </c>
      <c r="H130" s="179">
        <f>'dod3'!H130-'dod3 Квітень+Комісії+Сесія'!H129</f>
        <v>0</v>
      </c>
      <c r="I130" s="179">
        <f>'dod3'!I130-'dod3 Квітень+Комісії+Сесія'!I129</f>
        <v>0</v>
      </c>
      <c r="J130" s="179">
        <f>'dod3'!J130-'dod3 Квітень+Комісії+Сесія'!J129</f>
        <v>0</v>
      </c>
      <c r="K130" s="179">
        <f>'dod3'!K130-'dod3 Квітень+Комісії+Сесія'!K129</f>
        <v>0</v>
      </c>
      <c r="L130" s="179">
        <f>'dod3'!L130-'dod3 Квітень+Комісії+Сесія'!L129</f>
        <v>0</v>
      </c>
      <c r="M130" s="179">
        <f>'dod3'!M130-'dod3 Квітень+Комісії+Сесія'!M129</f>
        <v>0</v>
      </c>
      <c r="N130" s="179">
        <f>'dod3'!N130-'dod3 Квітень+Комісії+Сесія'!N129</f>
        <v>0</v>
      </c>
      <c r="O130" s="179">
        <f>'dod3'!O130-'dod3 Квітень+Комісії+Сесія'!O129</f>
        <v>0</v>
      </c>
      <c r="P130" s="179">
        <f>'dod3'!P130-'dod3 Квітень+Комісії+Сесія'!P129</f>
        <v>1500000</v>
      </c>
    </row>
    <row r="131" spans="1:16" ht="137.25" x14ac:dyDescent="0.2">
      <c r="A131" s="389" t="s">
        <v>109</v>
      </c>
      <c r="B131" s="389" t="s">
        <v>356</v>
      </c>
      <c r="C131" s="389" t="s">
        <v>370</v>
      </c>
      <c r="D131" s="389" t="s">
        <v>110</v>
      </c>
      <c r="E131" s="179">
        <f>'dod3'!E131-'dod3 Квітень+Комісії+Сесія'!E130</f>
        <v>1325000</v>
      </c>
      <c r="F131" s="179">
        <f>'dod3'!F131-'dod3 Квітень+Комісії+Сесія'!F130</f>
        <v>1325000</v>
      </c>
      <c r="G131" s="179">
        <f>'dod3'!G131-'dod3 Квітень+Комісії+Сесія'!G130</f>
        <v>0</v>
      </c>
      <c r="H131" s="179">
        <f>'dod3'!H131-'dod3 Квітень+Комісії+Сесія'!H130</f>
        <v>0</v>
      </c>
      <c r="I131" s="179">
        <f>'dod3'!I131-'dod3 Квітень+Комісії+Сесія'!I130</f>
        <v>0</v>
      </c>
      <c r="J131" s="179">
        <f>'dod3'!J131-'dod3 Квітень+Комісії+Сесія'!J130</f>
        <v>0</v>
      </c>
      <c r="K131" s="179">
        <f>'dod3'!K131-'dod3 Квітень+Комісії+Сесія'!K130</f>
        <v>0</v>
      </c>
      <c r="L131" s="179">
        <f>'dod3'!L131-'dod3 Квітень+Комісії+Сесія'!L130</f>
        <v>0</v>
      </c>
      <c r="M131" s="179">
        <f>'dod3'!M131-'dod3 Квітень+Комісії+Сесія'!M130</f>
        <v>0</v>
      </c>
      <c r="N131" s="179">
        <f>'dod3'!N131-'dod3 Квітень+Комісії+Сесія'!N130</f>
        <v>0</v>
      </c>
      <c r="O131" s="179">
        <f>'dod3'!O131-'dod3 Квітень+Комісії+Сесія'!O130</f>
        <v>0</v>
      </c>
      <c r="P131" s="179">
        <f>'dod3'!P131-'dod3 Квітень+Комісії+Сесія'!P130</f>
        <v>1325000</v>
      </c>
    </row>
    <row r="132" spans="1:16" ht="137.25" x14ac:dyDescent="0.2">
      <c r="A132" s="389" t="s">
        <v>111</v>
      </c>
      <c r="B132" s="389" t="s">
        <v>357</v>
      </c>
      <c r="C132" s="389" t="s">
        <v>370</v>
      </c>
      <c r="D132" s="389" t="s">
        <v>11</v>
      </c>
      <c r="E132" s="179">
        <f>'dod3'!E132-'dod3 Квітень+Комісії+Сесія'!E131</f>
        <v>175000</v>
      </c>
      <c r="F132" s="179">
        <f>'dod3'!F132-'dod3 Квітень+Комісії+Сесія'!F131</f>
        <v>175000</v>
      </c>
      <c r="G132" s="179">
        <f>'dod3'!G132-'dod3 Квітень+Комісії+Сесія'!G131</f>
        <v>0</v>
      </c>
      <c r="H132" s="179">
        <f>'dod3'!H132-'dod3 Квітень+Комісії+Сесія'!H131</f>
        <v>0</v>
      </c>
      <c r="I132" s="179">
        <f>'dod3'!I132-'dod3 Квітень+Комісії+Сесія'!I131</f>
        <v>0</v>
      </c>
      <c r="J132" s="179">
        <f>'dod3'!J132-'dod3 Квітень+Комісії+Сесія'!J131</f>
        <v>0</v>
      </c>
      <c r="K132" s="179">
        <f>'dod3'!K132-'dod3 Квітень+Комісії+Сесія'!K131</f>
        <v>0</v>
      </c>
      <c r="L132" s="179">
        <f>'dod3'!L132-'dod3 Квітень+Комісії+Сесія'!L131</f>
        <v>0</v>
      </c>
      <c r="M132" s="179">
        <f>'dod3'!M132-'dod3 Квітень+Комісії+Сесія'!M131</f>
        <v>0</v>
      </c>
      <c r="N132" s="179">
        <f>'dod3'!N132-'dod3 Квітень+Комісії+Сесія'!N131</f>
        <v>0</v>
      </c>
      <c r="O132" s="179">
        <f>'dod3'!O132-'dod3 Квітень+Комісії+Сесія'!O131</f>
        <v>0</v>
      </c>
      <c r="P132" s="179">
        <f>'dod3'!P132-'dod3 Квітень+Комісії+Сесія'!P131</f>
        <v>175000</v>
      </c>
    </row>
    <row r="133" spans="1:16" ht="183" x14ac:dyDescent="0.2">
      <c r="A133" s="387" t="s">
        <v>112</v>
      </c>
      <c r="B133" s="387" t="s">
        <v>358</v>
      </c>
      <c r="C133" s="387"/>
      <c r="D133" s="387" t="s">
        <v>753</v>
      </c>
      <c r="E133" s="179">
        <f>'dod3'!E133-'dod3 Квітень+Комісії+Сесія'!E132</f>
        <v>0</v>
      </c>
      <c r="F133" s="179">
        <f>'dod3'!F133-'dod3 Квітень+Комісії+Сесія'!F132</f>
        <v>0</v>
      </c>
      <c r="G133" s="179">
        <f>'dod3'!G133-'dod3 Квітень+Комісії+Сесія'!G132</f>
        <v>0</v>
      </c>
      <c r="H133" s="179">
        <f>'dod3'!H133-'dod3 Квітень+Комісії+Сесія'!H132</f>
        <v>0</v>
      </c>
      <c r="I133" s="179">
        <f>'dod3'!I133-'dod3 Квітень+Комісії+Сесія'!I132</f>
        <v>0</v>
      </c>
      <c r="J133" s="179">
        <f>'dod3'!J133-'dod3 Квітень+Комісії+Сесія'!J132</f>
        <v>0</v>
      </c>
      <c r="K133" s="179">
        <f>'dod3'!K133-'dod3 Квітень+Комісії+Сесія'!K132</f>
        <v>0</v>
      </c>
      <c r="L133" s="179">
        <f>'dod3'!L133-'dod3 Квітень+Комісії+Сесія'!L132</f>
        <v>0</v>
      </c>
      <c r="M133" s="179">
        <f>'dod3'!M133-'dod3 Квітень+Комісії+Сесія'!M132</f>
        <v>0</v>
      </c>
      <c r="N133" s="179">
        <f>'dod3'!N133-'dod3 Квітень+Комісії+Сесія'!N132</f>
        <v>0</v>
      </c>
      <c r="O133" s="179">
        <f>'dod3'!O133-'dod3 Квітень+Комісії+Сесія'!O132</f>
        <v>0</v>
      </c>
      <c r="P133" s="179">
        <f>'dod3'!P133-'dod3 Квітень+Комісії+Сесія'!P132</f>
        <v>0</v>
      </c>
    </row>
    <row r="134" spans="1:16" ht="183" x14ac:dyDescent="0.2">
      <c r="A134" s="389" t="s">
        <v>113</v>
      </c>
      <c r="B134" s="389" t="s">
        <v>359</v>
      </c>
      <c r="C134" s="389" t="s">
        <v>370</v>
      </c>
      <c r="D134" s="389" t="s">
        <v>754</v>
      </c>
      <c r="E134" s="179">
        <f>'dod3'!E134-'dod3 Квітень+Комісії+Сесія'!E133</f>
        <v>0</v>
      </c>
      <c r="F134" s="179">
        <f>'dod3'!F134-'dod3 Квітень+Комісії+Сесія'!F133</f>
        <v>0</v>
      </c>
      <c r="G134" s="179">
        <f>'dod3'!G134-'dod3 Квітень+Комісії+Сесія'!G133</f>
        <v>0</v>
      </c>
      <c r="H134" s="179">
        <f>'dod3'!H134-'dod3 Квітень+Комісії+Сесія'!H133</f>
        <v>0</v>
      </c>
      <c r="I134" s="179">
        <f>'dod3'!I134-'dod3 Квітень+Комісії+Сесія'!I133</f>
        <v>0</v>
      </c>
      <c r="J134" s="179">
        <f>'dod3'!J134-'dod3 Квітень+Комісії+Сесія'!J133</f>
        <v>0</v>
      </c>
      <c r="K134" s="179">
        <f>'dod3'!K134-'dod3 Квітень+Комісії+Сесія'!K133</f>
        <v>0</v>
      </c>
      <c r="L134" s="179">
        <f>'dod3'!L134-'dod3 Квітень+Комісії+Сесія'!L133</f>
        <v>0</v>
      </c>
      <c r="M134" s="179">
        <f>'dod3'!M134-'dod3 Квітень+Комісії+Сесія'!M133</f>
        <v>0</v>
      </c>
      <c r="N134" s="179">
        <f>'dod3'!N134-'dod3 Квітень+Комісії+Сесія'!N133</f>
        <v>0</v>
      </c>
      <c r="O134" s="179">
        <f>'dod3'!O134-'dod3 Квітень+Комісії+Сесія'!O133</f>
        <v>0</v>
      </c>
      <c r="P134" s="179">
        <f>'dod3'!P134-'dod3 Квітень+Комісії+Сесія'!P133</f>
        <v>0</v>
      </c>
    </row>
    <row r="135" spans="1:16" ht="91.5" x14ac:dyDescent="0.2">
      <c r="A135" s="387" t="s">
        <v>78</v>
      </c>
      <c r="B135" s="387" t="s">
        <v>365</v>
      </c>
      <c r="C135" s="387"/>
      <c r="D135" s="387" t="s">
        <v>79</v>
      </c>
      <c r="E135" s="179">
        <f>'dod3'!E135-'dod3 Квітень+Комісії+Сесія'!E134</f>
        <v>576234</v>
      </c>
      <c r="F135" s="179">
        <f>'dod3'!F135-'dod3 Квітень+Комісії+Сесія'!F134</f>
        <v>576234</v>
      </c>
      <c r="G135" s="179">
        <f>'dod3'!G135-'dod3 Квітень+Комісії+Сесія'!G134</f>
        <v>82400</v>
      </c>
      <c r="H135" s="179">
        <f>'dod3'!H135-'dod3 Квітень+Комісії+Сесія'!H134</f>
        <v>45000</v>
      </c>
      <c r="I135" s="179">
        <f>'dod3'!I135-'dod3 Квітень+Комісії+Сесія'!I134</f>
        <v>0</v>
      </c>
      <c r="J135" s="179">
        <f>'dod3'!J135-'dod3 Квітень+Комісії+Сесія'!J134</f>
        <v>865</v>
      </c>
      <c r="K135" s="179">
        <f>'dod3'!K135-'dod3 Квітень+Комісії+Сесія'!K134</f>
        <v>0</v>
      </c>
      <c r="L135" s="179">
        <f>'dod3'!L135-'dod3 Квітень+Комісії+Сесія'!L134</f>
        <v>0</v>
      </c>
      <c r="M135" s="179">
        <f>'dod3'!M135-'dod3 Квітень+Комісії+Сесія'!M134</f>
        <v>0</v>
      </c>
      <c r="N135" s="179">
        <f>'dod3'!N135-'dod3 Квітень+Комісії+Сесія'!N134</f>
        <v>865</v>
      </c>
      <c r="O135" s="179">
        <f>'dod3'!O135-'dod3 Квітень+Комісії+Сесія'!O134</f>
        <v>865</v>
      </c>
      <c r="P135" s="179">
        <f>'dod3'!P135-'dod3 Квітень+Комісії+Сесія'!P134</f>
        <v>577099</v>
      </c>
    </row>
    <row r="136" spans="1:16" ht="183" x14ac:dyDescent="0.2">
      <c r="A136" s="389" t="s">
        <v>77</v>
      </c>
      <c r="B136" s="389" t="s">
        <v>366</v>
      </c>
      <c r="C136" s="389" t="s">
        <v>370</v>
      </c>
      <c r="D136" s="389" t="s">
        <v>114</v>
      </c>
      <c r="E136" s="179">
        <f>'dod3'!E136-'dod3 Квітень+Комісії+Сесія'!E135</f>
        <v>476130</v>
      </c>
      <c r="F136" s="179">
        <f>'dod3'!F136-'dod3 Квітень+Комісії+Сесія'!F135</f>
        <v>476130</v>
      </c>
      <c r="G136" s="179">
        <f>'dod3'!G136-'dod3 Квітень+Комісії+Сесія'!G135</f>
        <v>82400</v>
      </c>
      <c r="H136" s="179">
        <f>'dod3'!H136-'dod3 Квітень+Комісії+Сесія'!H135</f>
        <v>45000</v>
      </c>
      <c r="I136" s="179">
        <f>'dod3'!I136-'dod3 Квітень+Комісії+Сесія'!I135</f>
        <v>0</v>
      </c>
      <c r="J136" s="179">
        <f>'dod3'!J136-'dod3 Квітень+Комісії+Сесія'!J135</f>
        <v>865</v>
      </c>
      <c r="K136" s="179">
        <f>'dod3'!K136-'dod3 Квітень+Комісії+Сесія'!K135</f>
        <v>0</v>
      </c>
      <c r="L136" s="179">
        <f>'dod3'!L136-'dod3 Квітень+Комісії+Сесія'!L135</f>
        <v>0</v>
      </c>
      <c r="M136" s="179">
        <f>'dod3'!M136-'dod3 Квітень+Комісії+Сесія'!M135</f>
        <v>0</v>
      </c>
      <c r="N136" s="179">
        <f>'dod3'!N136-'dod3 Квітень+Комісії+Сесія'!N135</f>
        <v>865</v>
      </c>
      <c r="O136" s="179">
        <f>'dod3'!O136-'dod3 Квітень+Комісії+Сесія'!O135</f>
        <v>865</v>
      </c>
      <c r="P136" s="179">
        <f>'dod3'!P136-'dod3 Квітень+Комісії+Сесія'!P135</f>
        <v>476995</v>
      </c>
    </row>
    <row r="137" spans="1:16" ht="183" x14ac:dyDescent="0.2">
      <c r="A137" s="389" t="s">
        <v>80</v>
      </c>
      <c r="B137" s="389" t="s">
        <v>367</v>
      </c>
      <c r="C137" s="389" t="s">
        <v>370</v>
      </c>
      <c r="D137" s="389" t="s">
        <v>115</v>
      </c>
      <c r="E137" s="179">
        <f>'dod3'!E137-'dod3 Квітень+Комісії+Сесія'!E136</f>
        <v>100104</v>
      </c>
      <c r="F137" s="179">
        <f>'dod3'!F137-'dod3 Квітень+Комісії+Сесія'!F136</f>
        <v>100104</v>
      </c>
      <c r="G137" s="179">
        <f>'dod3'!G137-'dod3 Квітень+Комісії+Сесія'!G136</f>
        <v>0</v>
      </c>
      <c r="H137" s="179">
        <f>'dod3'!H137-'dod3 Квітень+Комісії+Сесія'!H136</f>
        <v>0</v>
      </c>
      <c r="I137" s="179">
        <f>'dod3'!I137-'dod3 Квітень+Комісії+Сесія'!I136</f>
        <v>0</v>
      </c>
      <c r="J137" s="179">
        <f>'dod3'!J137-'dod3 Квітень+Комісії+Сесія'!J136</f>
        <v>0</v>
      </c>
      <c r="K137" s="179">
        <f>'dod3'!K137-'dod3 Квітень+Комісії+Сесія'!K136</f>
        <v>0</v>
      </c>
      <c r="L137" s="179">
        <f>'dod3'!L137-'dod3 Квітень+Комісії+Сесія'!L136</f>
        <v>0</v>
      </c>
      <c r="M137" s="179">
        <f>'dod3'!M137-'dod3 Квітень+Комісії+Сесія'!M136</f>
        <v>0</v>
      </c>
      <c r="N137" s="179">
        <f>'dod3'!N137-'dod3 Квітень+Комісії+Сесія'!N136</f>
        <v>0</v>
      </c>
      <c r="O137" s="179">
        <f>'dod3'!O137-'dod3 Квітень+Комісії+Сесія'!O136</f>
        <v>0</v>
      </c>
      <c r="P137" s="179">
        <f>'dod3'!P137-'dod3 Квітень+Комісії+Сесія'!P136</f>
        <v>100104</v>
      </c>
    </row>
    <row r="138" spans="1:16" ht="91.5" x14ac:dyDescent="0.2">
      <c r="A138" s="539" t="s">
        <v>1008</v>
      </c>
      <c r="B138" s="539" t="s">
        <v>1009</v>
      </c>
      <c r="C138" s="539"/>
      <c r="D138" s="539" t="s">
        <v>1007</v>
      </c>
      <c r="E138" s="179">
        <f>'dod3'!E138-0</f>
        <v>25000</v>
      </c>
      <c r="F138" s="179">
        <f>'dod3'!F138-0</f>
        <v>25000</v>
      </c>
      <c r="G138" s="179">
        <f>'dod3'!G138-0</f>
        <v>0</v>
      </c>
      <c r="H138" s="179">
        <f>'dod3'!H138-0</f>
        <v>0</v>
      </c>
      <c r="I138" s="179">
        <f>'dod3'!I138-0</f>
        <v>0</v>
      </c>
      <c r="J138" s="179">
        <f>'dod3'!J138-0</f>
        <v>0</v>
      </c>
      <c r="K138" s="179">
        <f>'dod3'!K138-0</f>
        <v>0</v>
      </c>
      <c r="L138" s="179">
        <f>'dod3'!L138-0</f>
        <v>0</v>
      </c>
      <c r="M138" s="179">
        <f>'dod3'!M138-0</f>
        <v>0</v>
      </c>
      <c r="N138" s="179">
        <f>'dod3'!N138-0</f>
        <v>0</v>
      </c>
      <c r="O138" s="179">
        <f>'dod3'!O138-0</f>
        <v>0</v>
      </c>
      <c r="P138" s="179">
        <f>'dod3'!P138-0</f>
        <v>25000</v>
      </c>
    </row>
    <row r="139" spans="1:16" ht="320.25" x14ac:dyDescent="0.2">
      <c r="A139" s="538" t="s">
        <v>1011</v>
      </c>
      <c r="B139" s="538" t="s">
        <v>1012</v>
      </c>
      <c r="C139" s="538" t="s">
        <v>370</v>
      </c>
      <c r="D139" s="538" t="s">
        <v>1010</v>
      </c>
      <c r="E139" s="179">
        <f>'dod3'!E139-0</f>
        <v>25000</v>
      </c>
      <c r="F139" s="179">
        <f>'dod3'!F139-0</f>
        <v>25000</v>
      </c>
      <c r="G139" s="179">
        <f>'dod3'!G139-0</f>
        <v>0</v>
      </c>
      <c r="H139" s="179">
        <f>'dod3'!H139-0</f>
        <v>0</v>
      </c>
      <c r="I139" s="179">
        <f>'dod3'!I139-0</f>
        <v>0</v>
      </c>
      <c r="J139" s="179">
        <f>'dod3'!J139-0</f>
        <v>0</v>
      </c>
      <c r="K139" s="179">
        <f>'dod3'!K139-0</f>
        <v>0</v>
      </c>
      <c r="L139" s="179">
        <f>'dod3'!L139-0</f>
        <v>0</v>
      </c>
      <c r="M139" s="179">
        <f>'dod3'!M139-0</f>
        <v>0</v>
      </c>
      <c r="N139" s="179">
        <f>'dod3'!N139-0</f>
        <v>0</v>
      </c>
      <c r="O139" s="179">
        <f>'dod3'!O139-0</f>
        <v>0</v>
      </c>
      <c r="P139" s="179">
        <f>'dod3'!P139-0</f>
        <v>25000</v>
      </c>
    </row>
    <row r="140" spans="1:16" ht="91.5" x14ac:dyDescent="0.2">
      <c r="A140" s="387" t="s">
        <v>116</v>
      </c>
      <c r="B140" s="387" t="s">
        <v>368</v>
      </c>
      <c r="C140" s="387"/>
      <c r="D140" s="387" t="s">
        <v>81</v>
      </c>
      <c r="E140" s="179">
        <f>'dod3'!E140-'dod3 Квітень+Комісії+Сесія'!E137</f>
        <v>250770</v>
      </c>
      <c r="F140" s="179">
        <f>'dod3'!F140-'dod3 Квітень+Комісії+Сесія'!F137</f>
        <v>250770</v>
      </c>
      <c r="G140" s="179">
        <f>'dod3'!G140-'dod3 Квітень+Комісії+Сесія'!G137</f>
        <v>65000</v>
      </c>
      <c r="H140" s="179">
        <f>'dod3'!H140-'dod3 Квітень+Комісії+Сесія'!H137</f>
        <v>0</v>
      </c>
      <c r="I140" s="179">
        <f>'dod3'!I140-'dod3 Квітень+Комісії+Сесія'!I137</f>
        <v>0</v>
      </c>
      <c r="J140" s="179">
        <f>'dod3'!J140-'dod3 Квітень+Комісії+Сесія'!J137</f>
        <v>-13000</v>
      </c>
      <c r="K140" s="179">
        <f>'dod3'!K140-'dod3 Квітень+Комісії+Сесія'!K137</f>
        <v>0</v>
      </c>
      <c r="L140" s="179">
        <f>'dod3'!L140-'dod3 Квітень+Комісії+Сесія'!L137</f>
        <v>0</v>
      </c>
      <c r="M140" s="179">
        <f>'dod3'!M140-'dod3 Квітень+Комісії+Сесія'!M137</f>
        <v>0</v>
      </c>
      <c r="N140" s="179">
        <f>'dod3'!N140-'dod3 Квітень+Комісії+Сесія'!N137</f>
        <v>-13000</v>
      </c>
      <c r="O140" s="179">
        <f>'dod3'!O140-'dod3 Квітень+Комісії+Сесія'!O137</f>
        <v>-13000</v>
      </c>
      <c r="P140" s="179">
        <f>'dod3'!P140-'dod3 Квітень+Комісії+Сесія'!P137</f>
        <v>237770</v>
      </c>
    </row>
    <row r="141" spans="1:16" ht="274.5" x14ac:dyDescent="0.2">
      <c r="A141" s="329" t="s">
        <v>82</v>
      </c>
      <c r="B141" s="329" t="s">
        <v>369</v>
      </c>
      <c r="C141" s="329" t="s">
        <v>370</v>
      </c>
      <c r="D141" s="389" t="s">
        <v>83</v>
      </c>
      <c r="E141" s="179">
        <f>'dod3'!E141-'dod3 Квітень+Комісії+Сесія'!E138</f>
        <v>165000</v>
      </c>
      <c r="F141" s="179">
        <f>'dod3'!F141-'dod3 Квітень+Комісії+Сесія'!F138</f>
        <v>165000</v>
      </c>
      <c r="G141" s="179">
        <f>'dod3'!G141-'dod3 Квітень+Комісії+Сесія'!G138</f>
        <v>0</v>
      </c>
      <c r="H141" s="179">
        <f>'dod3'!H141-'dod3 Квітень+Комісії+Сесія'!H138</f>
        <v>0</v>
      </c>
      <c r="I141" s="179">
        <f>'dod3'!I141-'dod3 Квітень+Комісії+Сесія'!I138</f>
        <v>0</v>
      </c>
      <c r="J141" s="179">
        <f>'dod3'!J141-'dod3 Квітень+Комісії+Сесія'!J138</f>
        <v>0</v>
      </c>
      <c r="K141" s="179">
        <f>'dod3'!K141-'dod3 Квітень+Комісії+Сесія'!K138</f>
        <v>0</v>
      </c>
      <c r="L141" s="179">
        <f>'dod3'!L141-'dod3 Квітень+Комісії+Сесія'!L138</f>
        <v>0</v>
      </c>
      <c r="M141" s="179">
        <f>'dod3'!M141-'dod3 Квітень+Комісії+Сесія'!M138</f>
        <v>0</v>
      </c>
      <c r="N141" s="179">
        <f>'dod3'!N141-'dod3 Квітень+Комісії+Сесія'!N138</f>
        <v>0</v>
      </c>
      <c r="O141" s="179">
        <f>'dod3'!O141-'dod3 Квітень+Комісії+Сесія'!O138</f>
        <v>0</v>
      </c>
      <c r="P141" s="179">
        <f>'dod3'!P141-'dod3 Квітень+Комісії+Сесія'!P138</f>
        <v>165000</v>
      </c>
    </row>
    <row r="142" spans="1:16" ht="91.5" x14ac:dyDescent="0.2">
      <c r="A142" s="329" t="s">
        <v>84</v>
      </c>
      <c r="B142" s="329" t="s">
        <v>371</v>
      </c>
      <c r="C142" s="329" t="s">
        <v>370</v>
      </c>
      <c r="D142" s="389" t="s">
        <v>85</v>
      </c>
      <c r="E142" s="179">
        <f>'dod3'!E142-'dod3 Квітень+Комісії+Сесія'!E139</f>
        <v>85770</v>
      </c>
      <c r="F142" s="179">
        <f>'dod3'!F142-'dod3 Квітень+Комісії+Сесія'!F139</f>
        <v>85770</v>
      </c>
      <c r="G142" s="179">
        <f>'dod3'!G142-'dod3 Квітень+Комісії+Сесія'!G139</f>
        <v>65000</v>
      </c>
      <c r="H142" s="179">
        <f>'dod3'!H142-'dod3 Квітень+Комісії+Сесія'!H139</f>
        <v>0</v>
      </c>
      <c r="I142" s="179">
        <f>'dod3'!I142-'dod3 Квітень+Комісії+Сесія'!I139</f>
        <v>0</v>
      </c>
      <c r="J142" s="179">
        <f>'dod3'!J142-'dod3 Квітень+Комісії+Сесія'!J139</f>
        <v>-13000</v>
      </c>
      <c r="K142" s="179">
        <f>'dod3'!K142-'dod3 Квітень+Комісії+Сесія'!K139</f>
        <v>0</v>
      </c>
      <c r="L142" s="179">
        <f>'dod3'!L142-'dod3 Квітень+Комісії+Сесія'!L139</f>
        <v>0</v>
      </c>
      <c r="M142" s="179">
        <f>'dod3'!M142-'dod3 Квітень+Комісії+Сесія'!M139</f>
        <v>0</v>
      </c>
      <c r="N142" s="179">
        <f>'dod3'!N142-'dod3 Квітень+Комісії+Сесія'!N139</f>
        <v>-13000</v>
      </c>
      <c r="O142" s="179">
        <f>'dod3'!O142-'dod3 Квітень+Комісії+Сесія'!O139</f>
        <v>-13000</v>
      </c>
      <c r="P142" s="179">
        <f>'dod3'!P142-'dod3 Квітень+Комісії+Сесія'!P139</f>
        <v>72770</v>
      </c>
    </row>
    <row r="143" spans="1:16" ht="91.5" x14ac:dyDescent="0.2">
      <c r="A143" s="272" t="s">
        <v>704</v>
      </c>
      <c r="B143" s="272" t="s">
        <v>706</v>
      </c>
      <c r="C143" s="272"/>
      <c r="D143" s="387" t="s">
        <v>705</v>
      </c>
      <c r="E143" s="179">
        <f>'dod3'!E143-'dod3 Квітень+Комісії+Сесія'!E140</f>
        <v>0</v>
      </c>
      <c r="F143" s="179">
        <f>'dod3'!F143-'dod3 Квітень+Комісії+Сесія'!F140</f>
        <v>0</v>
      </c>
      <c r="G143" s="179">
        <f>'dod3'!G143-'dod3 Квітень+Комісії+Сесія'!G140</f>
        <v>0</v>
      </c>
      <c r="H143" s="179">
        <f>'dod3'!H143-'dod3 Квітень+Комісії+Сесія'!H140</f>
        <v>0</v>
      </c>
      <c r="I143" s="179">
        <f>'dod3'!I143-'dod3 Квітень+Комісії+Сесія'!I140</f>
        <v>0</v>
      </c>
      <c r="J143" s="179">
        <f>'dod3'!J143-'dod3 Квітень+Комісії+Сесія'!J140</f>
        <v>0</v>
      </c>
      <c r="K143" s="179">
        <f>'dod3'!K143-'dod3 Квітень+Комісії+Сесія'!K140</f>
        <v>0</v>
      </c>
      <c r="L143" s="179">
        <f>'dod3'!L143-'dod3 Квітень+Комісії+Сесія'!L140</f>
        <v>0</v>
      </c>
      <c r="M143" s="179">
        <f>'dod3'!M143-'dod3 Квітень+Комісії+Сесія'!M140</f>
        <v>0</v>
      </c>
      <c r="N143" s="179">
        <f>'dod3'!N143-'dod3 Квітень+Комісії+Сесія'!N140</f>
        <v>0</v>
      </c>
      <c r="O143" s="179">
        <f>'dod3'!O143-'dod3 Квітень+Комісії+Сесія'!O140</f>
        <v>0</v>
      </c>
      <c r="P143" s="179">
        <f>'dod3'!P143-'dod3 Квітень+Комісії+Сесія'!P140</f>
        <v>0</v>
      </c>
    </row>
    <row r="144" spans="1:16" ht="320.25" x14ac:dyDescent="0.2">
      <c r="A144" s="329" t="s">
        <v>710</v>
      </c>
      <c r="B144" s="329" t="s">
        <v>709</v>
      </c>
      <c r="C144" s="329" t="s">
        <v>708</v>
      </c>
      <c r="D144" s="389" t="s">
        <v>707</v>
      </c>
      <c r="E144" s="179">
        <f>'dod3'!E144-'dod3 Квітень+Комісії+Сесія'!E141</f>
        <v>0</v>
      </c>
      <c r="F144" s="179">
        <f>'dod3'!F144-'dod3 Квітень+Комісії+Сесія'!F141</f>
        <v>0</v>
      </c>
      <c r="G144" s="179">
        <f>'dod3'!G144-'dod3 Квітень+Комісії+Сесія'!G141</f>
        <v>0</v>
      </c>
      <c r="H144" s="179">
        <f>'dod3'!H144-'dod3 Квітень+Комісії+Сесія'!H141</f>
        <v>0</v>
      </c>
      <c r="I144" s="179">
        <f>'dod3'!I144-'dod3 Квітень+Комісії+Сесія'!I141</f>
        <v>0</v>
      </c>
      <c r="J144" s="179">
        <f>'dod3'!J144-'dod3 Квітень+Комісії+Сесія'!J141</f>
        <v>0</v>
      </c>
      <c r="K144" s="179">
        <f>'dod3'!K144-'dod3 Квітень+Комісії+Сесія'!K141</f>
        <v>0</v>
      </c>
      <c r="L144" s="179">
        <f>'dod3'!L144-'dod3 Квітень+Комісії+Сесія'!L141</f>
        <v>0</v>
      </c>
      <c r="M144" s="179">
        <f>'dod3'!M144-'dod3 Квітень+Комісії+Сесія'!M141</f>
        <v>0</v>
      </c>
      <c r="N144" s="179">
        <f>'dod3'!N144-'dod3 Квітень+Комісії+Сесія'!N141</f>
        <v>0</v>
      </c>
      <c r="O144" s="179">
        <f>'dod3'!O144-'dod3 Квітень+Комісії+Сесія'!O141</f>
        <v>0</v>
      </c>
      <c r="P144" s="179">
        <f>'dod3'!P144-'dod3 Квітень+Комісії+Сесія'!P141</f>
        <v>0</v>
      </c>
    </row>
    <row r="145" spans="1:18" ht="91.5" x14ac:dyDescent="0.2">
      <c r="A145" s="272" t="s">
        <v>372</v>
      </c>
      <c r="B145" s="272" t="s">
        <v>373</v>
      </c>
      <c r="C145" s="272" t="s">
        <v>324</v>
      </c>
      <c r="D145" s="387" t="s">
        <v>89</v>
      </c>
      <c r="E145" s="179">
        <f>'dod3'!E145-'dod3 Квітень+Комісії+Сесія'!E142</f>
        <v>0</v>
      </c>
      <c r="F145" s="179">
        <f>'dod3'!F145-'dod3 Квітень+Комісії+Сесія'!F142</f>
        <v>0</v>
      </c>
      <c r="G145" s="179">
        <f>'dod3'!G145-'dod3 Квітень+Комісії+Сесія'!G142</f>
        <v>0</v>
      </c>
      <c r="H145" s="179">
        <f>'dod3'!H145-'dod3 Квітень+Комісії+Сесія'!H142</f>
        <v>0</v>
      </c>
      <c r="I145" s="179">
        <f>'dod3'!I145-'dod3 Квітень+Комісії+Сесія'!I142</f>
        <v>0</v>
      </c>
      <c r="J145" s="179">
        <f>'dod3'!J145-'dod3 Квітень+Комісії+Сесія'!J142</f>
        <v>-94700</v>
      </c>
      <c r="K145" s="179">
        <f>'dod3'!K145-'dod3 Квітень+Комісії+Сесія'!K142</f>
        <v>0</v>
      </c>
      <c r="L145" s="179">
        <f>'dod3'!L145-'dod3 Квітень+Комісії+Сесія'!L142</f>
        <v>0</v>
      </c>
      <c r="M145" s="179">
        <f>'dod3'!M145-'dod3 Квітень+Комісії+Сесія'!M142</f>
        <v>0</v>
      </c>
      <c r="N145" s="179">
        <f>'dod3'!N145-'dod3 Квітень+Комісії+Сесія'!N142</f>
        <v>-94700</v>
      </c>
      <c r="O145" s="179">
        <f>'dod3'!O145-'dod3 Квітень+Комісії+Сесія'!O142</f>
        <v>-94700</v>
      </c>
      <c r="P145" s="179">
        <f>'dod3'!P145-'dod3 Квітень+Комісії+Сесія'!P142</f>
        <v>-94700</v>
      </c>
    </row>
    <row r="146" spans="1:18" ht="91.5" hidden="1" x14ac:dyDescent="0.2">
      <c r="A146" s="387" t="s">
        <v>968</v>
      </c>
      <c r="B146" s="386" t="s">
        <v>800</v>
      </c>
      <c r="C146" s="386" t="s">
        <v>103</v>
      </c>
      <c r="D146" s="386" t="s">
        <v>801</v>
      </c>
      <c r="E146" s="179">
        <f>'dod3'!E146-0</f>
        <v>0</v>
      </c>
      <c r="F146" s="179">
        <f>'dod3'!F146-0</f>
        <v>0</v>
      </c>
      <c r="G146" s="179">
        <f>'dod3'!G146-0</f>
        <v>0</v>
      </c>
      <c r="H146" s="179">
        <f>'dod3'!H146-0</f>
        <v>0</v>
      </c>
      <c r="I146" s="179">
        <f>'dod3'!I146-0</f>
        <v>0</v>
      </c>
      <c r="J146" s="179">
        <f>'dod3'!J146-0</f>
        <v>0</v>
      </c>
      <c r="K146" s="179">
        <f>'dod3'!K146-0</f>
        <v>0</v>
      </c>
      <c r="L146" s="179">
        <f>'dod3'!L146-0</f>
        <v>0</v>
      </c>
      <c r="M146" s="179">
        <f>'dod3'!M146-0</f>
        <v>0</v>
      </c>
      <c r="N146" s="179">
        <f>'dod3'!N146-0</f>
        <v>0</v>
      </c>
      <c r="O146" s="179">
        <f>'dod3'!O146-0</f>
        <v>0</v>
      </c>
      <c r="P146" s="179">
        <f>'dod3'!P146-0</f>
        <v>0</v>
      </c>
    </row>
    <row r="147" spans="1:18" ht="180" x14ac:dyDescent="0.2">
      <c r="A147" s="277" t="s">
        <v>312</v>
      </c>
      <c r="B147" s="277"/>
      <c r="C147" s="277"/>
      <c r="D147" s="277" t="s">
        <v>67</v>
      </c>
      <c r="E147" s="243">
        <f>E148</f>
        <v>26441549.269999996</v>
      </c>
      <c r="F147" s="243">
        <f t="shared" ref="F147:P147" si="20">F148</f>
        <v>26441549.269999996</v>
      </c>
      <c r="G147" s="243">
        <f t="shared" si="20"/>
        <v>3850</v>
      </c>
      <c r="H147" s="243">
        <f t="shared" si="20"/>
        <v>0</v>
      </c>
      <c r="I147" s="243">
        <f t="shared" si="20"/>
        <v>0</v>
      </c>
      <c r="J147" s="243">
        <f t="shared" si="20"/>
        <v>-10462741.119999999</v>
      </c>
      <c r="K147" s="243">
        <f t="shared" si="20"/>
        <v>0</v>
      </c>
      <c r="L147" s="243">
        <f t="shared" si="20"/>
        <v>0</v>
      </c>
      <c r="M147" s="243">
        <f t="shared" si="20"/>
        <v>0</v>
      </c>
      <c r="N147" s="243">
        <f t="shared" si="20"/>
        <v>-10462741.119999999</v>
      </c>
      <c r="O147" s="244">
        <f t="shared" si="20"/>
        <v>-10462741.119999999</v>
      </c>
      <c r="P147" s="243">
        <f t="shared" si="20"/>
        <v>15978808.149999997</v>
      </c>
    </row>
    <row r="148" spans="1:18" ht="180" x14ac:dyDescent="0.2">
      <c r="A148" s="280" t="s">
        <v>313</v>
      </c>
      <c r="B148" s="280"/>
      <c r="C148" s="280"/>
      <c r="D148" s="280" t="s">
        <v>95</v>
      </c>
      <c r="E148" s="244">
        <f>E149+E155+E156+E157+E161+E163+E165+E166+E167+E168+E159</f>
        <v>26441549.269999996</v>
      </c>
      <c r="F148" s="243">
        <f>F149+F155+F156+F157+F161+F163+F165+F166+F167+F168+F159</f>
        <v>26441549.269999996</v>
      </c>
      <c r="G148" s="244">
        <f>G149+G155+G156+G157+G161+G163+G165+G166+G167+G168</f>
        <v>3850</v>
      </c>
      <c r="H148" s="244">
        <f>H149+H155+H156+H157+H161+H163+H165+H166+H167+H168</f>
        <v>0</v>
      </c>
      <c r="I148" s="243">
        <f>I149+I155+I156+I157+I161+I163+I165+I166+I167+I168</f>
        <v>0</v>
      </c>
      <c r="J148" s="244">
        <f t="shared" ref="J148" si="21">K148+N148</f>
        <v>-10462741.119999999</v>
      </c>
      <c r="K148" s="243">
        <f>K149+K155+K156+K157+K161+K163+K165+K166+K167+K168+K159</f>
        <v>0</v>
      </c>
      <c r="L148" s="244">
        <f>L149+L155+L156+L157+L161+L163+L165+L166+L167+L168</f>
        <v>0</v>
      </c>
      <c r="M148" s="244">
        <f>M149+M155+M156+M157+M161+M163+M165+M166+M167+M168</f>
        <v>0</v>
      </c>
      <c r="N148" s="243">
        <f>N149+N155+N156+N157+N158+N161+N163+N165+N166+N167+N168+N159</f>
        <v>-10462741.119999999</v>
      </c>
      <c r="O148" s="244">
        <f>O149+O155+O156+O157+O158+O161+O163+O165+O166+O167+O168+O159</f>
        <v>-10462741.119999999</v>
      </c>
      <c r="P148" s="244">
        <f>E148+J148</f>
        <v>15978808.149999997</v>
      </c>
      <c r="Q148" s="311"/>
      <c r="R148" s="325"/>
    </row>
    <row r="149" spans="1:18" ht="137.25" x14ac:dyDescent="0.2">
      <c r="A149" s="449" t="s">
        <v>527</v>
      </c>
      <c r="B149" s="449" t="s">
        <v>528</v>
      </c>
      <c r="C149" s="449"/>
      <c r="D149" s="449" t="s">
        <v>531</v>
      </c>
      <c r="E149" s="239">
        <f>'dod3'!E149-'dod3 Квітень+Комісії+Сесія'!E145</f>
        <v>14827119</v>
      </c>
      <c r="F149" s="239">
        <f>'dod3'!F149-'dod3 Квітень+Комісії+Сесія'!F145</f>
        <v>14827119</v>
      </c>
      <c r="G149" s="239">
        <f>'dod3'!G149-'dod3 Квітень+Комісії+Сесія'!G145</f>
        <v>0</v>
      </c>
      <c r="H149" s="239">
        <f>'dod3'!H149-'dod3 Квітень+Комісії+Сесія'!H145</f>
        <v>0</v>
      </c>
      <c r="I149" s="239">
        <f>'dod3'!I149-'dod3 Квітень+Комісії+Сесія'!I145</f>
        <v>0</v>
      </c>
      <c r="J149" s="239">
        <f>'dod3'!J149-'dod3 Квітень+Комісії+Сесія'!J145</f>
        <v>-3795000</v>
      </c>
      <c r="K149" s="239">
        <f>'dod3'!K149-'dod3 Квітень+Комісії+Сесія'!K145</f>
        <v>0</v>
      </c>
      <c r="L149" s="239">
        <f>'dod3'!L149-'dod3 Квітень+Комісії+Сесія'!L145</f>
        <v>0</v>
      </c>
      <c r="M149" s="239">
        <f>'dod3'!M149-'dod3 Квітень+Комісії+Сесія'!M145</f>
        <v>0</v>
      </c>
      <c r="N149" s="239">
        <f>'dod3'!N149-'dod3 Квітень+Комісії+Сесія'!N145</f>
        <v>-3795000</v>
      </c>
      <c r="O149" s="239">
        <f>'dod3'!O149-'dod3 Квітень+Комісії+Сесія'!O145</f>
        <v>-3795000</v>
      </c>
      <c r="P149" s="239">
        <f>'dod3'!P149-'dod3 Квітень+Комісії+Сесія'!P145</f>
        <v>11032119</v>
      </c>
    </row>
    <row r="150" spans="1:18" ht="137.25" x14ac:dyDescent="0.2">
      <c r="A150" s="450" t="s">
        <v>529</v>
      </c>
      <c r="B150" s="450" t="s">
        <v>530</v>
      </c>
      <c r="C150" s="450" t="s">
        <v>533</v>
      </c>
      <c r="D150" s="450" t="s">
        <v>532</v>
      </c>
      <c r="E150" s="239">
        <f>'dod3'!E150-'dod3 Квітень+Комісії+Сесія'!E146</f>
        <v>-672881</v>
      </c>
      <c r="F150" s="239">
        <f>'dod3'!F150-'dod3 Квітень+Комісії+Сесія'!F146</f>
        <v>-672881</v>
      </c>
      <c r="G150" s="239">
        <f>'dod3'!G150-'dod3 Квітень+Комісії+Сесія'!G146</f>
        <v>0</v>
      </c>
      <c r="H150" s="239">
        <f>'dod3'!H150-'dod3 Квітень+Комісії+Сесія'!H146</f>
        <v>0</v>
      </c>
      <c r="I150" s="239">
        <f>'dod3'!I150-'dod3 Квітень+Комісії+Сесія'!I146</f>
        <v>0</v>
      </c>
      <c r="J150" s="239">
        <f>'dod3'!J150-'dod3 Квітень+Комісії+Сесія'!J146</f>
        <v>805000</v>
      </c>
      <c r="K150" s="239">
        <f>'dod3'!K150-'dod3 Квітень+Комісії+Сесія'!K146</f>
        <v>0</v>
      </c>
      <c r="L150" s="239">
        <f>'dod3'!L150-'dod3 Квітень+Комісії+Сесія'!L146</f>
        <v>0</v>
      </c>
      <c r="M150" s="239">
        <f>'dod3'!M150-'dod3 Квітень+Комісії+Сесія'!M146</f>
        <v>0</v>
      </c>
      <c r="N150" s="239">
        <f>'dod3'!N150-'dod3 Квітень+Комісії+Сесія'!N146</f>
        <v>805000</v>
      </c>
      <c r="O150" s="239">
        <f>'dod3'!O150-'dod3 Квітень+Комісії+Сесія'!O146</f>
        <v>805000</v>
      </c>
      <c r="P150" s="239">
        <f>'dod3'!P150-'dod3 Квітень+Комісії+Сесія'!P146</f>
        <v>132119</v>
      </c>
    </row>
    <row r="151" spans="1:18" ht="183" x14ac:dyDescent="0.2">
      <c r="A151" s="450" t="s">
        <v>975</v>
      </c>
      <c r="B151" s="450" t="s">
        <v>976</v>
      </c>
      <c r="C151" s="450" t="s">
        <v>533</v>
      </c>
      <c r="D151" s="450" t="s">
        <v>977</v>
      </c>
      <c r="E151" s="47">
        <f>'dod3'!E151-0</f>
        <v>13000000</v>
      </c>
      <c r="F151" s="47">
        <f>'dod3'!F151-0</f>
        <v>13000000</v>
      </c>
      <c r="G151" s="47">
        <f>'dod3'!G151-0</f>
        <v>0</v>
      </c>
      <c r="H151" s="47">
        <f>'dod3'!H151-0</f>
        <v>0</v>
      </c>
      <c r="I151" s="47">
        <f>'dod3'!I151-0</f>
        <v>0</v>
      </c>
      <c r="J151" s="47">
        <f>'dod3'!J151-0</f>
        <v>0</v>
      </c>
      <c r="K151" s="47">
        <f>'dod3'!K151-0</f>
        <v>0</v>
      </c>
      <c r="L151" s="47">
        <f>'dod3'!L151-0</f>
        <v>0</v>
      </c>
      <c r="M151" s="47">
        <f>'dod3'!M151-0</f>
        <v>0</v>
      </c>
      <c r="N151" s="47">
        <f>'dod3'!N151-0</f>
        <v>0</v>
      </c>
      <c r="O151" s="47">
        <f>'dod3'!O151-0</f>
        <v>0</v>
      </c>
      <c r="P151" s="47">
        <f>'dod3'!P151-0</f>
        <v>13000000</v>
      </c>
    </row>
    <row r="152" spans="1:18" ht="137.25" x14ac:dyDescent="0.2">
      <c r="A152" s="450" t="s">
        <v>537</v>
      </c>
      <c r="B152" s="450" t="s">
        <v>538</v>
      </c>
      <c r="C152" s="450" t="s">
        <v>533</v>
      </c>
      <c r="D152" s="450" t="s">
        <v>539</v>
      </c>
      <c r="E152" s="47">
        <f>'dod3'!E152-'dod3 Квітень+Комісії+Сесія'!E147</f>
        <v>2500000</v>
      </c>
      <c r="F152" s="47">
        <f>'dod3'!F152-'dod3 Квітень+Комісії+Сесія'!F147</f>
        <v>2500000</v>
      </c>
      <c r="G152" s="47">
        <f>'dod3'!G152-'dod3 Квітень+Комісії+Сесія'!G147</f>
        <v>0</v>
      </c>
      <c r="H152" s="47">
        <f>'dod3'!H152-'dod3 Квітень+Комісії+Сесія'!H147</f>
        <v>0</v>
      </c>
      <c r="I152" s="47">
        <f>'dod3'!I152-'dod3 Квітень+Комісії+Сесія'!I147</f>
        <v>0</v>
      </c>
      <c r="J152" s="47">
        <f>'dod3'!J152-'dod3 Квітень+Комісії+Сесія'!J147</f>
        <v>0</v>
      </c>
      <c r="K152" s="47">
        <f>'dod3'!K152-'dod3 Квітень+Комісії+Сесія'!K147</f>
        <v>0</v>
      </c>
      <c r="L152" s="47">
        <f>'dod3'!L152-'dod3 Квітень+Комісії+Сесія'!L147</f>
        <v>0</v>
      </c>
      <c r="M152" s="47">
        <f>'dod3'!M152-'dod3 Квітень+Комісії+Сесія'!M147</f>
        <v>0</v>
      </c>
      <c r="N152" s="47">
        <f>'dod3'!N152-'dod3 Квітень+Комісії+Сесія'!N147</f>
        <v>0</v>
      </c>
      <c r="O152" s="47">
        <f>'dod3'!O152-'dod3 Квітень+Комісії+Сесія'!O147</f>
        <v>0</v>
      </c>
      <c r="P152" s="47">
        <f>'dod3'!P152-'dod3 Квітень+Комісії+Сесія'!P147</f>
        <v>2500000</v>
      </c>
    </row>
    <row r="153" spans="1:18" ht="137.25" x14ac:dyDescent="0.2">
      <c r="A153" s="450" t="s">
        <v>567</v>
      </c>
      <c r="B153" s="450" t="s">
        <v>568</v>
      </c>
      <c r="C153" s="450" t="s">
        <v>533</v>
      </c>
      <c r="D153" s="450" t="s">
        <v>569</v>
      </c>
      <c r="E153" s="47">
        <f>'dod3'!E153-'dod3 Квітень+Комісії+Сесія'!E148</f>
        <v>0</v>
      </c>
      <c r="F153" s="47">
        <f>'dod3'!F153-'dod3 Квітень+Комісії+Сесія'!F148</f>
        <v>0</v>
      </c>
      <c r="G153" s="47">
        <f>'dod3'!G153-'dod3 Квітень+Комісії+Сесія'!G148</f>
        <v>0</v>
      </c>
      <c r="H153" s="47">
        <f>'dod3'!H153-'dod3 Квітень+Комісії+Сесія'!H148</f>
        <v>0</v>
      </c>
      <c r="I153" s="47">
        <f>'dod3'!I153-'dod3 Квітень+Комісії+Сесія'!I148</f>
        <v>0</v>
      </c>
      <c r="J153" s="47">
        <f>'dod3'!J153-'dod3 Квітень+Комісії+Сесія'!J148</f>
        <v>600000</v>
      </c>
      <c r="K153" s="47">
        <f>'dod3'!K153-'dod3 Квітень+Комісії+Сесія'!K148</f>
        <v>0</v>
      </c>
      <c r="L153" s="47">
        <f>'dod3'!L153-'dod3 Квітень+Комісії+Сесія'!L148</f>
        <v>0</v>
      </c>
      <c r="M153" s="47">
        <f>'dod3'!M153-'dod3 Квітень+Комісії+Сесія'!M148</f>
        <v>0</v>
      </c>
      <c r="N153" s="47">
        <f>'dod3'!N153-'dod3 Квітень+Комісії+Сесія'!N148</f>
        <v>600000</v>
      </c>
      <c r="O153" s="47">
        <f>'dod3'!O153-'dod3 Квітень+Комісії+Сесія'!O148</f>
        <v>600000</v>
      </c>
      <c r="P153" s="47">
        <f>'dod3'!P153-'dod3 Квітень+Комісії+Сесія'!P148</f>
        <v>600000</v>
      </c>
    </row>
    <row r="154" spans="1:18" ht="183" x14ac:dyDescent="0.2">
      <c r="A154" s="450" t="s">
        <v>534</v>
      </c>
      <c r="B154" s="450" t="s">
        <v>535</v>
      </c>
      <c r="C154" s="450" t="s">
        <v>533</v>
      </c>
      <c r="D154" s="450" t="s">
        <v>536</v>
      </c>
      <c r="E154" s="47">
        <f>'dod3'!E154-'dod3 Квітень+Комісії+Сесія'!E149</f>
        <v>0</v>
      </c>
      <c r="F154" s="47">
        <f>'dod3'!F154-'dod3 Квітень+Комісії+Сесія'!F149</f>
        <v>0</v>
      </c>
      <c r="G154" s="47">
        <f>'dod3'!G154-'dod3 Квітень+Комісії+Сесія'!G149</f>
        <v>0</v>
      </c>
      <c r="H154" s="47">
        <f>'dod3'!H154-'dod3 Квітень+Комісії+Сесія'!H149</f>
        <v>0</v>
      </c>
      <c r="I154" s="47">
        <f>'dod3'!I154-'dod3 Квітень+Комісії+Сесія'!I149</f>
        <v>0</v>
      </c>
      <c r="J154" s="47">
        <f>'dod3'!J154-'dod3 Квітень+Комісії+Сесія'!J149</f>
        <v>-5200000</v>
      </c>
      <c r="K154" s="47">
        <f>'dod3'!K154-'dod3 Квітень+Комісії+Сесія'!K149</f>
        <v>0</v>
      </c>
      <c r="L154" s="47">
        <f>'dod3'!L154-'dod3 Квітень+Комісії+Сесія'!L149</f>
        <v>0</v>
      </c>
      <c r="M154" s="47">
        <f>'dod3'!M154-'dod3 Квітень+Комісії+Сесія'!M149</f>
        <v>0</v>
      </c>
      <c r="N154" s="47">
        <f>'dod3'!N154-'dod3 Квітень+Комісії+Сесія'!N149</f>
        <v>-5200000</v>
      </c>
      <c r="O154" s="47">
        <f>'dod3'!O154-'dod3 Квітень+Комісії+Сесія'!O149</f>
        <v>-5200000</v>
      </c>
      <c r="P154" s="47">
        <f>'dod3'!P154-'dod3 Квітень+Комісії+Сесія'!P149</f>
        <v>-5200000</v>
      </c>
    </row>
    <row r="155" spans="1:18" ht="228.75" x14ac:dyDescent="0.2">
      <c r="A155" s="449" t="s">
        <v>561</v>
      </c>
      <c r="B155" s="449" t="s">
        <v>562</v>
      </c>
      <c r="C155" s="449" t="s">
        <v>533</v>
      </c>
      <c r="D155" s="449" t="s">
        <v>563</v>
      </c>
      <c r="E155" s="47">
        <f>'dod3'!E155-'dod3 Квітень+Комісії+Сесія'!E150</f>
        <v>3877181</v>
      </c>
      <c r="F155" s="47">
        <f>'dod3'!F155-'dod3 Квітень+Комісії+Сесія'!F150</f>
        <v>3877181</v>
      </c>
      <c r="G155" s="47">
        <f>'dod3'!G155-'dod3 Квітень+Комісії+Сесія'!G150</f>
        <v>0</v>
      </c>
      <c r="H155" s="47">
        <f>'dod3'!H155-'dod3 Квітень+Комісії+Сесія'!H150</f>
        <v>0</v>
      </c>
      <c r="I155" s="47">
        <f>'dod3'!I155-'dod3 Квітень+Комісії+Сесія'!I150</f>
        <v>0</v>
      </c>
      <c r="J155" s="47">
        <f>'dod3'!J155-'dod3 Квітень+Комісії+Сесія'!J150</f>
        <v>0</v>
      </c>
      <c r="K155" s="47">
        <f>'dod3'!K155-'dod3 Квітень+Комісії+Сесія'!K150</f>
        <v>0</v>
      </c>
      <c r="L155" s="47">
        <f>'dod3'!L155-'dod3 Квітень+Комісії+Сесія'!L150</f>
        <v>0</v>
      </c>
      <c r="M155" s="47">
        <f>'dod3'!M155-'dod3 Квітень+Комісії+Сесія'!M150</f>
        <v>0</v>
      </c>
      <c r="N155" s="47">
        <f>'dod3'!N155-'dod3 Квітень+Комісії+Сесія'!N150</f>
        <v>0</v>
      </c>
      <c r="O155" s="47">
        <f>'dod3'!O155-'dod3 Квітень+Комісії+Сесія'!O150</f>
        <v>0</v>
      </c>
      <c r="P155" s="47">
        <f>'dod3'!P155-'dod3 Квітень+Комісії+Сесія'!P150</f>
        <v>3877181</v>
      </c>
    </row>
    <row r="156" spans="1:18" ht="91.5" x14ac:dyDescent="0.2">
      <c r="A156" s="449" t="s">
        <v>540</v>
      </c>
      <c r="B156" s="449" t="s">
        <v>541</v>
      </c>
      <c r="C156" s="449" t="s">
        <v>533</v>
      </c>
      <c r="D156" s="449" t="s">
        <v>542</v>
      </c>
      <c r="E156" s="47">
        <f>'dod3'!E156-'dod3 Квітень+Комісії+Сесія'!E151</f>
        <v>7331652.2699999958</v>
      </c>
      <c r="F156" s="47">
        <f>'dod3'!F156-'dod3 Квітень+Комісії+Сесія'!F151</f>
        <v>7331652.2699999958</v>
      </c>
      <c r="G156" s="47">
        <f>'dod3'!G156-'dod3 Квітень+Комісії+Сесія'!G151</f>
        <v>0</v>
      </c>
      <c r="H156" s="47">
        <f>'dod3'!H156-'dod3 Квітень+Комісії+Сесія'!H151</f>
        <v>0</v>
      </c>
      <c r="I156" s="47">
        <f>'dod3'!I156-'dod3 Квітень+Комісії+Сесія'!I151</f>
        <v>0</v>
      </c>
      <c r="J156" s="47">
        <f>'dod3'!J156-'dod3 Квітень+Комісії+Сесія'!J151</f>
        <v>737600</v>
      </c>
      <c r="K156" s="47">
        <f>'dod3'!K156-'dod3 Квітень+Комісії+Сесія'!K151</f>
        <v>0</v>
      </c>
      <c r="L156" s="47">
        <f>'dod3'!L156-'dod3 Квітень+Комісії+Сесія'!L151</f>
        <v>0</v>
      </c>
      <c r="M156" s="47">
        <f>'dod3'!M156-'dod3 Квітень+Комісії+Сесія'!M151</f>
        <v>0</v>
      </c>
      <c r="N156" s="47">
        <f>'dod3'!N156-'dod3 Квітень+Комісії+Сесія'!N151</f>
        <v>737600</v>
      </c>
      <c r="O156" s="47">
        <f>'dod3'!O156-'dod3 Квітень+Комісії+Сесія'!O151</f>
        <v>737600</v>
      </c>
      <c r="P156" s="47">
        <f>'dod3'!P156-'dod3 Квітень+Комісії+Сесія'!P151</f>
        <v>8069252.2699999958</v>
      </c>
    </row>
    <row r="157" spans="1:18" ht="92.25" x14ac:dyDescent="0.2">
      <c r="A157" s="449" t="s">
        <v>571</v>
      </c>
      <c r="B157" s="449" t="s">
        <v>572</v>
      </c>
      <c r="C157" s="449" t="s">
        <v>570</v>
      </c>
      <c r="D157" s="449" t="s">
        <v>573</v>
      </c>
      <c r="E157" s="47">
        <f>'dod3'!E157-'dod3 Квітень+Комісії+Сесія'!E152</f>
        <v>0</v>
      </c>
      <c r="F157" s="47">
        <f>'dod3'!F157-'dod3 Квітень+Комісії+Сесія'!F152</f>
        <v>0</v>
      </c>
      <c r="G157" s="47">
        <f>'dod3'!G157-'dod3 Квітень+Комісії+Сесія'!G152</f>
        <v>0</v>
      </c>
      <c r="H157" s="47">
        <f>'dod3'!H157-'dod3 Квітень+Комісії+Сесія'!H152</f>
        <v>0</v>
      </c>
      <c r="I157" s="47">
        <f>'dod3'!I157-'dod3 Квітень+Комісії+Сесія'!I152</f>
        <v>0</v>
      </c>
      <c r="J157" s="47">
        <f>'dod3'!J157-'dod3 Квітень+Комісії+Сесія'!J152</f>
        <v>-11261584.119999999</v>
      </c>
      <c r="K157" s="47">
        <f>'dod3'!K157-'dod3 Квітень+Комісії+Сесія'!K152</f>
        <v>0</v>
      </c>
      <c r="L157" s="47">
        <f>'dod3'!L157-'dod3 Квітень+Комісії+Сесія'!L152</f>
        <v>0</v>
      </c>
      <c r="M157" s="47">
        <f>'dod3'!M157-'dod3 Квітень+Комісії+Сесія'!M152</f>
        <v>0</v>
      </c>
      <c r="N157" s="47">
        <f>'dod3'!N157-'dod3 Квітень+Комісії+Сесія'!N152</f>
        <v>-11261584.119999999</v>
      </c>
      <c r="O157" s="47">
        <f>'dod3'!O157-'dod3 Квітень+Комісії+Сесія'!O152</f>
        <v>-11261584.119999999</v>
      </c>
      <c r="P157" s="47">
        <f>'dod3'!P157-'dod3 Квітень+Комісії+Сесія'!P152</f>
        <v>-11261584.119999999</v>
      </c>
    </row>
    <row r="158" spans="1:18" ht="183" x14ac:dyDescent="0.2">
      <c r="A158" s="449" t="s">
        <v>722</v>
      </c>
      <c r="B158" s="449" t="s">
        <v>609</v>
      </c>
      <c r="C158" s="449" t="s">
        <v>570</v>
      </c>
      <c r="D158" s="449" t="s">
        <v>607</v>
      </c>
      <c r="E158" s="47">
        <f>'dod3'!E158-'dod3 Квітень+Комісії+Сесія'!E153</f>
        <v>0</v>
      </c>
      <c r="F158" s="47">
        <f>'dod3'!F158-'dod3 Квітень+Комісії+Сесія'!F153</f>
        <v>0</v>
      </c>
      <c r="G158" s="47">
        <f>'dod3'!G158-'dod3 Квітень+Комісії+Сесія'!G153</f>
        <v>0</v>
      </c>
      <c r="H158" s="47">
        <f>'dod3'!H158-'dod3 Квітень+Комісії+Сесія'!H153</f>
        <v>0</v>
      </c>
      <c r="I158" s="47">
        <f>'dod3'!I158-'dod3 Квітень+Комісії+Сесія'!I153</f>
        <v>0</v>
      </c>
      <c r="J158" s="47">
        <f>'dod3'!J158-'dod3 Квітень+Комісії+Сесія'!J153</f>
        <v>0</v>
      </c>
      <c r="K158" s="47">
        <f>'dod3'!K158-'dod3 Квітень+Комісії+Сесія'!K153</f>
        <v>0</v>
      </c>
      <c r="L158" s="47">
        <f>'dod3'!L158-'dod3 Квітень+Комісії+Сесія'!L153</f>
        <v>0</v>
      </c>
      <c r="M158" s="47">
        <f>'dod3'!M158-'dod3 Квітень+Комісії+Сесія'!M153</f>
        <v>0</v>
      </c>
      <c r="N158" s="47">
        <f>'dod3'!N158-'dod3 Квітень+Комісії+Сесія'!N153</f>
        <v>0</v>
      </c>
      <c r="O158" s="47">
        <f>'dod3'!O158-'dod3 Квітень+Комісії+Сесія'!O153</f>
        <v>0</v>
      </c>
      <c r="P158" s="47">
        <f>'dod3'!P158-'dod3 Квітень+Комісії+Сесія'!P153</f>
        <v>0</v>
      </c>
    </row>
    <row r="159" spans="1:18" ht="91.5" hidden="1" x14ac:dyDescent="0.2">
      <c r="A159" s="449" t="s">
        <v>979</v>
      </c>
      <c r="B159" s="449" t="s">
        <v>980</v>
      </c>
      <c r="C159" s="449"/>
      <c r="D159" s="449" t="s">
        <v>978</v>
      </c>
      <c r="E159" s="179">
        <f>'dod3'!E159-0</f>
        <v>0</v>
      </c>
      <c r="F159" s="179">
        <f>'dod3'!F159-0</f>
        <v>0</v>
      </c>
      <c r="G159" s="179">
        <f>'dod3'!G159-0</f>
        <v>0</v>
      </c>
      <c r="H159" s="179">
        <f>'dod3'!H159-0</f>
        <v>0</v>
      </c>
      <c r="I159" s="179">
        <f>'dod3'!I159-0</f>
        <v>0</v>
      </c>
      <c r="J159" s="179">
        <f>'dod3'!J159-0</f>
        <v>0</v>
      </c>
      <c r="K159" s="179">
        <f>'dod3'!K159-0</f>
        <v>0</v>
      </c>
      <c r="L159" s="179">
        <f>'dod3'!L159-0</f>
        <v>0</v>
      </c>
      <c r="M159" s="179">
        <f>'dod3'!M159-0</f>
        <v>0</v>
      </c>
      <c r="N159" s="179">
        <f>'dod3'!N159-0</f>
        <v>0</v>
      </c>
      <c r="O159" s="179">
        <f>'dod3'!O159-0</f>
        <v>0</v>
      </c>
      <c r="P159" s="179">
        <f>'dod3'!P159-0</f>
        <v>0</v>
      </c>
    </row>
    <row r="160" spans="1:18" ht="186" hidden="1" customHeight="1" x14ac:dyDescent="0.2">
      <c r="A160" s="449" t="s">
        <v>981</v>
      </c>
      <c r="B160" s="449" t="s">
        <v>983</v>
      </c>
      <c r="C160" s="449" t="s">
        <v>324</v>
      </c>
      <c r="D160" s="449" t="s">
        <v>982</v>
      </c>
      <c r="E160" s="179">
        <f>'dod3'!E160-0</f>
        <v>0</v>
      </c>
      <c r="F160" s="179">
        <f>'dod3'!F160-0</f>
        <v>0</v>
      </c>
      <c r="G160" s="179">
        <f>'dod3'!G160-0</f>
        <v>0</v>
      </c>
      <c r="H160" s="179">
        <f>'dod3'!H160-0</f>
        <v>0</v>
      </c>
      <c r="I160" s="179">
        <f>'dod3'!I160-0</f>
        <v>0</v>
      </c>
      <c r="J160" s="179">
        <f>'dod3'!J160-0</f>
        <v>0</v>
      </c>
      <c r="K160" s="179">
        <f>'dod3'!K160-0</f>
        <v>0</v>
      </c>
      <c r="L160" s="179">
        <f>'dod3'!L160-0</f>
        <v>0</v>
      </c>
      <c r="M160" s="179">
        <f>'dod3'!M160-0</f>
        <v>0</v>
      </c>
      <c r="N160" s="179">
        <f>'dod3'!N160-0</f>
        <v>0</v>
      </c>
      <c r="O160" s="179">
        <f>'dod3'!O160-0</f>
        <v>0</v>
      </c>
      <c r="P160" s="179">
        <f>'dod3'!P160-0</f>
        <v>0</v>
      </c>
    </row>
    <row r="161" spans="1:18" ht="137.25" x14ac:dyDescent="0.2">
      <c r="A161" s="449" t="s">
        <v>544</v>
      </c>
      <c r="B161" s="449" t="s">
        <v>545</v>
      </c>
      <c r="C161" s="449"/>
      <c r="D161" s="449" t="s">
        <v>547</v>
      </c>
      <c r="E161" s="239">
        <f>'dod3'!E161-'dod3 Квітень+Комісії+Сесія'!E154</f>
        <v>350597</v>
      </c>
      <c r="F161" s="239">
        <f>'dod3'!F161-'dod3 Квітень+Комісії+Сесія'!F154</f>
        <v>350597</v>
      </c>
      <c r="G161" s="239">
        <f>'dod3'!G161-'dod3 Квітень+Комісії+Сесія'!G154</f>
        <v>0</v>
      </c>
      <c r="H161" s="239">
        <f>'dod3'!H161-'dod3 Квітень+Комісії+Сесія'!H154</f>
        <v>0</v>
      </c>
      <c r="I161" s="239">
        <f>'dod3'!I161-'dod3 Квітень+Комісії+Сесія'!I154</f>
        <v>0</v>
      </c>
      <c r="J161" s="239">
        <f>'dod3'!J161-'dod3 Квітень+Комісії+Сесія'!J154</f>
        <v>0</v>
      </c>
      <c r="K161" s="239">
        <f>'dod3'!K161-'dod3 Квітень+Комісії+Сесія'!K154</f>
        <v>0</v>
      </c>
      <c r="L161" s="239">
        <f>'dod3'!L161-'dod3 Квітень+Комісії+Сесія'!L154</f>
        <v>0</v>
      </c>
      <c r="M161" s="239">
        <f>'dod3'!M161-'dod3 Квітень+Комісії+Сесія'!M154</f>
        <v>0</v>
      </c>
      <c r="N161" s="239">
        <f>'dod3'!N161-'dod3 Квітень+Комісії+Сесія'!N154</f>
        <v>0</v>
      </c>
      <c r="O161" s="239">
        <f>'dod3'!O161-'dod3 Квітень+Комісії+Сесія'!O154</f>
        <v>0</v>
      </c>
      <c r="P161" s="239">
        <f>'dod3'!P161-'dod3 Квітень+Комісії+Сесія'!P154</f>
        <v>350597</v>
      </c>
    </row>
    <row r="162" spans="1:18" ht="91.5" x14ac:dyDescent="0.2">
      <c r="A162" s="450" t="s">
        <v>543</v>
      </c>
      <c r="B162" s="450" t="s">
        <v>546</v>
      </c>
      <c r="C162" s="450" t="s">
        <v>549</v>
      </c>
      <c r="D162" s="450" t="s">
        <v>548</v>
      </c>
      <c r="E162" s="239">
        <f>'dod3'!E162-'dod3 Квітень+Комісії+Сесія'!E155</f>
        <v>350597</v>
      </c>
      <c r="F162" s="239">
        <f>'dod3'!F162-'dod3 Квітень+Комісії+Сесія'!F155</f>
        <v>350597</v>
      </c>
      <c r="G162" s="239">
        <f>'dod3'!G162-'dod3 Квітень+Комісії+Сесія'!G155</f>
        <v>0</v>
      </c>
      <c r="H162" s="239">
        <f>'dod3'!H162-'dod3 Квітень+Комісії+Сесія'!H155</f>
        <v>0</v>
      </c>
      <c r="I162" s="239">
        <f>'dod3'!I162-'dod3 Квітень+Комісії+Сесія'!I155</f>
        <v>0</v>
      </c>
      <c r="J162" s="239">
        <f>'dod3'!J162-'dod3 Квітень+Комісії+Сесія'!J155</f>
        <v>0</v>
      </c>
      <c r="K162" s="239">
        <f>'dod3'!K162-'dod3 Квітень+Комісії+Сесія'!K155</f>
        <v>0</v>
      </c>
      <c r="L162" s="239">
        <f>'dod3'!L162-'dod3 Квітень+Комісії+Сесія'!L155</f>
        <v>0</v>
      </c>
      <c r="M162" s="239">
        <f>'dod3'!M162-'dod3 Квітень+Комісії+Сесія'!M155</f>
        <v>0</v>
      </c>
      <c r="N162" s="239">
        <f>'dod3'!N162-'dod3 Квітень+Комісії+Сесія'!N155</f>
        <v>0</v>
      </c>
      <c r="O162" s="239">
        <f>'dod3'!O162-'dod3 Квітень+Комісії+Сесія'!O155</f>
        <v>0</v>
      </c>
      <c r="P162" s="239">
        <f>'dod3'!P162-'dod3 Квітень+Комісії+Сесія'!P155</f>
        <v>350597</v>
      </c>
    </row>
    <row r="163" spans="1:18" ht="137.25" x14ac:dyDescent="0.2">
      <c r="A163" s="449" t="s">
        <v>550</v>
      </c>
      <c r="B163" s="449" t="s">
        <v>551</v>
      </c>
      <c r="C163" s="449"/>
      <c r="D163" s="449" t="s">
        <v>552</v>
      </c>
      <c r="E163" s="239">
        <f>'dod3'!E163-'dod3 Квітень+Комісії+Сесія'!E156</f>
        <v>0</v>
      </c>
      <c r="F163" s="239">
        <f>'dod3'!F163-'dod3 Квітень+Комісії+Сесія'!F156</f>
        <v>0</v>
      </c>
      <c r="G163" s="239">
        <f>'dod3'!G163-'dod3 Квітень+Комісії+Сесія'!G156</f>
        <v>0</v>
      </c>
      <c r="H163" s="239">
        <f>'dod3'!H163-'dod3 Квітень+Комісії+Сесія'!H156</f>
        <v>0</v>
      </c>
      <c r="I163" s="239">
        <f>'dod3'!I163-'dod3 Квітень+Комісії+Сесія'!I156</f>
        <v>0</v>
      </c>
      <c r="J163" s="239">
        <f>'dod3'!J163-'dod3 Квітень+Комісії+Сесія'!J156</f>
        <v>2430650</v>
      </c>
      <c r="K163" s="239">
        <f>'dod3'!K163-'dod3 Квітень+Комісії+Сесія'!K156</f>
        <v>0</v>
      </c>
      <c r="L163" s="239">
        <f>'dod3'!L163-'dod3 Квітень+Комісії+Сесія'!L156</f>
        <v>0</v>
      </c>
      <c r="M163" s="239">
        <f>'dod3'!M163-'dod3 Квітень+Комісії+Сесія'!M156</f>
        <v>0</v>
      </c>
      <c r="N163" s="239">
        <f>'dod3'!N163-'dod3 Квітень+Комісії+Сесія'!N156</f>
        <v>2430650</v>
      </c>
      <c r="O163" s="239">
        <f>'dod3'!O163-'dod3 Квітень+Комісії+Сесія'!O156</f>
        <v>2430650</v>
      </c>
      <c r="P163" s="239">
        <f>'dod3'!P163-'dod3 Квітень+Комісії+Сесія'!P156</f>
        <v>2430650</v>
      </c>
    </row>
    <row r="164" spans="1:18" ht="228.75" x14ac:dyDescent="0.2">
      <c r="A164" s="450" t="s">
        <v>553</v>
      </c>
      <c r="B164" s="450" t="s">
        <v>554</v>
      </c>
      <c r="C164" s="450" t="s">
        <v>556</v>
      </c>
      <c r="D164" s="450" t="s">
        <v>555</v>
      </c>
      <c r="E164" s="239">
        <f>'dod3'!E164-'dod3 Квітень+Комісії+Сесія'!E157</f>
        <v>0</v>
      </c>
      <c r="F164" s="239">
        <f>'dod3'!F164-'dod3 Квітень+Комісії+Сесія'!F157</f>
        <v>0</v>
      </c>
      <c r="G164" s="239">
        <f>'dod3'!G164-'dod3 Квітень+Комісії+Сесія'!G157</f>
        <v>0</v>
      </c>
      <c r="H164" s="239">
        <f>'dod3'!H164-'dod3 Квітень+Комісії+Сесія'!H157</f>
        <v>0</v>
      </c>
      <c r="I164" s="239">
        <f>'dod3'!I164-'dod3 Квітень+Комісії+Сесія'!I157</f>
        <v>0</v>
      </c>
      <c r="J164" s="239">
        <f>'dod3'!J164-'dod3 Квітень+Комісії+Сесія'!J157</f>
        <v>2430650</v>
      </c>
      <c r="K164" s="239">
        <f>'dod3'!K164-'dod3 Квітень+Комісії+Сесія'!K157</f>
        <v>0</v>
      </c>
      <c r="L164" s="239">
        <f>'dod3'!L164-'dod3 Квітень+Комісії+Сесія'!L157</f>
        <v>0</v>
      </c>
      <c r="M164" s="239">
        <f>'dod3'!M164-'dod3 Квітень+Комісії+Сесія'!M157</f>
        <v>0</v>
      </c>
      <c r="N164" s="239">
        <f>'dod3'!N164-'dod3 Квітень+Комісії+Сесія'!N157</f>
        <v>2430650</v>
      </c>
      <c r="O164" s="239">
        <f>'dod3'!O164-'dod3 Квітень+Комісії+Сесія'!O157</f>
        <v>2430650</v>
      </c>
      <c r="P164" s="239">
        <f>'dod3'!P164-'dod3 Квітень+Комісії+Сесія'!P157</f>
        <v>2430650</v>
      </c>
    </row>
    <row r="165" spans="1:18" ht="46.5" x14ac:dyDescent="0.2">
      <c r="A165" s="449" t="s">
        <v>557</v>
      </c>
      <c r="B165" s="449" t="s">
        <v>403</v>
      </c>
      <c r="C165" s="449" t="s">
        <v>404</v>
      </c>
      <c r="D165" s="449" t="s">
        <v>99</v>
      </c>
      <c r="E165" s="239">
        <f>'dod3'!E165-'dod3 Квітень+Комісії+Сесія'!E158</f>
        <v>55000</v>
      </c>
      <c r="F165" s="239">
        <f>'dod3'!F165-'dod3 Квітень+Комісії+Сесія'!F158</f>
        <v>55000</v>
      </c>
      <c r="G165" s="239">
        <f>'dod3'!G165-'dod3 Квітень+Комісії+Сесія'!G158</f>
        <v>0</v>
      </c>
      <c r="H165" s="239">
        <f>'dod3'!H165-'dod3 Квітень+Комісії+Сесія'!H158</f>
        <v>0</v>
      </c>
      <c r="I165" s="239">
        <f>'dod3'!I165-'dod3 Квітень+Комісії+Сесія'!I158</f>
        <v>0</v>
      </c>
      <c r="J165" s="239">
        <f>'dod3'!J165-'dod3 Квітень+Комісії+Сесія'!J158</f>
        <v>-1700000</v>
      </c>
      <c r="K165" s="239">
        <f>'dod3'!K165-'dod3 Квітень+Комісії+Сесія'!K158</f>
        <v>0</v>
      </c>
      <c r="L165" s="239">
        <f>'dod3'!L165-'dod3 Квітень+Комісії+Сесія'!L158</f>
        <v>0</v>
      </c>
      <c r="M165" s="239">
        <f>'dod3'!M165-'dod3 Квітень+Комісії+Сесія'!M158</f>
        <v>0</v>
      </c>
      <c r="N165" s="239">
        <f>'dod3'!N165-'dod3 Квітень+Комісії+Сесія'!N158</f>
        <v>-1700000</v>
      </c>
      <c r="O165" s="239">
        <f>'dod3'!O165-'dod3 Квітень+Комісії+Сесія'!O158</f>
        <v>-1700000</v>
      </c>
      <c r="P165" s="239">
        <f>'dod3'!P165-'dod3 Квітень+Комісії+Сесія'!P158</f>
        <v>-1645000</v>
      </c>
    </row>
    <row r="166" spans="1:18" ht="91.5" x14ac:dyDescent="0.2">
      <c r="A166" s="449" t="s">
        <v>575</v>
      </c>
      <c r="B166" s="449" t="s">
        <v>373</v>
      </c>
      <c r="C166" s="449" t="s">
        <v>324</v>
      </c>
      <c r="D166" s="449" t="s">
        <v>89</v>
      </c>
      <c r="E166" s="239">
        <f>'dod3'!E166-'dod3 Квітень+Комісії+Сесія'!E159</f>
        <v>0</v>
      </c>
      <c r="F166" s="239">
        <f>'dod3'!F166-'dod3 Квітень+Комісії+Сесія'!F159</f>
        <v>0</v>
      </c>
      <c r="G166" s="239">
        <f>'dod3'!G166-'dod3 Квітень+Комісії+Сесія'!G159</f>
        <v>0</v>
      </c>
      <c r="H166" s="239">
        <f>'dod3'!H166-'dod3 Квітень+Комісії+Сесія'!H159</f>
        <v>0</v>
      </c>
      <c r="I166" s="239">
        <f>'dod3'!I166-'dod3 Квітень+Комісії+Сесія'!I159</f>
        <v>0</v>
      </c>
      <c r="J166" s="239">
        <f>'dod3'!J166-'dod3 Квітень+Комісії+Сесія'!J159</f>
        <v>3125593</v>
      </c>
      <c r="K166" s="239">
        <f>'dod3'!K166-'dod3 Квітень+Комісії+Сесія'!K159</f>
        <v>0</v>
      </c>
      <c r="L166" s="239">
        <f>'dod3'!L166-'dod3 Квітень+Комісії+Сесія'!L159</f>
        <v>0</v>
      </c>
      <c r="M166" s="239">
        <f>'dod3'!M166-'dod3 Квітень+Комісії+Сесія'!M159</f>
        <v>0</v>
      </c>
      <c r="N166" s="239">
        <f>'dod3'!N166-'dod3 Квітень+Комісії+Сесія'!N159</f>
        <v>3125593</v>
      </c>
      <c r="O166" s="239">
        <f>'dod3'!O166-'dod3 Квітень+Комісії+Сесія'!O159</f>
        <v>3125593</v>
      </c>
      <c r="P166" s="239">
        <f>'dod3'!P166-'dod3 Квітень+Комісії+Сесія'!P159</f>
        <v>3125593</v>
      </c>
    </row>
    <row r="167" spans="1:18" ht="183" x14ac:dyDescent="0.2">
      <c r="A167" s="449" t="s">
        <v>558</v>
      </c>
      <c r="B167" s="449" t="s">
        <v>559</v>
      </c>
      <c r="C167" s="449" t="s">
        <v>490</v>
      </c>
      <c r="D167" s="449" t="s">
        <v>703</v>
      </c>
      <c r="E167" s="239">
        <f>'dod3'!E167-'dod3 Квітень+Комісії+Сесія'!E160</f>
        <v>0</v>
      </c>
      <c r="F167" s="239">
        <f>'dod3'!F167-'dod3 Квітень+Комісії+Сесія'!F160</f>
        <v>0</v>
      </c>
      <c r="G167" s="239">
        <f>'dod3'!G167-'dod3 Квітень+Комісії+Сесія'!G160</f>
        <v>0</v>
      </c>
      <c r="H167" s="239">
        <f>'dod3'!H167-'dod3 Квітень+Комісії+Сесія'!H160</f>
        <v>0</v>
      </c>
      <c r="I167" s="239">
        <f>'dod3'!I167-'dod3 Квітень+Комісії+Сесія'!I160</f>
        <v>0</v>
      </c>
      <c r="J167" s="239">
        <f>'dod3'!J167-'dod3 Квітень+Комісії+Сесія'!J160</f>
        <v>0</v>
      </c>
      <c r="K167" s="239">
        <f>'dod3'!K167-'dod3 Квітень+Комісії+Сесія'!K160</f>
        <v>0</v>
      </c>
      <c r="L167" s="239">
        <f>'dod3'!L167-'dod3 Квітень+Комісії+Сесія'!L160</f>
        <v>0</v>
      </c>
      <c r="M167" s="239">
        <f>'dod3'!M167-'dod3 Квітень+Комісії+Сесія'!M160</f>
        <v>0</v>
      </c>
      <c r="N167" s="239">
        <f>'dod3'!N167-'dod3 Квітень+Комісії+Сесія'!N160</f>
        <v>0</v>
      </c>
      <c r="O167" s="239">
        <f>'dod3'!O167-'dod3 Квітень+Комісії+Сесія'!O160</f>
        <v>0</v>
      </c>
      <c r="P167" s="239">
        <f>'dod3'!P167-'dod3 Квітень+Комісії+Сесія'!P160</f>
        <v>0</v>
      </c>
    </row>
    <row r="168" spans="1:18" ht="91.5" x14ac:dyDescent="0.2">
      <c r="A168" s="449" t="s">
        <v>488</v>
      </c>
      <c r="B168" s="449" t="s">
        <v>489</v>
      </c>
      <c r="C168" s="449" t="s">
        <v>490</v>
      </c>
      <c r="D168" s="449" t="s">
        <v>487</v>
      </c>
      <c r="E168" s="239">
        <f>'dod3'!E168-'dod3 Квітень+Комісії+Сесія'!E161</f>
        <v>0</v>
      </c>
      <c r="F168" s="239">
        <f>'dod3'!F168-'dod3 Квітень+Комісії+Сесія'!F161</f>
        <v>0</v>
      </c>
      <c r="G168" s="239">
        <f>'dod3'!G168-'dod3 Квітень+Комісії+Сесія'!G161</f>
        <v>3850</v>
      </c>
      <c r="H168" s="239">
        <f>'dod3'!H168-'dod3 Квітень+Комісії+Сесія'!H161</f>
        <v>0</v>
      </c>
      <c r="I168" s="239">
        <f>'dod3'!I168-'dod3 Квітень+Комісії+Сесія'!I161</f>
        <v>0</v>
      </c>
      <c r="J168" s="239">
        <f>'dod3'!J168-'dod3 Квітень+Комісії+Сесія'!J161</f>
        <v>0</v>
      </c>
      <c r="K168" s="239">
        <f>'dod3'!K168-'dod3 Квітень+Комісії+Сесія'!K161</f>
        <v>0</v>
      </c>
      <c r="L168" s="239">
        <f>'dod3'!L168-'dod3 Квітень+Комісії+Сесія'!L161</f>
        <v>0</v>
      </c>
      <c r="M168" s="239">
        <f>'dod3'!M168-'dod3 Квітень+Комісії+Сесія'!M161</f>
        <v>0</v>
      </c>
      <c r="N168" s="239">
        <f>'dod3'!N168-'dod3 Квітень+Комісії+Сесія'!N161</f>
        <v>0</v>
      </c>
      <c r="O168" s="239">
        <f>'dod3'!O168-'dod3 Квітень+Комісії+Сесія'!O161</f>
        <v>0</v>
      </c>
      <c r="P168" s="239">
        <f>'dod3'!P168-'dod3 Квітень+Комісії+Сесія'!P161</f>
        <v>0</v>
      </c>
    </row>
    <row r="169" spans="1:18" ht="315" x14ac:dyDescent="0.2">
      <c r="A169" s="277" t="s">
        <v>69</v>
      </c>
      <c r="B169" s="277"/>
      <c r="C169" s="277"/>
      <c r="D169" s="277" t="s">
        <v>933</v>
      </c>
      <c r="E169" s="243">
        <f>E170</f>
        <v>0</v>
      </c>
      <c r="F169" s="243">
        <f t="shared" ref="F169:P169" si="22">F170</f>
        <v>0</v>
      </c>
      <c r="G169" s="243">
        <f t="shared" si="22"/>
        <v>0</v>
      </c>
      <c r="H169" s="243">
        <f t="shared" si="22"/>
        <v>0</v>
      </c>
      <c r="I169" s="243">
        <f t="shared" si="22"/>
        <v>0</v>
      </c>
      <c r="J169" s="243">
        <f t="shared" si="22"/>
        <v>8630394</v>
      </c>
      <c r="K169" s="243">
        <f t="shared" si="22"/>
        <v>0</v>
      </c>
      <c r="L169" s="243">
        <f t="shared" si="22"/>
        <v>0</v>
      </c>
      <c r="M169" s="243">
        <f t="shared" si="22"/>
        <v>0</v>
      </c>
      <c r="N169" s="243">
        <f t="shared" si="22"/>
        <v>8630394</v>
      </c>
      <c r="O169" s="244">
        <f>O170</f>
        <v>8630394</v>
      </c>
      <c r="P169" s="243">
        <f t="shared" si="22"/>
        <v>8630394</v>
      </c>
    </row>
    <row r="170" spans="1:18" ht="270" x14ac:dyDescent="0.2">
      <c r="A170" s="280" t="s">
        <v>70</v>
      </c>
      <c r="B170" s="280"/>
      <c r="C170" s="280"/>
      <c r="D170" s="280" t="s">
        <v>932</v>
      </c>
      <c r="E170" s="244">
        <f>E171+E174+E175</f>
        <v>0</v>
      </c>
      <c r="F170" s="243">
        <f t="shared" ref="F170:I170" si="23">F171+F174+F175</f>
        <v>0</v>
      </c>
      <c r="G170" s="244">
        <f t="shared" si="23"/>
        <v>0</v>
      </c>
      <c r="H170" s="244">
        <f t="shared" si="23"/>
        <v>0</v>
      </c>
      <c r="I170" s="243">
        <f t="shared" si="23"/>
        <v>0</v>
      </c>
      <c r="J170" s="244">
        <f t="shared" ref="J170" si="24">K170+N170</f>
        <v>8630394</v>
      </c>
      <c r="K170" s="243">
        <f t="shared" ref="K170:O170" si="25">K171+K174+K175</f>
        <v>0</v>
      </c>
      <c r="L170" s="244">
        <f t="shared" si="25"/>
        <v>0</v>
      </c>
      <c r="M170" s="244">
        <f t="shared" si="25"/>
        <v>0</v>
      </c>
      <c r="N170" s="243">
        <f t="shared" si="25"/>
        <v>8630394</v>
      </c>
      <c r="O170" s="244">
        <f t="shared" si="25"/>
        <v>8630394</v>
      </c>
      <c r="P170" s="244">
        <f t="shared" ref="P170" si="26">+J170+E170</f>
        <v>8630394</v>
      </c>
      <c r="Q170" s="311"/>
      <c r="R170" s="325"/>
    </row>
    <row r="171" spans="1:18" ht="137.25" x14ac:dyDescent="0.2">
      <c r="A171" s="508" t="s">
        <v>599</v>
      </c>
      <c r="B171" s="508" t="s">
        <v>600</v>
      </c>
      <c r="C171" s="508"/>
      <c r="D171" s="508" t="s">
        <v>598</v>
      </c>
      <c r="E171" s="179">
        <f>'dod3'!E171-'dod3 Квітень+Комісії+Сесія'!E164</f>
        <v>0</v>
      </c>
      <c r="F171" s="179">
        <f>'dod3'!F171-'dod3 Квітень+Комісії+Сесія'!F164</f>
        <v>0</v>
      </c>
      <c r="G171" s="179">
        <f>'dod3'!G171-'dod3 Квітень+Комісії+Сесія'!G164</f>
        <v>0</v>
      </c>
      <c r="H171" s="179">
        <f>'dod3'!H171-'dod3 Квітень+Комісії+Сесія'!H164</f>
        <v>0</v>
      </c>
      <c r="I171" s="179">
        <f>'dod3'!I171-'dod3 Квітень+Комісії+Сесія'!I164</f>
        <v>0</v>
      </c>
      <c r="J171" s="179">
        <f>'dod3'!J171-'dod3 Квітень+Комісії+Сесія'!J164</f>
        <v>3747000</v>
      </c>
      <c r="K171" s="179">
        <f>'dod3'!K171-'dod3 Квітень+Комісії+Сесія'!K164</f>
        <v>0</v>
      </c>
      <c r="L171" s="179">
        <f>'dod3'!L171-'dod3 Квітень+Комісії+Сесія'!L164</f>
        <v>0</v>
      </c>
      <c r="M171" s="179">
        <f>'dod3'!M171-'dod3 Квітень+Комісії+Сесія'!M164</f>
        <v>0</v>
      </c>
      <c r="N171" s="179">
        <f>'dod3'!N171-'dod3 Квітень+Комісії+Сесія'!N164</f>
        <v>3747000</v>
      </c>
      <c r="O171" s="179">
        <f>'dod3'!O171-'dod3 Квітень+Комісії+Сесія'!O164</f>
        <v>3747000</v>
      </c>
      <c r="P171" s="179">
        <f>'dod3'!P171-'dod3 Квітень+Комісії+Сесія'!P164</f>
        <v>3747000</v>
      </c>
    </row>
    <row r="172" spans="1:18" ht="91.5" x14ac:dyDescent="0.2">
      <c r="A172" s="510" t="s">
        <v>602</v>
      </c>
      <c r="B172" s="510" t="s">
        <v>603</v>
      </c>
      <c r="C172" s="510" t="s">
        <v>570</v>
      </c>
      <c r="D172" s="510" t="s">
        <v>601</v>
      </c>
      <c r="E172" s="179">
        <f>'dod3'!E172-'dod3 Квітень+Комісії+Сесія'!E165</f>
        <v>0</v>
      </c>
      <c r="F172" s="179">
        <f>'dod3'!F172-'dod3 Квітень+Комісії+Сесія'!F165</f>
        <v>0</v>
      </c>
      <c r="G172" s="179">
        <f>'dod3'!G172-'dod3 Квітень+Комісії+Сесія'!G165</f>
        <v>0</v>
      </c>
      <c r="H172" s="179">
        <f>'dod3'!H172-'dod3 Квітень+Комісії+Сесія'!H165</f>
        <v>0</v>
      </c>
      <c r="I172" s="179">
        <f>'dod3'!I172-'dod3 Квітень+Комісії+Сесія'!I165</f>
        <v>0</v>
      </c>
      <c r="J172" s="179">
        <f>'dod3'!J172-'dod3 Квітень+Комісії+Сесія'!J165</f>
        <v>5762000</v>
      </c>
      <c r="K172" s="179">
        <f>'dod3'!K172-'dod3 Квітень+Комісії+Сесія'!K165</f>
        <v>0</v>
      </c>
      <c r="L172" s="179">
        <f>'dod3'!L172-'dod3 Квітень+Комісії+Сесія'!L165</f>
        <v>0</v>
      </c>
      <c r="M172" s="179">
        <f>'dod3'!M172-'dod3 Квітень+Комісії+Сесія'!M165</f>
        <v>0</v>
      </c>
      <c r="N172" s="179">
        <f>'dod3'!N172-'dod3 Квітень+Комісії+Сесія'!N165</f>
        <v>5762000</v>
      </c>
      <c r="O172" s="179">
        <f>'dod3'!O172-'dod3 Квітень+Комісії+Сесія'!O165</f>
        <v>5762000</v>
      </c>
      <c r="P172" s="179">
        <f>'dod3'!P172-'dod3 Квітень+Комісії+Сесія'!P165</f>
        <v>5762000</v>
      </c>
    </row>
    <row r="173" spans="1:18" ht="137.25" x14ac:dyDescent="0.2">
      <c r="A173" s="510" t="s">
        <v>604</v>
      </c>
      <c r="B173" s="510" t="s">
        <v>605</v>
      </c>
      <c r="C173" s="510" t="s">
        <v>570</v>
      </c>
      <c r="D173" s="510" t="s">
        <v>606</v>
      </c>
      <c r="E173" s="179">
        <f>'dod3'!E173-'dod3 Квітень+Комісії+Сесія'!E166</f>
        <v>0</v>
      </c>
      <c r="F173" s="179">
        <f>'dod3'!F173-'dod3 Квітень+Комісії+Сесія'!F166</f>
        <v>0</v>
      </c>
      <c r="G173" s="179">
        <f>'dod3'!G173-'dod3 Квітень+Комісії+Сесія'!G166</f>
        <v>0</v>
      </c>
      <c r="H173" s="179">
        <f>'dod3'!H173-'dod3 Квітень+Комісії+Сесія'!H166</f>
        <v>0</v>
      </c>
      <c r="I173" s="179">
        <f>'dod3'!I173-'dod3 Квітень+Комісії+Сесія'!I166</f>
        <v>0</v>
      </c>
      <c r="J173" s="179">
        <f>'dod3'!J173-'dod3 Квітень+Комісії+Сесія'!J166</f>
        <v>-2015000</v>
      </c>
      <c r="K173" s="179">
        <f>'dod3'!K173-'dod3 Квітень+Комісії+Сесія'!K166</f>
        <v>0</v>
      </c>
      <c r="L173" s="179">
        <f>'dod3'!L173-'dod3 Квітень+Комісії+Сесія'!L166</f>
        <v>0</v>
      </c>
      <c r="M173" s="179">
        <f>'dod3'!M173-'dod3 Квітень+Комісії+Сесія'!M166</f>
        <v>0</v>
      </c>
      <c r="N173" s="179">
        <f>'dod3'!N173-'dod3 Квітень+Комісії+Сесія'!N166</f>
        <v>-2015000</v>
      </c>
      <c r="O173" s="179">
        <f>'dod3'!O173-'dod3 Квітень+Комісії+Сесія'!O166</f>
        <v>-2015000</v>
      </c>
      <c r="P173" s="179">
        <f>'dod3'!P173-'dod3 Квітень+Комісії+Сесія'!P166</f>
        <v>-2015000</v>
      </c>
    </row>
    <row r="174" spans="1:18" ht="183" x14ac:dyDescent="0.2">
      <c r="A174" s="508" t="s">
        <v>608</v>
      </c>
      <c r="B174" s="508" t="s">
        <v>609</v>
      </c>
      <c r="C174" s="508" t="s">
        <v>570</v>
      </c>
      <c r="D174" s="508" t="s">
        <v>607</v>
      </c>
      <c r="E174" s="179">
        <f>'dod3'!E174-'dod3 Квітень+Комісії+Сесія'!E167</f>
        <v>0</v>
      </c>
      <c r="F174" s="179">
        <f>'dod3'!F174-'dod3 Квітень+Комісії+Сесія'!F167</f>
        <v>0</v>
      </c>
      <c r="G174" s="179">
        <f>'dod3'!G174-'dod3 Квітень+Комісії+Сесія'!G167</f>
        <v>0</v>
      </c>
      <c r="H174" s="179">
        <f>'dod3'!H174-'dod3 Квітень+Комісії+Сесія'!H167</f>
        <v>0</v>
      </c>
      <c r="I174" s="179">
        <f>'dod3'!I174-'dod3 Квітень+Комісії+Сесія'!I167</f>
        <v>0</v>
      </c>
      <c r="J174" s="179">
        <f>'dod3'!J174-'dod3 Квітень+Комісії+Сесія'!J167</f>
        <v>5063394</v>
      </c>
      <c r="K174" s="179">
        <f>'dod3'!K174-'dod3 Квітень+Комісії+Сесія'!K167</f>
        <v>0</v>
      </c>
      <c r="L174" s="179">
        <f>'dod3'!L174-'dod3 Квітень+Комісії+Сесія'!L167</f>
        <v>0</v>
      </c>
      <c r="M174" s="179">
        <f>'dod3'!M174-'dod3 Квітень+Комісії+Сесія'!M167</f>
        <v>0</v>
      </c>
      <c r="N174" s="179">
        <f>'dod3'!N174-'dod3 Квітень+Комісії+Сесія'!N167</f>
        <v>5063394</v>
      </c>
      <c r="O174" s="179">
        <f>'dod3'!O174-'dod3 Квітень+Комісії+Сесія'!O167</f>
        <v>5063394</v>
      </c>
      <c r="P174" s="179">
        <f>'dod3'!P174-'dod3 Квітень+Комісії+Сесія'!P167</f>
        <v>5063394</v>
      </c>
    </row>
    <row r="175" spans="1:18" ht="91.5" x14ac:dyDescent="0.2">
      <c r="A175" s="508" t="s">
        <v>610</v>
      </c>
      <c r="B175" s="508" t="s">
        <v>373</v>
      </c>
      <c r="C175" s="508" t="s">
        <v>324</v>
      </c>
      <c r="D175" s="508" t="s">
        <v>89</v>
      </c>
      <c r="E175" s="179">
        <f>'dod3'!E175-'dod3 Квітень+Комісії+Сесія'!E168</f>
        <v>0</v>
      </c>
      <c r="F175" s="179">
        <f>'dod3'!F175-'dod3 Квітень+Комісії+Сесія'!F168</f>
        <v>0</v>
      </c>
      <c r="G175" s="179">
        <f>'dod3'!G175-'dod3 Квітень+Комісії+Сесія'!G168</f>
        <v>0</v>
      </c>
      <c r="H175" s="179">
        <f>'dod3'!H175-'dod3 Квітень+Комісії+Сесія'!H168</f>
        <v>0</v>
      </c>
      <c r="I175" s="179">
        <f>'dod3'!I175-'dod3 Квітень+Комісії+Сесія'!I168</f>
        <v>0</v>
      </c>
      <c r="J175" s="179">
        <f>'dod3'!J175-'dod3 Квітень+Комісії+Сесія'!J168</f>
        <v>-180000</v>
      </c>
      <c r="K175" s="179">
        <f>'dod3'!K175-'dod3 Квітень+Комісії+Сесія'!K168</f>
        <v>0</v>
      </c>
      <c r="L175" s="179">
        <f>'dod3'!L175-'dod3 Квітень+Комісії+Сесія'!L168</f>
        <v>0</v>
      </c>
      <c r="M175" s="179">
        <f>'dod3'!M175-'dod3 Квітень+Комісії+Сесія'!M168</f>
        <v>0</v>
      </c>
      <c r="N175" s="179">
        <f>'dod3'!N175-'dod3 Квітень+Комісії+Сесія'!N168</f>
        <v>-180000</v>
      </c>
      <c r="O175" s="179">
        <f>'dod3'!O175-'dod3 Квітень+Комісії+Сесія'!O168</f>
        <v>-180000</v>
      </c>
      <c r="P175" s="179">
        <f>'dod3'!P175-'dod3 Квітень+Комісії+Сесія'!P168</f>
        <v>-180000</v>
      </c>
    </row>
    <row r="176" spans="1:18" ht="270" x14ac:dyDescent="0.2">
      <c r="A176" s="277" t="s">
        <v>314</v>
      </c>
      <c r="B176" s="277"/>
      <c r="C176" s="277"/>
      <c r="D176" s="277" t="s">
        <v>71</v>
      </c>
      <c r="E176" s="243">
        <f>E177</f>
        <v>0</v>
      </c>
      <c r="F176" s="243">
        <f t="shared" ref="F176:P177" si="27">F177</f>
        <v>0</v>
      </c>
      <c r="G176" s="243">
        <f t="shared" si="27"/>
        <v>0</v>
      </c>
      <c r="H176" s="243">
        <f t="shared" si="27"/>
        <v>0</v>
      </c>
      <c r="I176" s="243">
        <f t="shared" si="27"/>
        <v>0</v>
      </c>
      <c r="J176" s="243">
        <f t="shared" si="27"/>
        <v>-3123400</v>
      </c>
      <c r="K176" s="243">
        <f t="shared" si="27"/>
        <v>0</v>
      </c>
      <c r="L176" s="243">
        <f t="shared" si="27"/>
        <v>0</v>
      </c>
      <c r="M176" s="243">
        <f t="shared" si="27"/>
        <v>0</v>
      </c>
      <c r="N176" s="243">
        <f t="shared" si="27"/>
        <v>-3123400</v>
      </c>
      <c r="O176" s="244">
        <f t="shared" si="27"/>
        <v>-3123400</v>
      </c>
      <c r="P176" s="243">
        <f t="shared" si="27"/>
        <v>-3123400</v>
      </c>
    </row>
    <row r="177" spans="1:18" ht="270" x14ac:dyDescent="0.2">
      <c r="A177" s="280" t="s">
        <v>315</v>
      </c>
      <c r="B177" s="280"/>
      <c r="C177" s="280"/>
      <c r="D177" s="280" t="s">
        <v>96</v>
      </c>
      <c r="E177" s="244">
        <f>E178</f>
        <v>0</v>
      </c>
      <c r="F177" s="243">
        <f>E177</f>
        <v>0</v>
      </c>
      <c r="G177" s="244">
        <f t="shared" si="27"/>
        <v>0</v>
      </c>
      <c r="H177" s="244">
        <f t="shared" si="27"/>
        <v>0</v>
      </c>
      <c r="I177" s="243">
        <f t="shared" si="27"/>
        <v>0</v>
      </c>
      <c r="J177" s="244">
        <f>K177+N177</f>
        <v>-3123400</v>
      </c>
      <c r="K177" s="243">
        <f t="shared" si="27"/>
        <v>0</v>
      </c>
      <c r="L177" s="244">
        <f t="shared" si="27"/>
        <v>0</v>
      </c>
      <c r="M177" s="244">
        <f>M178</f>
        <v>0</v>
      </c>
      <c r="N177" s="243">
        <f>N178</f>
        <v>-3123400</v>
      </c>
      <c r="O177" s="244">
        <f>O178</f>
        <v>-3123400</v>
      </c>
      <c r="P177" s="244">
        <f>+J177+E177</f>
        <v>-3123400</v>
      </c>
      <c r="Q177" s="311"/>
      <c r="R177" s="325"/>
    </row>
    <row r="178" spans="1:18" ht="137.25" x14ac:dyDescent="0.2">
      <c r="A178" s="411" t="s">
        <v>580</v>
      </c>
      <c r="B178" s="411" t="s">
        <v>581</v>
      </c>
      <c r="C178" s="411" t="s">
        <v>570</v>
      </c>
      <c r="D178" s="411" t="s">
        <v>582</v>
      </c>
      <c r="E178" s="239">
        <f>'dod3'!E178-'dod3 Квітень+Комісії+Сесія'!E171</f>
        <v>0</v>
      </c>
      <c r="F178" s="239">
        <f>'dod3'!F178-'dod3 Квітень+Комісії+Сесія'!F171</f>
        <v>0</v>
      </c>
      <c r="G178" s="239">
        <f>'dod3'!G178-'dod3 Квітень+Комісії+Сесія'!G171</f>
        <v>0</v>
      </c>
      <c r="H178" s="239">
        <f>'dod3'!H178-'dod3 Квітень+Комісії+Сесія'!H171</f>
        <v>0</v>
      </c>
      <c r="I178" s="239">
        <f>'dod3'!I178-'dod3 Квітень+Комісії+Сесія'!I171</f>
        <v>0</v>
      </c>
      <c r="J178" s="239">
        <f>'dod3'!J178-'dod3 Квітень+Комісії+Сесія'!J171</f>
        <v>-3123400</v>
      </c>
      <c r="K178" s="239">
        <f>'dod3'!K178-'dod3 Квітень+Комісії+Сесія'!K171</f>
        <v>0</v>
      </c>
      <c r="L178" s="239">
        <f>'dod3'!L178-'dod3 Квітень+Комісії+Сесія'!L171</f>
        <v>0</v>
      </c>
      <c r="M178" s="239">
        <f>'dod3'!M178-'dod3 Квітень+Комісії+Сесія'!M171</f>
        <v>0</v>
      </c>
      <c r="N178" s="239">
        <f>'dod3'!N178-'dod3 Квітень+Комісії+Сесія'!N171</f>
        <v>-3123400</v>
      </c>
      <c r="O178" s="239">
        <f>'dod3'!O178-'dod3 Квітень+Комісії+Сесія'!O171</f>
        <v>-3123400</v>
      </c>
      <c r="P178" s="239">
        <f>'dod3'!P178-'dod3 Квітень+Комісії+Сесія'!P171</f>
        <v>-3123400</v>
      </c>
    </row>
    <row r="179" spans="1:18" ht="135" x14ac:dyDescent="0.2">
      <c r="A179" s="277" t="s">
        <v>320</v>
      </c>
      <c r="B179" s="277"/>
      <c r="C179" s="277"/>
      <c r="D179" s="277" t="s">
        <v>764</v>
      </c>
      <c r="E179" s="243">
        <f>E180</f>
        <v>-131998.39999999991</v>
      </c>
      <c r="F179" s="243">
        <f t="shared" ref="F179:P179" si="28">F180</f>
        <v>-131998.39999999991</v>
      </c>
      <c r="G179" s="243">
        <f t="shared" si="28"/>
        <v>0</v>
      </c>
      <c r="H179" s="243">
        <f t="shared" si="28"/>
        <v>0</v>
      </c>
      <c r="I179" s="243">
        <f t="shared" si="28"/>
        <v>0</v>
      </c>
      <c r="J179" s="243">
        <f t="shared" si="28"/>
        <v>9350</v>
      </c>
      <c r="K179" s="243">
        <f t="shared" si="28"/>
        <v>0</v>
      </c>
      <c r="L179" s="243">
        <f t="shared" si="28"/>
        <v>0</v>
      </c>
      <c r="M179" s="243">
        <f t="shared" si="28"/>
        <v>0</v>
      </c>
      <c r="N179" s="243">
        <f t="shared" si="28"/>
        <v>9350</v>
      </c>
      <c r="O179" s="244">
        <f t="shared" si="28"/>
        <v>9350</v>
      </c>
      <c r="P179" s="243">
        <f t="shared" si="28"/>
        <v>-122648.39999999991</v>
      </c>
    </row>
    <row r="180" spans="1:18" ht="135" x14ac:dyDescent="0.2">
      <c r="A180" s="280" t="s">
        <v>321</v>
      </c>
      <c r="B180" s="280"/>
      <c r="C180" s="280"/>
      <c r="D180" s="280" t="s">
        <v>765</v>
      </c>
      <c r="E180" s="244">
        <f>SUM(E181:E184)</f>
        <v>-131998.39999999991</v>
      </c>
      <c r="F180" s="243">
        <f t="shared" ref="F180:I180" si="29">SUM(F181:F184)</f>
        <v>-131998.39999999991</v>
      </c>
      <c r="G180" s="243">
        <f t="shared" si="29"/>
        <v>0</v>
      </c>
      <c r="H180" s="243">
        <f t="shared" si="29"/>
        <v>0</v>
      </c>
      <c r="I180" s="243">
        <f t="shared" si="29"/>
        <v>0</v>
      </c>
      <c r="J180" s="244">
        <f>K180+N180</f>
        <v>9350</v>
      </c>
      <c r="K180" s="243">
        <f>SUM(K181:K184)</f>
        <v>0</v>
      </c>
      <c r="L180" s="244">
        <f t="shared" ref="L180:M180" si="30">SUM(L181:L184)</f>
        <v>0</v>
      </c>
      <c r="M180" s="244">
        <f t="shared" si="30"/>
        <v>0</v>
      </c>
      <c r="N180" s="243">
        <f>SUM(N181:N184)</f>
        <v>9350</v>
      </c>
      <c r="O180" s="244">
        <f>SUM(O181:O184)</f>
        <v>9350</v>
      </c>
      <c r="P180" s="244">
        <f>E180+J180</f>
        <v>-122648.39999999991</v>
      </c>
      <c r="Q180" s="311"/>
      <c r="R180" s="325"/>
    </row>
    <row r="181" spans="1:18" ht="137.25" x14ac:dyDescent="0.2">
      <c r="A181" s="411" t="s">
        <v>755</v>
      </c>
      <c r="B181" s="411" t="s">
        <v>756</v>
      </c>
      <c r="C181" s="411" t="s">
        <v>324</v>
      </c>
      <c r="D181" s="411" t="s">
        <v>502</v>
      </c>
      <c r="E181" s="239">
        <f>'dod3'!E181-'dod3 Квітень+Комісії+Сесія'!E174</f>
        <v>0</v>
      </c>
      <c r="F181" s="239">
        <f>'dod3'!F181-'dod3 Квітень+Комісії+Сесія'!F174</f>
        <v>0</v>
      </c>
      <c r="G181" s="239">
        <f>'dod3'!G181-'dod3 Квітень+Комісії+Сесія'!G174</f>
        <v>0</v>
      </c>
      <c r="H181" s="239">
        <f>'dod3'!H181-'dod3 Квітень+Комісії+Сесія'!H174</f>
        <v>0</v>
      </c>
      <c r="I181" s="239">
        <f>'dod3'!I181-'dod3 Квітень+Комісії+Сесія'!I174</f>
        <v>0</v>
      </c>
      <c r="J181" s="239">
        <f>'dod3'!J181-'dod3 Квітень+Комісії+Сесія'!J174</f>
        <v>-206000</v>
      </c>
      <c r="K181" s="239">
        <f>'dod3'!K181-'dod3 Квітень+Комісії+Сесія'!K174</f>
        <v>0</v>
      </c>
      <c r="L181" s="239">
        <f>'dod3'!L181-'dod3 Квітень+Комісії+Сесія'!L174</f>
        <v>0</v>
      </c>
      <c r="M181" s="239">
        <f>'dod3'!M181-'dod3 Квітень+Комісії+Сесія'!M174</f>
        <v>0</v>
      </c>
      <c r="N181" s="239">
        <f>'dod3'!N181-'dod3 Квітень+Комісії+Сесія'!N174</f>
        <v>-206000</v>
      </c>
      <c r="O181" s="239">
        <f>'dod3'!O181-'dod3 Квітень+Комісії+Сесія'!O174</f>
        <v>-206000</v>
      </c>
      <c r="P181" s="239">
        <f>'dod3'!P181-'dod3 Квітень+Комісії+Сесія'!P174</f>
        <v>-206000</v>
      </c>
    </row>
    <row r="182" spans="1:18" ht="91.5" x14ac:dyDescent="0.2">
      <c r="A182" s="411" t="s">
        <v>500</v>
      </c>
      <c r="B182" s="411" t="s">
        <v>501</v>
      </c>
      <c r="C182" s="411" t="s">
        <v>499</v>
      </c>
      <c r="D182" s="411" t="s">
        <v>498</v>
      </c>
      <c r="E182" s="239">
        <f>'dod3'!E182-'dod3 Квітень+Комісії+Сесія'!E175</f>
        <v>0</v>
      </c>
      <c r="F182" s="239">
        <f>'dod3'!F182-'dod3 Квітень+Комісії+Сесія'!F175</f>
        <v>0</v>
      </c>
      <c r="G182" s="239">
        <f>'dod3'!G182-'dod3 Квітень+Комісії+Сесія'!G175</f>
        <v>0</v>
      </c>
      <c r="H182" s="239">
        <f>'dod3'!H182-'dod3 Квітень+Комісії+Сесія'!H175</f>
        <v>0</v>
      </c>
      <c r="I182" s="239">
        <f>'dod3'!I182-'dod3 Квітень+Комісії+Сесія'!I175</f>
        <v>0</v>
      </c>
      <c r="J182" s="239">
        <f>'dod3'!J182-'dod3 Квітень+Комісії+Сесія'!J175</f>
        <v>0</v>
      </c>
      <c r="K182" s="239">
        <f>'dod3'!K182-'dod3 Квітень+Комісії+Сесія'!K175</f>
        <v>0</v>
      </c>
      <c r="L182" s="239">
        <f>'dod3'!L182-'dod3 Квітень+Комісії+Сесія'!L175</f>
        <v>0</v>
      </c>
      <c r="M182" s="239">
        <f>'dod3'!M182-'dod3 Квітень+Комісії+Сесія'!M175</f>
        <v>0</v>
      </c>
      <c r="N182" s="239">
        <f>'dod3'!N182-'dod3 Квітень+Комісії+Сесія'!N175</f>
        <v>0</v>
      </c>
      <c r="O182" s="239">
        <f>'dod3'!O182-'dod3 Квітень+Комісії+Сесія'!O175</f>
        <v>0</v>
      </c>
      <c r="P182" s="239">
        <f>'dod3'!P182-'dod3 Квітень+Комісії+Сесія'!P175</f>
        <v>0</v>
      </c>
    </row>
    <row r="183" spans="1:18" ht="137.25" x14ac:dyDescent="0.2">
      <c r="A183" s="411" t="s">
        <v>491</v>
      </c>
      <c r="B183" s="411" t="s">
        <v>493</v>
      </c>
      <c r="C183" s="411" t="s">
        <v>404</v>
      </c>
      <c r="D183" s="411" t="s">
        <v>492</v>
      </c>
      <c r="E183" s="239">
        <f>'dod3'!E183-'dod3 Квітень+Комісії+Сесія'!E176</f>
        <v>-20000</v>
      </c>
      <c r="F183" s="239">
        <f>'dod3'!F183-'dod3 Квітень+Комісії+Сесія'!F176</f>
        <v>-20000</v>
      </c>
      <c r="G183" s="239">
        <f>'dod3'!G183-'dod3 Квітень+Комісії+Сесія'!G176</f>
        <v>0</v>
      </c>
      <c r="H183" s="239">
        <f>'dod3'!H183-'dod3 Квітень+Комісії+Сесія'!H176</f>
        <v>0</v>
      </c>
      <c r="I183" s="239">
        <f>'dod3'!I183-'dod3 Квітень+Комісії+Сесія'!I176</f>
        <v>0</v>
      </c>
      <c r="J183" s="239">
        <f>'dod3'!J183-'dod3 Квітень+Комісії+Сесія'!J176</f>
        <v>20000</v>
      </c>
      <c r="K183" s="239">
        <f>'dod3'!K183-'dod3 Квітень+Комісії+Сесія'!K176</f>
        <v>0</v>
      </c>
      <c r="L183" s="239">
        <f>'dod3'!L183-'dod3 Квітень+Комісії+Сесія'!L176</f>
        <v>0</v>
      </c>
      <c r="M183" s="239">
        <f>'dod3'!M183-'dod3 Квітень+Комісії+Сесія'!M176</f>
        <v>0</v>
      </c>
      <c r="N183" s="239">
        <f>'dod3'!N183-'dod3 Квітень+Комісії+Сесія'!N176</f>
        <v>20000</v>
      </c>
      <c r="O183" s="239">
        <f>'dod3'!O183-'dod3 Квітень+Комісії+Сесія'!O176</f>
        <v>20000</v>
      </c>
      <c r="P183" s="239">
        <f>'dod3'!P183-'dod3 Квітень+Комісії+Сесія'!P176</f>
        <v>0</v>
      </c>
    </row>
    <row r="184" spans="1:18" ht="46.5" x14ac:dyDescent="0.2">
      <c r="A184" s="411" t="s">
        <v>495</v>
      </c>
      <c r="B184" s="411" t="s">
        <v>449</v>
      </c>
      <c r="C184" s="411" t="s">
        <v>324</v>
      </c>
      <c r="D184" s="411" t="s">
        <v>447</v>
      </c>
      <c r="E184" s="239">
        <f>'dod3'!E184-'dod3 Квітень+Комісії+Сесія'!E177</f>
        <v>-111998.39999999991</v>
      </c>
      <c r="F184" s="239">
        <f>'dod3'!F184-'dod3 Квітень+Комісії+Сесія'!F177</f>
        <v>-111998.39999999991</v>
      </c>
      <c r="G184" s="239">
        <f>'dod3'!G184-'dod3 Квітень+Комісії+Сесія'!G177</f>
        <v>0</v>
      </c>
      <c r="H184" s="239">
        <f>'dod3'!H184-'dod3 Квітень+Комісії+Сесія'!H177</f>
        <v>0</v>
      </c>
      <c r="I184" s="239">
        <f>'dod3'!I184-'dod3 Квітень+Комісії+Сесія'!I177</f>
        <v>0</v>
      </c>
      <c r="J184" s="239">
        <f>'dod3'!J184-'dod3 Квітень+Комісії+Сесія'!J177</f>
        <v>195350</v>
      </c>
      <c r="K184" s="239">
        <f>'dod3'!K184-'dod3 Квітень+Комісії+Сесія'!K177</f>
        <v>0</v>
      </c>
      <c r="L184" s="239">
        <f>'dod3'!L184-'dod3 Квітень+Комісії+Сесія'!L177</f>
        <v>0</v>
      </c>
      <c r="M184" s="239">
        <f>'dod3'!M184-'dod3 Квітень+Комісії+Сесія'!M177</f>
        <v>0</v>
      </c>
      <c r="N184" s="239">
        <f>'dod3'!N184-'dod3 Квітень+Комісії+Сесія'!N177</f>
        <v>195350</v>
      </c>
      <c r="O184" s="239">
        <f>'dod3'!O184-'dod3 Квітень+Комісії+Сесія'!O177</f>
        <v>195350</v>
      </c>
      <c r="P184" s="239">
        <f>'dod3'!P184-'dod3 Квітень+Комісії+Сесія'!P177</f>
        <v>83351.600000000093</v>
      </c>
    </row>
    <row r="185" spans="1:18" ht="91.5" x14ac:dyDescent="0.2">
      <c r="A185" s="413" t="s">
        <v>496</v>
      </c>
      <c r="B185" s="413" t="s">
        <v>497</v>
      </c>
      <c r="C185" s="413" t="s">
        <v>324</v>
      </c>
      <c r="D185" s="413" t="s">
        <v>494</v>
      </c>
      <c r="E185" s="239">
        <f>'dod3'!E185-'dod3 Квітень+Комісії+Сесія'!E178</f>
        <v>-111998.39999999991</v>
      </c>
      <c r="F185" s="239">
        <f>'dod3'!F185-'dod3 Квітень+Комісії+Сесія'!F178</f>
        <v>-111998.39999999991</v>
      </c>
      <c r="G185" s="239">
        <f>'dod3'!G185-'dod3 Квітень+Комісії+Сесія'!G178</f>
        <v>0</v>
      </c>
      <c r="H185" s="239">
        <f>'dod3'!H185-'dod3 Квітень+Комісії+Сесія'!H178</f>
        <v>0</v>
      </c>
      <c r="I185" s="239">
        <f>'dod3'!I185-'dod3 Квітень+Комісії+Сесія'!I178</f>
        <v>0</v>
      </c>
      <c r="J185" s="239">
        <f>'dod3'!J185-'dod3 Квітень+Комісії+Сесія'!J178</f>
        <v>195350</v>
      </c>
      <c r="K185" s="239">
        <f>'dod3'!K185-'dod3 Квітень+Комісії+Сесія'!K178</f>
        <v>0</v>
      </c>
      <c r="L185" s="239">
        <f>'dod3'!L185-'dod3 Квітень+Комісії+Сесія'!L178</f>
        <v>0</v>
      </c>
      <c r="M185" s="239">
        <f>'dod3'!M185-'dod3 Квітень+Комісії+Сесія'!M178</f>
        <v>0</v>
      </c>
      <c r="N185" s="239">
        <f>'dod3'!N185-'dod3 Квітень+Комісії+Сесія'!N178</f>
        <v>195350</v>
      </c>
      <c r="O185" s="239">
        <f>'dod3'!O185-'dod3 Квітень+Комісії+Сесія'!O178</f>
        <v>195350</v>
      </c>
      <c r="P185" s="239">
        <f>'dod3'!P185-'dod3 Квітень+Комісії+Сесія'!P178</f>
        <v>83351.600000000093</v>
      </c>
    </row>
    <row r="186" spans="1:18" ht="180" x14ac:dyDescent="0.2">
      <c r="A186" s="277" t="s">
        <v>318</v>
      </c>
      <c r="B186" s="277"/>
      <c r="C186" s="277"/>
      <c r="D186" s="277" t="s">
        <v>72</v>
      </c>
      <c r="E186" s="243">
        <f>E187</f>
        <v>0</v>
      </c>
      <c r="F186" s="243">
        <f t="shared" ref="F186:P186" si="31">F187</f>
        <v>0</v>
      </c>
      <c r="G186" s="243">
        <f t="shared" si="31"/>
        <v>0</v>
      </c>
      <c r="H186" s="243">
        <f t="shared" si="31"/>
        <v>0</v>
      </c>
      <c r="I186" s="243">
        <f t="shared" si="31"/>
        <v>0</v>
      </c>
      <c r="J186" s="243">
        <f t="shared" si="31"/>
        <v>0</v>
      </c>
      <c r="K186" s="243">
        <f t="shared" si="31"/>
        <v>0</v>
      </c>
      <c r="L186" s="243">
        <f t="shared" si="31"/>
        <v>0</v>
      </c>
      <c r="M186" s="243">
        <f t="shared" si="31"/>
        <v>0</v>
      </c>
      <c r="N186" s="243">
        <f t="shared" si="31"/>
        <v>0</v>
      </c>
      <c r="O186" s="244">
        <f t="shared" si="31"/>
        <v>0</v>
      </c>
      <c r="P186" s="243">
        <f t="shared" si="31"/>
        <v>0</v>
      </c>
    </row>
    <row r="187" spans="1:18" ht="180" x14ac:dyDescent="0.2">
      <c r="A187" s="280" t="s">
        <v>319</v>
      </c>
      <c r="B187" s="280"/>
      <c r="C187" s="280"/>
      <c r="D187" s="280" t="s">
        <v>97</v>
      </c>
      <c r="E187" s="244">
        <v>0</v>
      </c>
      <c r="F187" s="243">
        <f>F191+F192+F188</f>
        <v>0</v>
      </c>
      <c r="G187" s="244">
        <f>G191+G192+G188</f>
        <v>0</v>
      </c>
      <c r="H187" s="244">
        <f>H191+H192+H188</f>
        <v>0</v>
      </c>
      <c r="I187" s="243">
        <f>I191+I192+I188</f>
        <v>0</v>
      </c>
      <c r="J187" s="244">
        <f>K187+N187</f>
        <v>0</v>
      </c>
      <c r="K187" s="243">
        <f>K191+K192+K188</f>
        <v>0</v>
      </c>
      <c r="L187" s="244">
        <f>L191+L192+L188</f>
        <v>0</v>
      </c>
      <c r="M187" s="244">
        <f>M191+M192+M188</f>
        <v>0</v>
      </c>
      <c r="N187" s="243">
        <f>N191+N192+N188</f>
        <v>0</v>
      </c>
      <c r="O187" s="244">
        <f>O191+O192+O188</f>
        <v>0</v>
      </c>
      <c r="P187" s="244">
        <f>E187+J187</f>
        <v>0</v>
      </c>
      <c r="Q187" s="311"/>
      <c r="R187" s="325"/>
    </row>
    <row r="188" spans="1:18" ht="137.25" x14ac:dyDescent="0.2">
      <c r="A188" s="411" t="s">
        <v>583</v>
      </c>
      <c r="B188" s="411" t="s">
        <v>584</v>
      </c>
      <c r="C188" s="411"/>
      <c r="D188" s="411" t="s">
        <v>585</v>
      </c>
      <c r="E188" s="179">
        <f>'dod3'!E188-'dod3 Квітень+Комісії+Сесія'!E181</f>
        <v>0</v>
      </c>
      <c r="F188" s="179">
        <f>'dod3'!F188-'dod3 Квітень+Комісії+Сесія'!F181</f>
        <v>0</v>
      </c>
      <c r="G188" s="179">
        <f>'dod3'!G188-'dod3 Квітень+Комісії+Сесія'!G181</f>
        <v>0</v>
      </c>
      <c r="H188" s="179">
        <f>'dod3'!H188-'dod3 Квітень+Комісії+Сесія'!H181</f>
        <v>0</v>
      </c>
      <c r="I188" s="179">
        <f>'dod3'!I188-'dod3 Квітень+Комісії+Сесія'!I181</f>
        <v>0</v>
      </c>
      <c r="J188" s="179">
        <f>'dod3'!J188-'dod3 Квітень+Комісії+Сесія'!J181</f>
        <v>0</v>
      </c>
      <c r="K188" s="179">
        <f>'dod3'!K188-'dod3 Квітень+Комісії+Сесія'!K181</f>
        <v>0</v>
      </c>
      <c r="L188" s="179">
        <f>'dod3'!L188-'dod3 Квітень+Комісії+Сесія'!L181</f>
        <v>0</v>
      </c>
      <c r="M188" s="179">
        <f>'dod3'!M188-'dod3 Квітень+Комісії+Сесія'!M181</f>
        <v>0</v>
      </c>
      <c r="N188" s="179">
        <f>'dod3'!N188-'dod3 Квітень+Комісії+Сесія'!N181</f>
        <v>0</v>
      </c>
      <c r="O188" s="179">
        <f>'dod3'!O188-'dod3 Квітень+Комісії+Сесія'!O181</f>
        <v>0</v>
      </c>
      <c r="P188" s="179">
        <f>'dod3'!P188-'dod3 Квітень+Комісії+Сесія'!P181</f>
        <v>0</v>
      </c>
    </row>
    <row r="189" spans="1:18" ht="137.25" x14ac:dyDescent="0.2">
      <c r="A189" s="413" t="s">
        <v>586</v>
      </c>
      <c r="B189" s="413" t="s">
        <v>587</v>
      </c>
      <c r="C189" s="413" t="s">
        <v>119</v>
      </c>
      <c r="D189" s="413" t="s">
        <v>120</v>
      </c>
      <c r="E189" s="179">
        <f>'dod3'!E189-'dod3 Квітень+Комісії+Сесія'!E182</f>
        <v>0</v>
      </c>
      <c r="F189" s="179">
        <f>'dod3'!F189-'dod3 Квітень+Комісії+Сесія'!F182</f>
        <v>0</v>
      </c>
      <c r="G189" s="179">
        <f>'dod3'!G189-'dod3 Квітень+Комісії+Сесія'!G182</f>
        <v>0</v>
      </c>
      <c r="H189" s="179">
        <f>'dod3'!H189-'dod3 Квітень+Комісії+Сесія'!H182</f>
        <v>0</v>
      </c>
      <c r="I189" s="179">
        <f>'dod3'!I189-'dod3 Квітень+Комісії+Сесія'!I182</f>
        <v>0</v>
      </c>
      <c r="J189" s="179">
        <f>'dod3'!J189-'dod3 Квітень+Комісії+Сесія'!J182</f>
        <v>0</v>
      </c>
      <c r="K189" s="179">
        <f>'dod3'!K189-'dod3 Квітень+Комісії+Сесія'!K182</f>
        <v>0</v>
      </c>
      <c r="L189" s="179">
        <f>'dod3'!L189-'dod3 Квітень+Комісії+Сесія'!L182</f>
        <v>0</v>
      </c>
      <c r="M189" s="179">
        <f>'dod3'!M189-'dod3 Квітень+Комісії+Сесія'!M182</f>
        <v>0</v>
      </c>
      <c r="N189" s="179">
        <f>'dod3'!N189-'dod3 Квітень+Комісії+Сесія'!N182</f>
        <v>0</v>
      </c>
      <c r="O189" s="179">
        <f>'dod3'!O189-'dod3 Квітень+Комісії+Сесія'!O182</f>
        <v>0</v>
      </c>
      <c r="P189" s="179">
        <f>'dod3'!P189-'dod3 Квітень+Комісії+Сесія'!P182</f>
        <v>0</v>
      </c>
    </row>
    <row r="190" spans="1:18" ht="46.5" x14ac:dyDescent="0.2">
      <c r="A190" s="413" t="s">
        <v>588</v>
      </c>
      <c r="B190" s="413" t="s">
        <v>589</v>
      </c>
      <c r="C190" s="413" t="s">
        <v>121</v>
      </c>
      <c r="D190" s="413" t="s">
        <v>590</v>
      </c>
      <c r="E190" s="179">
        <f>'dod3'!E190-'dod3 Квітень+Комісії+Сесія'!E183</f>
        <v>0</v>
      </c>
      <c r="F190" s="179">
        <f>'dod3'!F190-'dod3 Квітень+Комісії+Сесія'!F183</f>
        <v>0</v>
      </c>
      <c r="G190" s="179">
        <f>'dod3'!G190-'dod3 Квітень+Комісії+Сесія'!G183</f>
        <v>0</v>
      </c>
      <c r="H190" s="179">
        <f>'dod3'!H190-'dod3 Квітень+Комісії+Сесія'!H183</f>
        <v>0</v>
      </c>
      <c r="I190" s="179">
        <f>'dod3'!I190-'dod3 Квітень+Комісії+Сесія'!I183</f>
        <v>0</v>
      </c>
      <c r="J190" s="179">
        <f>'dod3'!J190-'dod3 Квітень+Комісії+Сесія'!J183</f>
        <v>0</v>
      </c>
      <c r="K190" s="179">
        <f>'dod3'!K190-'dod3 Квітень+Комісії+Сесія'!K183</f>
        <v>0</v>
      </c>
      <c r="L190" s="179">
        <f>'dod3'!L190-'dod3 Квітень+Комісії+Сесія'!L183</f>
        <v>0</v>
      </c>
      <c r="M190" s="179">
        <f>'dod3'!M190-'dod3 Квітень+Комісії+Сесія'!M183</f>
        <v>0</v>
      </c>
      <c r="N190" s="179">
        <f>'dod3'!N190-'dod3 Квітень+Комісії+Сесія'!N183</f>
        <v>0</v>
      </c>
      <c r="O190" s="179">
        <f>'dod3'!O190-'dod3 Квітень+Комісії+Сесія'!O183</f>
        <v>0</v>
      </c>
      <c r="P190" s="179">
        <f>'dod3'!P190-'dod3 Квітень+Комісії+Сесія'!P183</f>
        <v>0</v>
      </c>
    </row>
    <row r="191" spans="1:18" ht="91.5" x14ac:dyDescent="0.2">
      <c r="A191" s="411" t="s">
        <v>591</v>
      </c>
      <c r="B191" s="411" t="s">
        <v>592</v>
      </c>
      <c r="C191" s="411" t="s">
        <v>123</v>
      </c>
      <c r="D191" s="411" t="s">
        <v>130</v>
      </c>
      <c r="E191" s="179">
        <f>'dod3'!E191-'dod3 Квітень+Комісії+Сесія'!E184</f>
        <v>0</v>
      </c>
      <c r="F191" s="179">
        <f>'dod3'!F191-'dod3 Квітень+Комісії+Сесія'!F184</f>
        <v>0</v>
      </c>
      <c r="G191" s="179">
        <f>'dod3'!G191-'dod3 Квітень+Комісії+Сесія'!G184</f>
        <v>0</v>
      </c>
      <c r="H191" s="179">
        <f>'dod3'!H191-'dod3 Квітень+Комісії+Сесія'!H184</f>
        <v>0</v>
      </c>
      <c r="I191" s="179">
        <f>'dod3'!I191-'dod3 Квітень+Комісії+Сесія'!I184</f>
        <v>0</v>
      </c>
      <c r="J191" s="179">
        <f>'dod3'!J191-'dod3 Квітень+Комісії+Сесія'!J184</f>
        <v>0</v>
      </c>
      <c r="K191" s="179">
        <f>'dod3'!K191-'dod3 Квітень+Комісії+Сесія'!K184</f>
        <v>0</v>
      </c>
      <c r="L191" s="179">
        <f>'dod3'!L191-'dod3 Квітень+Комісії+Сесія'!L184</f>
        <v>0</v>
      </c>
      <c r="M191" s="179">
        <f>'dod3'!M191-'dod3 Квітень+Комісії+Сесія'!M184</f>
        <v>0</v>
      </c>
      <c r="N191" s="179">
        <f>'dod3'!N191-'dod3 Квітень+Комісії+Сесія'!N184</f>
        <v>0</v>
      </c>
      <c r="O191" s="179">
        <f>'dod3'!O191-'dod3 Квітень+Комісії+Сесія'!O184</f>
        <v>0</v>
      </c>
      <c r="P191" s="179">
        <f>'dod3'!P191-'dod3 Квітень+Комісії+Сесія'!P184</f>
        <v>0</v>
      </c>
    </row>
    <row r="192" spans="1:18" ht="137.25" x14ac:dyDescent="0.2">
      <c r="A192" s="411" t="s">
        <v>593</v>
      </c>
      <c r="B192" s="411" t="s">
        <v>594</v>
      </c>
      <c r="C192" s="411" t="s">
        <v>122</v>
      </c>
      <c r="D192" s="411" t="s">
        <v>595</v>
      </c>
      <c r="E192" s="179">
        <f>'dod3'!E192-'dod3 Квітень+Комісії+Сесія'!E185</f>
        <v>0</v>
      </c>
      <c r="F192" s="179">
        <f>'dod3'!F192-'dod3 Квітень+Комісії+Сесія'!F185</f>
        <v>0</v>
      </c>
      <c r="G192" s="179">
        <f>'dod3'!G192-'dod3 Квітень+Комісії+Сесія'!G185</f>
        <v>0</v>
      </c>
      <c r="H192" s="179">
        <f>'dod3'!H192-'dod3 Квітень+Комісії+Сесія'!H185</f>
        <v>0</v>
      </c>
      <c r="I192" s="179">
        <f>'dod3'!I192-'dod3 Квітень+Комісії+Сесія'!I185</f>
        <v>0</v>
      </c>
      <c r="J192" s="179">
        <f>'dod3'!J192-'dod3 Квітень+Комісії+Сесія'!J185</f>
        <v>0</v>
      </c>
      <c r="K192" s="179">
        <f>'dod3'!K192-'dod3 Квітень+Комісії+Сесія'!K185</f>
        <v>0</v>
      </c>
      <c r="L192" s="179">
        <f>'dod3'!L192-'dod3 Квітень+Комісії+Сесія'!L185</f>
        <v>0</v>
      </c>
      <c r="M192" s="179">
        <f>'dod3'!M192-'dod3 Квітень+Комісії+Сесія'!M185</f>
        <v>0</v>
      </c>
      <c r="N192" s="179">
        <f>'dod3'!N192-'dod3 Квітень+Комісії+Сесія'!N185</f>
        <v>0</v>
      </c>
      <c r="O192" s="179">
        <f>'dod3'!O192-'dod3 Квітень+Комісії+Сесія'!O185</f>
        <v>0</v>
      </c>
      <c r="P192" s="179">
        <f>'dod3'!P192-'dod3 Квітень+Комісії+Сесія'!P185</f>
        <v>0</v>
      </c>
    </row>
    <row r="193" spans="1:18" ht="315" x14ac:dyDescent="0.2">
      <c r="A193" s="277" t="s">
        <v>316</v>
      </c>
      <c r="B193" s="277"/>
      <c r="C193" s="277"/>
      <c r="D193" s="277" t="s">
        <v>766</v>
      </c>
      <c r="E193" s="243">
        <f>E194</f>
        <v>0</v>
      </c>
      <c r="F193" s="243">
        <f t="shared" ref="F193:P193" si="32">F194</f>
        <v>0</v>
      </c>
      <c r="G193" s="243">
        <f t="shared" si="32"/>
        <v>0</v>
      </c>
      <c r="H193" s="243">
        <f t="shared" si="32"/>
        <v>0</v>
      </c>
      <c r="I193" s="243">
        <f t="shared" si="32"/>
        <v>0</v>
      </c>
      <c r="J193" s="243">
        <f t="shared" si="32"/>
        <v>-1405000</v>
      </c>
      <c r="K193" s="243">
        <f t="shared" si="32"/>
        <v>0</v>
      </c>
      <c r="L193" s="243">
        <f t="shared" si="32"/>
        <v>0</v>
      </c>
      <c r="M193" s="243">
        <f t="shared" si="32"/>
        <v>0</v>
      </c>
      <c r="N193" s="243">
        <f t="shared" si="32"/>
        <v>-1405000</v>
      </c>
      <c r="O193" s="244">
        <f t="shared" si="32"/>
        <v>-1405000</v>
      </c>
      <c r="P193" s="243">
        <f t="shared" si="32"/>
        <v>-1405000</v>
      </c>
    </row>
    <row r="194" spans="1:18" ht="315" x14ac:dyDescent="0.2">
      <c r="A194" s="280" t="s">
        <v>317</v>
      </c>
      <c r="B194" s="280"/>
      <c r="C194" s="280"/>
      <c r="D194" s="280" t="s">
        <v>767</v>
      </c>
      <c r="E194" s="244">
        <f>E195+E196</f>
        <v>0</v>
      </c>
      <c r="F194" s="243">
        <f>F195+F196</f>
        <v>0</v>
      </c>
      <c r="G194" s="244">
        <f>G195+G196</f>
        <v>0</v>
      </c>
      <c r="H194" s="244">
        <f>H195+H196</f>
        <v>0</v>
      </c>
      <c r="I194" s="243">
        <f>I195+I196</f>
        <v>0</v>
      </c>
      <c r="J194" s="244">
        <f>K194+N194</f>
        <v>-1405000</v>
      </c>
      <c r="K194" s="243">
        <f>K195+K196</f>
        <v>0</v>
      </c>
      <c r="L194" s="244">
        <f>L195+L196</f>
        <v>0</v>
      </c>
      <c r="M194" s="244">
        <f>M195+M196</f>
        <v>0</v>
      </c>
      <c r="N194" s="243">
        <f>O194</f>
        <v>-1405000</v>
      </c>
      <c r="O194" s="244">
        <f>O195+O196</f>
        <v>-1405000</v>
      </c>
      <c r="P194" s="244">
        <f>+J194+E194</f>
        <v>-1405000</v>
      </c>
      <c r="Q194" s="311"/>
      <c r="R194" s="325"/>
    </row>
    <row r="195" spans="1:18" ht="91.5" x14ac:dyDescent="0.2">
      <c r="A195" s="411" t="s">
        <v>577</v>
      </c>
      <c r="B195" s="411" t="s">
        <v>578</v>
      </c>
      <c r="C195" s="411" t="s">
        <v>579</v>
      </c>
      <c r="D195" s="411" t="s">
        <v>576</v>
      </c>
      <c r="E195" s="239">
        <f>'dod3'!E195-'dod3 Квітень+Комісії+Сесія'!E188</f>
        <v>0</v>
      </c>
      <c r="F195" s="239">
        <f>'dod3'!F195-'dod3 Квітень+Комісії+Сесія'!F188</f>
        <v>0</v>
      </c>
      <c r="G195" s="239">
        <f>'dod3'!G195-'dod3 Квітень+Комісії+Сесія'!G188</f>
        <v>0</v>
      </c>
      <c r="H195" s="239">
        <f>'dod3'!H195-'dod3 Квітень+Комісії+Сесія'!H188</f>
        <v>0</v>
      </c>
      <c r="I195" s="239">
        <f>'dod3'!I195-'dod3 Квітень+Комісії+Сесія'!I188</f>
        <v>0</v>
      </c>
      <c r="J195" s="239">
        <f>'dod3'!J195-'dod3 Квітень+Комісії+Сесія'!J188</f>
        <v>-1405000</v>
      </c>
      <c r="K195" s="239">
        <f>'dod3'!K195-'dod3 Квітень+Комісії+Сесія'!K188</f>
        <v>0</v>
      </c>
      <c r="L195" s="239">
        <f>'dod3'!L195-'dod3 Квітень+Комісії+Сесія'!L188</f>
        <v>0</v>
      </c>
      <c r="M195" s="239">
        <f>'dod3'!M195-'dod3 Квітень+Комісії+Сесія'!M188</f>
        <v>0</v>
      </c>
      <c r="N195" s="239">
        <f>'dod3'!N195-'dod3 Квітень+Комісії+Сесія'!N188</f>
        <v>-1405000</v>
      </c>
      <c r="O195" s="239">
        <f>'dod3'!O195-'dod3 Квітень+Комісії+Сесія'!O188</f>
        <v>-1405000</v>
      </c>
      <c r="P195" s="239">
        <f>'dod3'!P195-'dod3 Квітень+Комісії+Сесія'!P188</f>
        <v>-1405000</v>
      </c>
    </row>
    <row r="196" spans="1:18" ht="137.25" x14ac:dyDescent="0.2">
      <c r="A196" s="411" t="s">
        <v>839</v>
      </c>
      <c r="B196" s="411" t="s">
        <v>840</v>
      </c>
      <c r="C196" s="411" t="s">
        <v>324</v>
      </c>
      <c r="D196" s="411" t="s">
        <v>841</v>
      </c>
      <c r="E196" s="239">
        <f>'dod3'!E196-'dod3 Квітень+Комісії+Сесія'!E189</f>
        <v>0</v>
      </c>
      <c r="F196" s="239">
        <f>'dod3'!F196-'dod3 Квітень+Комісії+Сесія'!F189</f>
        <v>0</v>
      </c>
      <c r="G196" s="239">
        <f>'dod3'!G196-'dod3 Квітень+Комісії+Сесія'!G189</f>
        <v>0</v>
      </c>
      <c r="H196" s="239">
        <f>'dod3'!H196-'dod3 Квітень+Комісії+Сесія'!H189</f>
        <v>0</v>
      </c>
      <c r="I196" s="239">
        <f>'dod3'!I196-'dod3 Квітень+Комісії+Сесія'!I189</f>
        <v>0</v>
      </c>
      <c r="J196" s="239">
        <f>'dod3'!J196-'dod3 Квітень+Комісії+Сесія'!J189</f>
        <v>0</v>
      </c>
      <c r="K196" s="239">
        <f>'dod3'!K196-'dod3 Квітень+Комісії+Сесія'!K189</f>
        <v>0</v>
      </c>
      <c r="L196" s="239">
        <f>'dod3'!L196-'dod3 Квітень+Комісії+Сесія'!L189</f>
        <v>0</v>
      </c>
      <c r="M196" s="239">
        <f>'dod3'!M196-'dod3 Квітень+Комісії+Сесія'!M189</f>
        <v>0</v>
      </c>
      <c r="N196" s="239">
        <f>'dod3'!N196-'dod3 Квітень+Комісії+Сесія'!N189</f>
        <v>0</v>
      </c>
      <c r="O196" s="239">
        <f>'dod3'!O196-'dod3 Квітень+Комісії+Сесія'!O189</f>
        <v>0</v>
      </c>
      <c r="P196" s="239">
        <f>'dod3'!P196-'dod3 Квітень+Комісії+Сесія'!P189</f>
        <v>0</v>
      </c>
    </row>
    <row r="197" spans="1:18" ht="135" x14ac:dyDescent="0.2">
      <c r="A197" s="277" t="s">
        <v>322</v>
      </c>
      <c r="B197" s="277"/>
      <c r="C197" s="277"/>
      <c r="D197" s="277" t="s">
        <v>74</v>
      </c>
      <c r="E197" s="243">
        <f>E198</f>
        <v>-120000</v>
      </c>
      <c r="F197" s="243">
        <f t="shared" ref="F197:P197" si="33">F198</f>
        <v>-120000</v>
      </c>
      <c r="G197" s="243">
        <f t="shared" si="33"/>
        <v>0</v>
      </c>
      <c r="H197" s="243">
        <f t="shared" si="33"/>
        <v>0</v>
      </c>
      <c r="I197" s="243">
        <f t="shared" si="33"/>
        <v>0</v>
      </c>
      <c r="J197" s="243">
        <f t="shared" si="33"/>
        <v>0</v>
      </c>
      <c r="K197" s="243">
        <f t="shared" si="33"/>
        <v>0</v>
      </c>
      <c r="L197" s="243">
        <f t="shared" si="33"/>
        <v>0</v>
      </c>
      <c r="M197" s="243">
        <f t="shared" si="33"/>
        <v>0</v>
      </c>
      <c r="N197" s="243">
        <f t="shared" si="33"/>
        <v>0</v>
      </c>
      <c r="O197" s="244">
        <f t="shared" si="33"/>
        <v>0</v>
      </c>
      <c r="P197" s="243">
        <f t="shared" si="33"/>
        <v>-120000</v>
      </c>
    </row>
    <row r="198" spans="1:18" ht="135" x14ac:dyDescent="0.2">
      <c r="A198" s="280" t="s">
        <v>323</v>
      </c>
      <c r="B198" s="280"/>
      <c r="C198" s="280"/>
      <c r="D198" s="280" t="s">
        <v>98</v>
      </c>
      <c r="E198" s="244">
        <f>E200+E199+E201</f>
        <v>-120000</v>
      </c>
      <c r="F198" s="243">
        <f>F200+F199+F201</f>
        <v>-120000</v>
      </c>
      <c r="G198" s="244">
        <f>SUM(G199:G201)</f>
        <v>0</v>
      </c>
      <c r="H198" s="244">
        <f>SUM(H199:H201)</f>
        <v>0</v>
      </c>
      <c r="I198" s="243">
        <v>0</v>
      </c>
      <c r="J198" s="244">
        <f>K198+N198</f>
        <v>0</v>
      </c>
      <c r="K198" s="243">
        <f>SUM(K199:K199)</f>
        <v>0</v>
      </c>
      <c r="L198" s="244">
        <f>SUM(L199:L201)</f>
        <v>0</v>
      </c>
      <c r="M198" s="244">
        <f>SUM(M199:M201)</f>
        <v>0</v>
      </c>
      <c r="N198" s="243">
        <f>SUM(N199:N199)</f>
        <v>0</v>
      </c>
      <c r="O198" s="244">
        <f>SUM(O199:O199)</f>
        <v>0</v>
      </c>
      <c r="P198" s="244">
        <f>E198+J198</f>
        <v>-120000</v>
      </c>
      <c r="Q198" s="311"/>
      <c r="R198" s="325"/>
    </row>
    <row r="199" spans="1:18" ht="91.5" x14ac:dyDescent="0.2">
      <c r="A199" s="335">
        <v>3718600</v>
      </c>
      <c r="B199" s="335">
        <v>8600</v>
      </c>
      <c r="C199" s="411" t="s">
        <v>781</v>
      </c>
      <c r="D199" s="335" t="s">
        <v>782</v>
      </c>
      <c r="E199" s="239">
        <f>'dod3'!E199-'dod3 Квітень+Комісії+Сесія'!E192</f>
        <v>0</v>
      </c>
      <c r="F199" s="239">
        <f>'dod3'!F199-'dod3 Квітень+Комісії+Сесія'!F192</f>
        <v>0</v>
      </c>
      <c r="G199" s="239">
        <f>'dod3'!G199-'dod3 Квітень+Комісії+Сесія'!G192</f>
        <v>0</v>
      </c>
      <c r="H199" s="239">
        <f>'dod3'!H199-'dod3 Квітень+Комісії+Сесія'!H192</f>
        <v>0</v>
      </c>
      <c r="I199" s="239">
        <f>'dod3'!I199-'dod3 Квітень+Комісії+Сесія'!I192</f>
        <v>0</v>
      </c>
      <c r="J199" s="239">
        <f>'dod3'!J199-'dod3 Квітень+Комісії+Сесія'!J192</f>
        <v>0</v>
      </c>
      <c r="K199" s="239">
        <f>'dod3'!K199-'dod3 Квітень+Комісії+Сесія'!K192</f>
        <v>0</v>
      </c>
      <c r="L199" s="239">
        <f>'dod3'!L199-'dod3 Квітень+Комісії+Сесія'!L192</f>
        <v>0</v>
      </c>
      <c r="M199" s="239">
        <f>'dod3'!M199-'dod3 Квітень+Комісії+Сесія'!M192</f>
        <v>0</v>
      </c>
      <c r="N199" s="239">
        <f>'dod3'!N199-'dod3 Квітень+Комісії+Сесія'!N192</f>
        <v>0</v>
      </c>
      <c r="O199" s="239">
        <f>'dod3'!O199-'dod3 Квітень+Комісії+Сесія'!O192</f>
        <v>0</v>
      </c>
      <c r="P199" s="239">
        <f>'dod3'!P199-'dod3 Квітень+Комісії+Сесія'!P192</f>
        <v>0</v>
      </c>
    </row>
    <row r="200" spans="1:18" ht="69" customHeight="1" x14ac:dyDescent="0.2">
      <c r="A200" s="335">
        <v>3718700</v>
      </c>
      <c r="B200" s="335">
        <v>8700</v>
      </c>
      <c r="C200" s="411" t="s">
        <v>102</v>
      </c>
      <c r="D200" s="309" t="s">
        <v>100</v>
      </c>
      <c r="E200" s="239">
        <f>'dod3'!E200-'dod3 Квітень+Комісії+Сесія'!E193</f>
        <v>-120000</v>
      </c>
      <c r="F200" s="239">
        <f>'dod3'!F200-'dod3 Квітень+Комісії+Сесія'!F193</f>
        <v>-120000</v>
      </c>
      <c r="G200" s="239">
        <f>'dod3'!G200-'dod3 Квітень+Комісії+Сесія'!G193</f>
        <v>0</v>
      </c>
      <c r="H200" s="239">
        <f>'dod3'!H200-'dod3 Квітень+Комісії+Сесія'!H193</f>
        <v>0</v>
      </c>
      <c r="I200" s="239">
        <f>'dod3'!I200-'dod3 Квітень+Комісії+Сесія'!I193</f>
        <v>0</v>
      </c>
      <c r="J200" s="239">
        <f>'dod3'!J200-'dod3 Квітень+Комісії+Сесія'!J193</f>
        <v>0</v>
      </c>
      <c r="K200" s="239">
        <f>'dod3'!K200-'dod3 Квітень+Комісії+Сесія'!K193</f>
        <v>0</v>
      </c>
      <c r="L200" s="239">
        <f>'dod3'!L200-'dod3 Квітень+Комісії+Сесія'!L193</f>
        <v>0</v>
      </c>
      <c r="M200" s="239">
        <f>'dod3'!M200-'dod3 Квітень+Комісії+Сесія'!M193</f>
        <v>0</v>
      </c>
      <c r="N200" s="239">
        <f>'dod3'!N200-'dod3 Квітень+Комісії+Сесія'!N193</f>
        <v>0</v>
      </c>
      <c r="O200" s="239">
        <f>'dod3'!O200-'dod3 Квітень+Комісії+Сесія'!O193</f>
        <v>0</v>
      </c>
      <c r="P200" s="239">
        <f>'dod3'!P200-'dod3 Квітень+Комісії+Сесія'!P193</f>
        <v>-120000</v>
      </c>
    </row>
    <row r="201" spans="1:18" ht="65.25" customHeight="1" x14ac:dyDescent="0.2">
      <c r="A201" s="335">
        <v>3719110</v>
      </c>
      <c r="B201" s="335">
        <v>9110</v>
      </c>
      <c r="C201" s="411" t="s">
        <v>103</v>
      </c>
      <c r="D201" s="309" t="s">
        <v>101</v>
      </c>
      <c r="E201" s="239">
        <f>'dod3'!E201-'dod3 Квітень+Комісії+Сесія'!E194</f>
        <v>0</v>
      </c>
      <c r="F201" s="239">
        <f>'dod3'!F201-'dod3 Квітень+Комісії+Сесія'!F194</f>
        <v>0</v>
      </c>
      <c r="G201" s="239">
        <f>'dod3'!G201-'dod3 Квітень+Комісії+Сесія'!G194</f>
        <v>0</v>
      </c>
      <c r="H201" s="239">
        <f>'dod3'!H201-'dod3 Квітень+Комісії+Сесія'!H194</f>
        <v>0</v>
      </c>
      <c r="I201" s="239">
        <f>'dod3'!I201-'dod3 Квітень+Комісії+Сесія'!I194</f>
        <v>0</v>
      </c>
      <c r="J201" s="239">
        <f>'dod3'!J201-'dod3 Квітень+Комісії+Сесія'!J194</f>
        <v>0</v>
      </c>
      <c r="K201" s="239">
        <f>'dod3'!K201-'dod3 Квітень+Комісії+Сесія'!K194</f>
        <v>0</v>
      </c>
      <c r="L201" s="239">
        <f>'dod3'!L201-'dod3 Квітень+Комісії+Сесія'!L194</f>
        <v>0</v>
      </c>
      <c r="M201" s="239">
        <f>'dod3'!M201-'dod3 Квітень+Комісії+Сесія'!M194</f>
        <v>0</v>
      </c>
      <c r="N201" s="239">
        <f>'dod3'!N201-'dod3 Квітень+Комісії+Сесія'!N194</f>
        <v>0</v>
      </c>
      <c r="O201" s="239">
        <f>'dod3'!O201-'dod3 Квітень+Комісії+Сесія'!O194</f>
        <v>0</v>
      </c>
      <c r="P201" s="239">
        <f>'dod3'!P201-'dod3 Квітень+Комісії+Сесія'!P194</f>
        <v>0</v>
      </c>
    </row>
    <row r="202" spans="1:18" s="5" customFormat="1" ht="81.75" customHeight="1" x14ac:dyDescent="0.55000000000000004">
      <c r="A202" s="731" t="s">
        <v>8</v>
      </c>
      <c r="B202" s="731"/>
      <c r="C202" s="731"/>
      <c r="D202" s="731"/>
      <c r="E202" s="249">
        <f>E13+E31+E123+E44+E59+E111+E148+E170+E177+E198+E180+E187+E194</f>
        <v>55710136.869999997</v>
      </c>
      <c r="F202" s="250">
        <f>F13+F31+F123+F44+F58+F111+F148+F170+F177+F198+F180+F187+F194</f>
        <v>55710136.869999997</v>
      </c>
      <c r="G202" s="249">
        <f t="shared" ref="G202:O202" si="34">G13+G31+G123+G44+G59+G111+G148+G170+G177+G198+G180+G187+G194</f>
        <v>12509050</v>
      </c>
      <c r="H202" s="249">
        <f t="shared" si="34"/>
        <v>490600</v>
      </c>
      <c r="I202" s="250">
        <f t="shared" si="34"/>
        <v>0</v>
      </c>
      <c r="J202" s="249">
        <f t="shared" si="34"/>
        <v>6067123.1300000008</v>
      </c>
      <c r="K202" s="250">
        <f t="shared" si="34"/>
        <v>1814311</v>
      </c>
      <c r="L202" s="249">
        <f t="shared" si="34"/>
        <v>709932</v>
      </c>
      <c r="M202" s="249">
        <f t="shared" si="34"/>
        <v>401422</v>
      </c>
      <c r="N202" s="250">
        <f t="shared" si="34"/>
        <v>4252812.1300000008</v>
      </c>
      <c r="O202" s="249">
        <f t="shared" si="34"/>
        <v>4215263.1300000008</v>
      </c>
      <c r="P202" s="249">
        <f>P13+P31+P123+P44+P58+P111+P148+P170+P177+P198+P180+P187+P194</f>
        <v>61777260</v>
      </c>
      <c r="Q202" s="182"/>
    </row>
    <row r="203" spans="1:18" ht="31.5" customHeight="1" x14ac:dyDescent="0.2">
      <c r="A203" s="732" t="s">
        <v>574</v>
      </c>
      <c r="B203" s="733"/>
      <c r="C203" s="733"/>
      <c r="D203" s="733"/>
      <c r="E203" s="733"/>
      <c r="F203" s="733"/>
      <c r="G203" s="733"/>
      <c r="H203" s="733"/>
      <c r="I203" s="733"/>
      <c r="J203" s="733"/>
      <c r="K203" s="733"/>
      <c r="L203" s="733"/>
      <c r="M203" s="733"/>
      <c r="N203" s="733"/>
      <c r="O203" s="733"/>
      <c r="P203" s="733"/>
      <c r="Q203" s="24"/>
    </row>
    <row r="204" spans="1:18" ht="31.5" customHeight="1" x14ac:dyDescent="0.2">
      <c r="A204" s="198"/>
      <c r="B204" s="199"/>
      <c r="C204" s="199"/>
      <c r="D204" s="199"/>
      <c r="E204" s="199"/>
      <c r="F204" s="200"/>
      <c r="G204" s="199"/>
      <c r="H204" s="199"/>
      <c r="I204" s="200"/>
      <c r="J204" s="199"/>
      <c r="K204" s="200"/>
      <c r="L204" s="199"/>
      <c r="M204" s="199"/>
      <c r="N204" s="200"/>
      <c r="O204" s="199"/>
      <c r="P204" s="199"/>
      <c r="Q204" s="24"/>
    </row>
    <row r="205" spans="1:18" ht="61.5" customHeight="1" x14ac:dyDescent="0.65">
      <c r="A205" s="384"/>
      <c r="B205" s="384"/>
      <c r="C205" s="384"/>
      <c r="D205" s="734" t="s">
        <v>290</v>
      </c>
      <c r="E205" s="734"/>
      <c r="F205" s="734"/>
      <c r="G205" s="734"/>
      <c r="H205" s="734"/>
      <c r="I205" s="734"/>
      <c r="J205" s="734"/>
      <c r="K205" s="734"/>
      <c r="L205" s="734"/>
      <c r="M205" s="734"/>
      <c r="N205" s="734"/>
      <c r="O205" s="734"/>
      <c r="P205" s="734"/>
      <c r="Q205" s="25"/>
    </row>
    <row r="206" spans="1:18" ht="45.75" x14ac:dyDescent="0.2">
      <c r="E206" s="57"/>
      <c r="F206" s="12"/>
      <c r="J206" s="10"/>
      <c r="N206" s="52"/>
      <c r="O206" s="56"/>
      <c r="P206" s="48"/>
    </row>
    <row r="207" spans="1:18" ht="45" x14ac:dyDescent="0.55000000000000004">
      <c r="D207" s="7"/>
      <c r="E207" s="51"/>
      <c r="F207" s="230"/>
      <c r="H207" s="7"/>
      <c r="I207" s="205"/>
      <c r="J207" s="51"/>
      <c r="N207" s="205"/>
      <c r="O207" s="51"/>
      <c r="P207" s="51"/>
      <c r="Q207" s="26"/>
    </row>
    <row r="208" spans="1:18" x14ac:dyDescent="0.2">
      <c r="E208" s="8"/>
      <c r="F208" s="12"/>
      <c r="J208" s="8"/>
      <c r="O208" s="6"/>
    </row>
    <row r="209" spans="1:18" x14ac:dyDescent="0.2">
      <c r="E209" s="8"/>
      <c r="F209" s="12"/>
      <c r="J209" s="8"/>
    </row>
    <row r="210" spans="1:18" ht="45.75" x14ac:dyDescent="0.55000000000000004">
      <c r="E210" s="48"/>
      <c r="F210" s="50"/>
      <c r="G210" s="6"/>
      <c r="I210" s="202"/>
      <c r="J210" s="187"/>
      <c r="K210" s="202"/>
      <c r="L210" s="186"/>
      <c r="M210" s="186"/>
      <c r="N210" s="206"/>
      <c r="O210" s="188"/>
      <c r="P210" s="182" t="b">
        <f>E202+J202=P202</f>
        <v>1</v>
      </c>
    </row>
    <row r="211" spans="1:18" ht="13.5" x14ac:dyDescent="0.2">
      <c r="E211" s="11"/>
      <c r="F211" s="14"/>
      <c r="G211" s="4"/>
      <c r="H211" s="4"/>
      <c r="I211" s="4"/>
      <c r="J211" s="8"/>
    </row>
    <row r="212" spans="1:18" ht="45.75" x14ac:dyDescent="0.2">
      <c r="A212"/>
      <c r="B212"/>
      <c r="C212"/>
      <c r="D212" s="266" t="s">
        <v>943</v>
      </c>
      <c r="E212" s="267" t="b">
        <f>E202=F202</f>
        <v>1</v>
      </c>
      <c r="F212" s="52">
        <f>F200/P202*100</f>
        <v>-0.19424623235151575</v>
      </c>
      <c r="G212" s="218" t="s">
        <v>650</v>
      </c>
      <c r="I212" s="266"/>
      <c r="J212" s="267"/>
      <c r="K212" s="203"/>
      <c r="L212"/>
      <c r="M212"/>
      <c r="N212" s="203"/>
      <c r="O212"/>
      <c r="P212"/>
    </row>
    <row r="213" spans="1:18" ht="60.75" x14ac:dyDescent="0.2">
      <c r="D213" s="266" t="s">
        <v>944</v>
      </c>
      <c r="E213" s="267" t="b">
        <f>G202=839900+735946698</f>
        <v>0</v>
      </c>
      <c r="G213" s="55"/>
      <c r="I213" s="266" t="s">
        <v>944</v>
      </c>
      <c r="J213" s="267" t="b">
        <f>L202=0+27261672</f>
        <v>0</v>
      </c>
      <c r="O213" s="218"/>
      <c r="P213" s="196">
        <v>45276575.630000003</v>
      </c>
      <c r="Q213" s="197"/>
      <c r="R213" s="196"/>
    </row>
    <row r="214" spans="1:18" ht="60.75" x14ac:dyDescent="0.2">
      <c r="A214"/>
      <c r="B214"/>
      <c r="C214"/>
      <c r="D214" s="266" t="s">
        <v>945</v>
      </c>
      <c r="E214" s="267" t="b">
        <f>H202=97533765+11500</f>
        <v>0</v>
      </c>
      <c r="F214" s="52"/>
      <c r="G214" s="6"/>
      <c r="I214" s="266" t="s">
        <v>945</v>
      </c>
      <c r="J214" s="267" t="b">
        <f>M202=0+7617512</f>
        <v>0</v>
      </c>
      <c r="K214" s="203"/>
      <c r="L214"/>
      <c r="M214"/>
      <c r="N214" s="203"/>
      <c r="O214" s="196"/>
      <c r="P214" s="196" t="e">
        <f>P202-#REF!</f>
        <v>#REF!</v>
      </c>
      <c r="Q214" s="197"/>
      <c r="R214" s="196"/>
    </row>
    <row r="215" spans="1:18" ht="60.75" x14ac:dyDescent="0.2">
      <c r="D215" s="266"/>
      <c r="E215" s="267"/>
      <c r="F215" s="54"/>
      <c r="O215" s="218"/>
      <c r="P215" s="196" t="e">
        <f>P213=P214</f>
        <v>#REF!</v>
      </c>
    </row>
    <row r="216" spans="1:18" ht="60.75" x14ac:dyDescent="0.75">
      <c r="A216"/>
      <c r="B216"/>
      <c r="C216"/>
      <c r="D216" s="266"/>
      <c r="E216" s="267"/>
      <c r="F216" s="52"/>
      <c r="G216" s="6"/>
      <c r="J216" s="8"/>
      <c r="K216" s="203"/>
      <c r="L216"/>
      <c r="M216"/>
      <c r="N216" s="203"/>
      <c r="O216" s="361"/>
      <c r="P216" s="196" t="e">
        <f>IF(P213=P214,TRUE,FALSE)</f>
        <v>#REF!</v>
      </c>
    </row>
    <row r="217" spans="1:18" ht="62.25" x14ac:dyDescent="0.8">
      <c r="A217"/>
      <c r="B217"/>
      <c r="C217"/>
      <c r="D217"/>
      <c r="E217" s="51"/>
      <c r="F217" s="52"/>
      <c r="J217" s="8"/>
      <c r="K217" s="203"/>
      <c r="L217"/>
      <c r="M217"/>
      <c r="N217" s="203"/>
      <c r="O217"/>
      <c r="P217" s="360"/>
    </row>
    <row r="218" spans="1:18" ht="45.75" x14ac:dyDescent="0.2">
      <c r="E218" s="53"/>
      <c r="F218" s="54"/>
    </row>
    <row r="219" spans="1:18" ht="45.75" x14ac:dyDescent="0.2">
      <c r="A219"/>
      <c r="B219"/>
      <c r="C219"/>
      <c r="D219"/>
      <c r="E219" s="51"/>
      <c r="F219" s="52"/>
      <c r="K219" s="203"/>
      <c r="L219"/>
      <c r="M219"/>
      <c r="N219" s="203"/>
      <c r="O219"/>
      <c r="P219"/>
    </row>
    <row r="220" spans="1:18" ht="45.75" x14ac:dyDescent="0.2">
      <c r="E220" s="53"/>
      <c r="F220" s="54"/>
    </row>
    <row r="221" spans="1:18" ht="45.75" x14ac:dyDescent="0.2">
      <c r="E221" s="53"/>
      <c r="F221" s="54"/>
    </row>
    <row r="222" spans="1:18" ht="45.75" x14ac:dyDescent="0.2">
      <c r="E222" s="53"/>
      <c r="F222" s="54"/>
    </row>
    <row r="223" spans="1:18" ht="45.75" x14ac:dyDescent="0.2">
      <c r="A223"/>
      <c r="B223"/>
      <c r="C223"/>
      <c r="D223"/>
      <c r="E223" s="53"/>
      <c r="F223" s="54"/>
      <c r="G223"/>
      <c r="H223"/>
      <c r="I223" s="203"/>
      <c r="J223"/>
      <c r="K223" s="203"/>
      <c r="L223"/>
      <c r="M223"/>
      <c r="N223" s="203"/>
      <c r="O223"/>
      <c r="P223"/>
    </row>
    <row r="224" spans="1:18" ht="45.75" x14ac:dyDescent="0.2">
      <c r="A224"/>
      <c r="B224"/>
      <c r="C224"/>
      <c r="D224"/>
      <c r="E224" s="53"/>
      <c r="F224" s="54"/>
      <c r="G224"/>
      <c r="H224"/>
      <c r="I224" s="203"/>
      <c r="J224"/>
      <c r="K224" s="203"/>
      <c r="L224"/>
      <c r="M224"/>
      <c r="N224" s="203"/>
      <c r="O224"/>
      <c r="P224"/>
    </row>
    <row r="225" spans="1:16" ht="45.75" x14ac:dyDescent="0.2">
      <c r="A225"/>
      <c r="B225"/>
      <c r="C225"/>
      <c r="D225"/>
      <c r="E225" s="53"/>
      <c r="F225" s="54"/>
      <c r="G225"/>
      <c r="H225"/>
      <c r="I225" s="203"/>
      <c r="J225"/>
      <c r="K225" s="203"/>
      <c r="L225"/>
      <c r="M225"/>
      <c r="N225" s="203"/>
      <c r="O225"/>
      <c r="P225"/>
    </row>
    <row r="226" spans="1:16" ht="45.75" x14ac:dyDescent="0.2">
      <c r="A226"/>
      <c r="B226"/>
      <c r="C226"/>
      <c r="D226"/>
      <c r="E226" s="53"/>
      <c r="F226" s="54"/>
      <c r="G226"/>
      <c r="H226"/>
      <c r="I226" s="203"/>
      <c r="J226"/>
      <c r="K226" s="203"/>
      <c r="L226"/>
      <c r="M226"/>
      <c r="N226" s="203"/>
      <c r="O226"/>
      <c r="P226"/>
    </row>
  </sheetData>
  <mergeCells count="83">
    <mergeCell ref="A202:D202"/>
    <mergeCell ref="A203:P203"/>
    <mergeCell ref="D205:P205"/>
    <mergeCell ref="K103:K104"/>
    <mergeCell ref="L103:L104"/>
    <mergeCell ref="M103:M104"/>
    <mergeCell ref="N103:N104"/>
    <mergeCell ref="O103:O104"/>
    <mergeCell ref="P103:P104"/>
    <mergeCell ref="P100:P102"/>
    <mergeCell ref="A103:A104"/>
    <mergeCell ref="B103:B104"/>
    <mergeCell ref="C103:C104"/>
    <mergeCell ref="E103:E104"/>
    <mergeCell ref="F103:F104"/>
    <mergeCell ref="G103:G104"/>
    <mergeCell ref="H103:H104"/>
    <mergeCell ref="I103:I104"/>
    <mergeCell ref="J103:J104"/>
    <mergeCell ref="J100:J102"/>
    <mergeCell ref="K100:K102"/>
    <mergeCell ref="L100:L102"/>
    <mergeCell ref="M100:M102"/>
    <mergeCell ref="N100:N102"/>
    <mergeCell ref="O100:O102"/>
    <mergeCell ref="O81:O82"/>
    <mergeCell ref="P81:P82"/>
    <mergeCell ref="A100:A102"/>
    <mergeCell ref="B100:B102"/>
    <mergeCell ref="C100:C102"/>
    <mergeCell ref="E100:E102"/>
    <mergeCell ref="F100:F102"/>
    <mergeCell ref="G100:G102"/>
    <mergeCell ref="H100:H102"/>
    <mergeCell ref="I100:I102"/>
    <mergeCell ref="I81:I82"/>
    <mergeCell ref="J81:J82"/>
    <mergeCell ref="K81:K82"/>
    <mergeCell ref="L81:L82"/>
    <mergeCell ref="M81:M82"/>
    <mergeCell ref="N81:N82"/>
    <mergeCell ref="G81:G82"/>
    <mergeCell ref="H81:H82"/>
    <mergeCell ref="H24:H25"/>
    <mergeCell ref="I24:I25"/>
    <mergeCell ref="J24:J25"/>
    <mergeCell ref="G24:G25"/>
    <mergeCell ref="A81:A82"/>
    <mergeCell ref="B81:B82"/>
    <mergeCell ref="C81:C82"/>
    <mergeCell ref="E81:E82"/>
    <mergeCell ref="F81:F82"/>
    <mergeCell ref="A24:A25"/>
    <mergeCell ref="B24:B25"/>
    <mergeCell ref="C24:C25"/>
    <mergeCell ref="E24:E25"/>
    <mergeCell ref="F24:F25"/>
    <mergeCell ref="J8:N8"/>
    <mergeCell ref="P8:P10"/>
    <mergeCell ref="E9:E10"/>
    <mergeCell ref="F9:F10"/>
    <mergeCell ref="G9:H9"/>
    <mergeCell ref="I9:I10"/>
    <mergeCell ref="J9:J10"/>
    <mergeCell ref="K9:K10"/>
    <mergeCell ref="L9:M9"/>
    <mergeCell ref="N9:N10"/>
    <mergeCell ref="N24:N25"/>
    <mergeCell ref="O24:O25"/>
    <mergeCell ref="P24:P25"/>
    <mergeCell ref="K24:K25"/>
    <mergeCell ref="L24:L25"/>
    <mergeCell ref="M24:M25"/>
    <mergeCell ref="N1:P1"/>
    <mergeCell ref="N2:P2"/>
    <mergeCell ref="N3:P3"/>
    <mergeCell ref="A5:P5"/>
    <mergeCell ref="A6:P6"/>
    <mergeCell ref="A8:A10"/>
    <mergeCell ref="B8:B10"/>
    <mergeCell ref="C8:C10"/>
    <mergeCell ref="D8:D10"/>
    <mergeCell ref="E8:I8"/>
  </mergeCells>
  <conditionalFormatting sqref="Q177:R177">
    <cfRule type="iconSet" priority="5">
      <iconSet iconSet="3Arrows">
        <cfvo type="percent" val="0"/>
        <cfvo type="percent" val="33"/>
        <cfvo type="percent" val="67"/>
      </iconSet>
    </cfRule>
  </conditionalFormatting>
  <conditionalFormatting sqref="Q180:R180">
    <cfRule type="iconSet" priority="4">
      <iconSet iconSet="3Arrows">
        <cfvo type="percent" val="0"/>
        <cfvo type="percent" val="33"/>
        <cfvo type="percent" val="67"/>
      </iconSet>
    </cfRule>
  </conditionalFormatting>
  <conditionalFormatting sqref="Q187:R187">
    <cfRule type="iconSet" priority="3">
      <iconSet iconSet="3Arrows">
        <cfvo type="percent" val="0"/>
        <cfvo type="percent" val="33"/>
        <cfvo type="percent" val="67"/>
      </iconSet>
    </cfRule>
  </conditionalFormatting>
  <conditionalFormatting sqref="Q198:R198">
    <cfRule type="iconSet" priority="2">
      <iconSet iconSet="3Arrows">
        <cfvo type="percent" val="0"/>
        <cfvo type="percent" val="33"/>
        <cfvo type="percent" val="67"/>
      </iconSet>
    </cfRule>
  </conditionalFormatting>
  <conditionalFormatting sqref="Q194:R19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2" orientation="landscape" r:id="rId1"/>
  <headerFooter alignWithMargins="0">
    <oddFooter>&amp;C&amp;"Times New Roman Cyr,курсив"Сторінка &amp;P з &amp;N</oddFooter>
  </headerFooter>
  <rowBreaks count="6" manualBreakCount="6">
    <brk id="29" max="15" man="1"/>
    <brk id="50" max="15" man="1"/>
    <brk id="68" max="15" man="1"/>
    <brk id="87" max="15" man="1"/>
    <brk id="127" max="15" man="1"/>
    <brk id="15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15</vt:i4>
      </vt:variant>
      <vt:variant>
        <vt:lpstr>Іменовані діапазони</vt:lpstr>
      </vt:variant>
      <vt:variant>
        <vt:i4>23</vt:i4>
      </vt:variant>
    </vt:vector>
  </HeadingPairs>
  <TitlesOfParts>
    <vt:vector size="38" baseType="lpstr">
      <vt:lpstr>дод1</vt:lpstr>
      <vt:lpstr>dod2</vt:lpstr>
      <vt:lpstr>dod4</vt:lpstr>
      <vt:lpstr>dod5</vt:lpstr>
      <vt:lpstr>dod6</vt:lpstr>
      <vt:lpstr>dod7</vt:lpstr>
      <vt:lpstr>dod8</vt:lpstr>
      <vt:lpstr>dod3 Квітень+Комісії+Сесія</vt:lpstr>
      <vt:lpstr>РІЗНИЦЯ по додатковому ресурсу</vt:lpstr>
      <vt:lpstr>dod3 квітень чистий</vt:lpstr>
      <vt:lpstr>Різниця до чистого</vt:lpstr>
      <vt:lpstr>РІЗНИЦЯ ВСЬОГО</vt:lpstr>
      <vt:lpstr>dod3</vt:lpstr>
      <vt:lpstr>dod3 до МВК</vt:lpstr>
      <vt:lpstr>РІЗНИЦЯ ПІСЛЯ МВК</vt:lpstr>
      <vt:lpstr>'dod3'!Заголовки_для_друку</vt:lpstr>
      <vt:lpstr>'dod3 до МВК'!Заголовки_для_друку</vt:lpstr>
      <vt:lpstr>'dod3 квітень чистий'!Заголовки_для_друку</vt:lpstr>
      <vt:lpstr>'dod3 Квітень+Комісії+Сесія'!Заголовки_для_друку</vt:lpstr>
      <vt:lpstr>'РІЗНИЦЯ ВСЬОГО'!Заголовки_для_друку</vt:lpstr>
      <vt:lpstr>'Різниця до чистого'!Заголовки_для_друку</vt:lpstr>
      <vt:lpstr>'РІЗНИЦЯ ПІСЛЯ МВК'!Заголовки_для_друку</vt:lpstr>
      <vt:lpstr>'РІЗНИЦЯ по додатковому ресурсу'!Заголовки_для_друку</vt:lpstr>
      <vt:lpstr>'dod2'!Область_друку</vt:lpstr>
      <vt:lpstr>'dod3'!Область_друку</vt:lpstr>
      <vt:lpstr>'dod3 до МВК'!Область_друку</vt:lpstr>
      <vt:lpstr>'dod3 квітень чистий'!Область_друку</vt:lpstr>
      <vt:lpstr>'dod3 Квітень+Комісії+Сесія'!Область_друку</vt:lpstr>
      <vt:lpstr>'dod4'!Область_друку</vt:lpstr>
      <vt:lpstr>'dod5'!Область_друку</vt:lpstr>
      <vt:lpstr>'dod6'!Область_друку</vt:lpstr>
      <vt:lpstr>'dod7'!Область_друку</vt:lpstr>
      <vt:lpstr>'dod8'!Область_друку</vt:lpstr>
      <vt:lpstr>дод1!Область_друку</vt:lpstr>
      <vt:lpstr>'РІЗНИЦЯ ВСЬОГО'!Область_друку</vt:lpstr>
      <vt:lpstr>'Різниця до чистого'!Область_друку</vt:lpstr>
      <vt:lpstr>'РІЗНИЦЯ ПІСЛЯ МВК'!Область_друку</vt:lpstr>
      <vt:lpstr>'РІЗНИЦЯ по додатковому ресурсу'!Область_друку</vt:lpstr>
    </vt:vector>
  </TitlesOfParts>
  <Company>Міське фінуправління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Ковтун Денис Леонідович</cp:lastModifiedBy>
  <cp:lastPrinted>2018-10-02T09:16:53Z</cp:lastPrinted>
  <dcterms:created xsi:type="dcterms:W3CDTF">2001-12-03T09:30:42Z</dcterms:created>
  <dcterms:modified xsi:type="dcterms:W3CDTF">2018-10-02T09:18:12Z</dcterms:modified>
</cp:coreProperties>
</file>