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Березень\0703\"/>
    </mc:Choice>
  </mc:AlternateContent>
  <bookViews>
    <workbookView xWindow="0" yWindow="0" windowWidth="28800" windowHeight="12435"/>
  </bookViews>
  <sheets>
    <sheet name="1416030" sheetId="1" r:id="rId1"/>
  </sheets>
  <definedNames>
    <definedName name="_xlnm.Print_Area" localSheetId="0">'1416030'!$A$1:$AB$378</definedName>
  </definedNames>
  <calcPr calcId="152511"/>
</workbook>
</file>

<file path=xl/calcChain.xml><?xml version="1.0" encoding="utf-8"?>
<calcChain xmlns="http://schemas.openxmlformats.org/spreadsheetml/2006/main">
  <c r="Y142" i="1" l="1"/>
  <c r="P142" i="1"/>
  <c r="Z142" i="1" s="1"/>
  <c r="AB142" i="1" s="1"/>
  <c r="B33" i="1"/>
  <c r="B34" i="1" s="1"/>
  <c r="B35" i="1" s="1"/>
  <c r="B36" i="1" s="1"/>
  <c r="B37" i="1" s="1"/>
  <c r="B38" i="1" s="1"/>
  <c r="B39" i="1" s="1"/>
  <c r="B40" i="1" s="1"/>
  <c r="B41" i="1" s="1"/>
  <c r="B42" i="1" s="1"/>
  <c r="X51" i="1"/>
  <c r="R52" i="1"/>
  <c r="X53" i="1"/>
  <c r="X54" i="1"/>
  <c r="K55" i="1"/>
  <c r="M55" i="1"/>
  <c r="P55" i="1"/>
  <c r="V55" i="1" s="1"/>
  <c r="Y55" i="1" s="1"/>
  <c r="T55" i="1"/>
  <c r="X55" i="1"/>
  <c r="X56" i="1"/>
  <c r="K58" i="1"/>
  <c r="M58" i="1" s="1"/>
  <c r="P58" i="1"/>
  <c r="T58" i="1" s="1"/>
  <c r="X58" i="1"/>
  <c r="V59" i="1"/>
  <c r="K60" i="1"/>
  <c r="M60" i="1" s="1"/>
  <c r="P60" i="1"/>
  <c r="T60" i="1" s="1"/>
  <c r="V60" i="1"/>
  <c r="Y60" i="1" s="1"/>
  <c r="X60" i="1"/>
  <c r="B68" i="1"/>
  <c r="B69" i="1" s="1"/>
  <c r="B70" i="1" s="1"/>
  <c r="B71" i="1" s="1"/>
  <c r="B72" i="1" s="1"/>
  <c r="B73" i="1" s="1"/>
  <c r="B74" i="1" s="1"/>
  <c r="B75" i="1" s="1"/>
  <c r="B76" i="1" s="1"/>
  <c r="B77" i="1" s="1"/>
  <c r="K86" i="1"/>
  <c r="M86" i="1" s="1"/>
  <c r="P86" i="1"/>
  <c r="T86" i="1"/>
  <c r="R97" i="1"/>
  <c r="L50" i="1" s="1"/>
  <c r="V97" i="1"/>
  <c r="P50" i="1" s="1"/>
  <c r="X97" i="1"/>
  <c r="R50" i="1" s="1"/>
  <c r="AA97" i="1"/>
  <c r="P98" i="1"/>
  <c r="P97" i="1" s="1"/>
  <c r="T98" i="1"/>
  <c r="Y98" i="1"/>
  <c r="Z98" i="1"/>
  <c r="AB98" i="1" s="1"/>
  <c r="A99" i="1"/>
  <c r="A100" i="1" s="1"/>
  <c r="A101" i="1" s="1"/>
  <c r="A102" i="1" s="1"/>
  <c r="A103" i="1" s="1"/>
  <c r="A104" i="1" s="1"/>
  <c r="T99" i="1"/>
  <c r="Y99" i="1"/>
  <c r="Z99" i="1"/>
  <c r="AB99" i="1" s="1"/>
  <c r="T100" i="1"/>
  <c r="Y100" i="1"/>
  <c r="Z100" i="1"/>
  <c r="AB100" i="1" s="1"/>
  <c r="T101" i="1"/>
  <c r="Y101" i="1"/>
  <c r="Z101" i="1"/>
  <c r="AB101" i="1" s="1"/>
  <c r="T102" i="1"/>
  <c r="Y102" i="1"/>
  <c r="Z102" i="1"/>
  <c r="AB102" i="1"/>
  <c r="T103" i="1"/>
  <c r="Y103" i="1"/>
  <c r="Z103" i="1"/>
  <c r="AB103" i="1"/>
  <c r="T104" i="1"/>
  <c r="Y104" i="1"/>
  <c r="Z104" i="1"/>
  <c r="AB104" i="1" s="1"/>
  <c r="T106" i="1"/>
  <c r="Y106" i="1"/>
  <c r="Z106" i="1"/>
  <c r="AB106" i="1" s="1"/>
  <c r="A107" i="1"/>
  <c r="T107" i="1"/>
  <c r="Y107" i="1"/>
  <c r="Z107" i="1"/>
  <c r="AB107" i="1" s="1"/>
  <c r="A108" i="1"/>
  <c r="T108" i="1"/>
  <c r="Y108" i="1"/>
  <c r="Z108" i="1"/>
  <c r="AB108" i="1"/>
  <c r="A109" i="1"/>
  <c r="T109" i="1"/>
  <c r="Y109" i="1"/>
  <c r="Z109" i="1"/>
  <c r="AA109" i="1"/>
  <c r="AB109" i="1" s="1"/>
  <c r="A110" i="1"/>
  <c r="T110" i="1"/>
  <c r="Y110" i="1"/>
  <c r="Z110" i="1"/>
  <c r="AB110" i="1"/>
  <c r="A111" i="1"/>
  <c r="A112" i="1" s="1"/>
  <c r="T111" i="1"/>
  <c r="Y111" i="1"/>
  <c r="Z111" i="1"/>
  <c r="AB111" i="1" s="1"/>
  <c r="T112" i="1"/>
  <c r="Y112" i="1"/>
  <c r="Z112" i="1"/>
  <c r="AB112" i="1" s="1"/>
  <c r="P114" i="1"/>
  <c r="Q114" i="1"/>
  <c r="T114" i="1"/>
  <c r="V114" i="1"/>
  <c r="Y114" i="1" s="1"/>
  <c r="A115" i="1"/>
  <c r="P115" i="1"/>
  <c r="T115" i="1" s="1"/>
  <c r="V115" i="1"/>
  <c r="Y115" i="1" s="1"/>
  <c r="A116" i="1"/>
  <c r="P116" i="1"/>
  <c r="T116" i="1"/>
  <c r="V116" i="1"/>
  <c r="Y116" i="1" s="1"/>
  <c r="A117" i="1"/>
  <c r="A118" i="1" s="1"/>
  <c r="A119" i="1" s="1"/>
  <c r="A120" i="1" s="1"/>
  <c r="P117" i="1"/>
  <c r="T117" i="1" s="1"/>
  <c r="V117" i="1"/>
  <c r="Y117" i="1" s="1"/>
  <c r="AB117" i="1"/>
  <c r="P118" i="1"/>
  <c r="T118" i="1" s="1"/>
  <c r="V118" i="1"/>
  <c r="Y118" i="1"/>
  <c r="P119" i="1"/>
  <c r="T119" i="1"/>
  <c r="Y119" i="1"/>
  <c r="Z119" i="1"/>
  <c r="AB119" i="1"/>
  <c r="P120" i="1"/>
  <c r="T120" i="1" s="1"/>
  <c r="Y120" i="1"/>
  <c r="Z120" i="1"/>
  <c r="AB120" i="1"/>
  <c r="A122" i="1"/>
  <c r="P122" i="1"/>
  <c r="T122" i="1" s="1"/>
  <c r="V122" i="1"/>
  <c r="Y122" i="1" s="1"/>
  <c r="A123" i="1"/>
  <c r="P123" i="1"/>
  <c r="T123" i="1"/>
  <c r="V123" i="1"/>
  <c r="Y123" i="1" s="1"/>
  <c r="A124" i="1"/>
  <c r="A125" i="1" s="1"/>
  <c r="A126" i="1" s="1"/>
  <c r="A127" i="1" s="1"/>
  <c r="A128" i="1" s="1"/>
  <c r="P124" i="1"/>
  <c r="T124" i="1" s="1"/>
  <c r="V124" i="1"/>
  <c r="Y124" i="1" s="1"/>
  <c r="P125" i="1"/>
  <c r="T125" i="1" s="1"/>
  <c r="V125" i="1"/>
  <c r="Z125" i="1" s="1"/>
  <c r="AB125" i="1" s="1"/>
  <c r="Y125" i="1"/>
  <c r="P126" i="1"/>
  <c r="T126" i="1"/>
  <c r="V126" i="1"/>
  <c r="Y126" i="1" s="1"/>
  <c r="Z126" i="1"/>
  <c r="AB126" i="1" s="1"/>
  <c r="P127" i="1"/>
  <c r="T127" i="1"/>
  <c r="V127" i="1"/>
  <c r="Y127" i="1" s="1"/>
  <c r="P128" i="1"/>
  <c r="T128" i="1" s="1"/>
  <c r="V128" i="1"/>
  <c r="Y128" i="1"/>
  <c r="Z128" i="1"/>
  <c r="AB128" i="1" s="1"/>
  <c r="P131" i="1"/>
  <c r="K51" i="1" s="1"/>
  <c r="M51" i="1" s="1"/>
  <c r="V131" i="1"/>
  <c r="P51" i="1" s="1"/>
  <c r="P132" i="1"/>
  <c r="T132" i="1" s="1"/>
  <c r="Y132" i="1"/>
  <c r="Q134" i="1"/>
  <c r="T134" i="1"/>
  <c r="W134" i="1"/>
  <c r="Y134" i="1"/>
  <c r="Z134" i="1"/>
  <c r="AB134" i="1"/>
  <c r="Q135" i="1"/>
  <c r="T135" i="1"/>
  <c r="W135" i="1"/>
  <c r="Y135" i="1"/>
  <c r="Z135" i="1"/>
  <c r="AB135" i="1" s="1"/>
  <c r="T136" i="1"/>
  <c r="Y136" i="1"/>
  <c r="Z136" i="1"/>
  <c r="AB136" i="1"/>
  <c r="V138" i="1"/>
  <c r="Y138" i="1"/>
  <c r="Y139" i="1"/>
  <c r="P141" i="1"/>
  <c r="T141" i="1" s="1"/>
  <c r="V141" i="1"/>
  <c r="Z141" i="1" s="1"/>
  <c r="AB141" i="1" s="1"/>
  <c r="P145" i="1"/>
  <c r="K52" i="1" s="1"/>
  <c r="R145" i="1"/>
  <c r="T145" i="1" s="1"/>
  <c r="V145" i="1"/>
  <c r="P52" i="1" s="1"/>
  <c r="Y145" i="1"/>
  <c r="T146" i="1"/>
  <c r="Y146" i="1"/>
  <c r="Z146" i="1"/>
  <c r="AB146" i="1" s="1"/>
  <c r="T147" i="1"/>
  <c r="Y147" i="1"/>
  <c r="Z147" i="1"/>
  <c r="AB147" i="1"/>
  <c r="T149" i="1"/>
  <c r="Y149" i="1"/>
  <c r="Z149" i="1"/>
  <c r="AB149" i="1" s="1"/>
  <c r="T150" i="1"/>
  <c r="Y150" i="1"/>
  <c r="Z150" i="1"/>
  <c r="AB150" i="1"/>
  <c r="P152" i="1"/>
  <c r="T152" i="1"/>
  <c r="V152" i="1"/>
  <c r="Y152" i="1" s="1"/>
  <c r="P153" i="1"/>
  <c r="T153" i="1"/>
  <c r="V153" i="1"/>
  <c r="Y153" i="1"/>
  <c r="Z153" i="1"/>
  <c r="AB153" i="1" s="1"/>
  <c r="P155" i="1"/>
  <c r="T155" i="1" s="1"/>
  <c r="V155" i="1"/>
  <c r="Y155" i="1" s="1"/>
  <c r="P156" i="1"/>
  <c r="Z156" i="1" s="1"/>
  <c r="AB156" i="1" s="1"/>
  <c r="Q156" i="1"/>
  <c r="T156" i="1"/>
  <c r="V156" i="1"/>
  <c r="Y156" i="1" s="1"/>
  <c r="W156" i="1"/>
  <c r="P159" i="1"/>
  <c r="T159" i="1" s="1"/>
  <c r="V159" i="1"/>
  <c r="Y159" i="1" s="1"/>
  <c r="T160" i="1"/>
  <c r="Y160" i="1"/>
  <c r="Z160" i="1"/>
  <c r="AB160" i="1" s="1"/>
  <c r="T161" i="1"/>
  <c r="Y161" i="1"/>
  <c r="Z161" i="1"/>
  <c r="AB161" i="1" s="1"/>
  <c r="P162" i="1"/>
  <c r="Z162" i="1" s="1"/>
  <c r="AB162" i="1" s="1"/>
  <c r="T162" i="1"/>
  <c r="Y162" i="1"/>
  <c r="T163" i="1"/>
  <c r="Y163" i="1"/>
  <c r="Z163" i="1"/>
  <c r="AB163" i="1"/>
  <c r="T165" i="1"/>
  <c r="Y165" i="1"/>
  <c r="Z165" i="1"/>
  <c r="AB165" i="1"/>
  <c r="T166" i="1"/>
  <c r="Y166" i="1"/>
  <c r="Z166" i="1"/>
  <c r="AB166" i="1"/>
  <c r="A167" i="1"/>
  <c r="A168" i="1" s="1"/>
  <c r="T167" i="1"/>
  <c r="Y167" i="1"/>
  <c r="Z167" i="1"/>
  <c r="AB167" i="1" s="1"/>
  <c r="T168" i="1"/>
  <c r="Y168" i="1"/>
  <c r="Z168" i="1"/>
  <c r="AB168" i="1"/>
  <c r="P170" i="1"/>
  <c r="T170" i="1"/>
  <c r="V170" i="1"/>
  <c r="Z170" i="1" s="1"/>
  <c r="AB170" i="1" s="1"/>
  <c r="Y170" i="1"/>
  <c r="P171" i="1"/>
  <c r="T171" i="1"/>
  <c r="V171" i="1"/>
  <c r="Z171" i="1" s="1"/>
  <c r="AB171" i="1" s="1"/>
  <c r="Y171" i="1"/>
  <c r="V172" i="1"/>
  <c r="Y172" i="1"/>
  <c r="A173" i="1"/>
  <c r="P173" i="1"/>
  <c r="T173" i="1" s="1"/>
  <c r="V173" i="1"/>
  <c r="Y173" i="1"/>
  <c r="Z173" i="1"/>
  <c r="AB173" i="1" s="1"/>
  <c r="P175" i="1"/>
  <c r="T175" i="1" s="1"/>
  <c r="V175" i="1"/>
  <c r="Y175" i="1" s="1"/>
  <c r="P176" i="1"/>
  <c r="T176" i="1" s="1"/>
  <c r="V176" i="1"/>
  <c r="Y176" i="1" s="1"/>
  <c r="V179" i="1"/>
  <c r="Y179" i="1" s="1"/>
  <c r="P180" i="1"/>
  <c r="T180" i="1" s="1"/>
  <c r="V180" i="1"/>
  <c r="Y180" i="1"/>
  <c r="Z180" i="1"/>
  <c r="AB180" i="1" s="1"/>
  <c r="P181" i="1"/>
  <c r="T181" i="1" s="1"/>
  <c r="V181" i="1"/>
  <c r="Y181" i="1" s="1"/>
  <c r="T182" i="1"/>
  <c r="Y182" i="1"/>
  <c r="Z182" i="1"/>
  <c r="AB182" i="1" s="1"/>
  <c r="T183" i="1"/>
  <c r="Y183" i="1"/>
  <c r="Z183" i="1"/>
  <c r="AB183" i="1"/>
  <c r="T184" i="1"/>
  <c r="Y184" i="1"/>
  <c r="Z184" i="1"/>
  <c r="AB184" i="1" s="1"/>
  <c r="P185" i="1"/>
  <c r="T185" i="1" s="1"/>
  <c r="Y185" i="1"/>
  <c r="Z185" i="1"/>
  <c r="AB185" i="1"/>
  <c r="T187" i="1"/>
  <c r="Y187" i="1"/>
  <c r="Z187" i="1"/>
  <c r="AB187" i="1"/>
  <c r="T188" i="1"/>
  <c r="Y188" i="1"/>
  <c r="Z188" i="1"/>
  <c r="AB188" i="1"/>
  <c r="T189" i="1"/>
  <c r="Y189" i="1"/>
  <c r="Z189" i="1"/>
  <c r="AB189" i="1"/>
  <c r="T190" i="1"/>
  <c r="Y190" i="1"/>
  <c r="Z190" i="1"/>
  <c r="AB190" i="1"/>
  <c r="T191" i="1"/>
  <c r="V191" i="1"/>
  <c r="Y191" i="1" s="1"/>
  <c r="T192" i="1"/>
  <c r="Y192" i="1"/>
  <c r="Z192" i="1"/>
  <c r="AB192" i="1" s="1"/>
  <c r="T193" i="1"/>
  <c r="Y193" i="1"/>
  <c r="Z193" i="1"/>
  <c r="AB193" i="1" s="1"/>
  <c r="T194" i="1"/>
  <c r="Y194" i="1"/>
  <c r="Z194" i="1"/>
  <c r="AB194" i="1" s="1"/>
  <c r="P196" i="1"/>
  <c r="P206" i="1" s="1"/>
  <c r="Q196" i="1"/>
  <c r="V196" i="1"/>
  <c r="Y196" i="1"/>
  <c r="P197" i="1"/>
  <c r="Z197" i="1" s="1"/>
  <c r="AB197" i="1" s="1"/>
  <c r="Q197" i="1"/>
  <c r="T197" i="1"/>
  <c r="Y197" i="1"/>
  <c r="P198" i="1"/>
  <c r="T198" i="1" s="1"/>
  <c r="Q198" i="1"/>
  <c r="Y198" i="1"/>
  <c r="P199" i="1"/>
  <c r="Q199" i="1"/>
  <c r="T199" i="1"/>
  <c r="V199" i="1"/>
  <c r="Y199" i="1" s="1"/>
  <c r="Z199" i="1"/>
  <c r="AB199" i="1" s="1"/>
  <c r="P200" i="1"/>
  <c r="Q200" i="1"/>
  <c r="T200" i="1"/>
  <c r="V200" i="1"/>
  <c r="Z200" i="1" s="1"/>
  <c r="AB200" i="1" s="1"/>
  <c r="Y200" i="1"/>
  <c r="P201" i="1"/>
  <c r="T201" i="1" s="1"/>
  <c r="Q201" i="1"/>
  <c r="P202" i="1"/>
  <c r="T202" i="1" s="1"/>
  <c r="Y202" i="1"/>
  <c r="P203" i="1"/>
  <c r="Z203" i="1" s="1"/>
  <c r="AB203" i="1" s="1"/>
  <c r="T203" i="1"/>
  <c r="V203" i="1"/>
  <c r="Y203" i="1"/>
  <c r="P204" i="1"/>
  <c r="T204" i="1"/>
  <c r="V204" i="1"/>
  <c r="Z204" i="1" s="1"/>
  <c r="AB204" i="1" s="1"/>
  <c r="Y204" i="1"/>
  <c r="V206" i="1"/>
  <c r="Y206" i="1"/>
  <c r="P207" i="1"/>
  <c r="T207" i="1"/>
  <c r="V207" i="1"/>
  <c r="Z207" i="1" s="1"/>
  <c r="AB207" i="1" s="1"/>
  <c r="Y207" i="1"/>
  <c r="P208" i="1"/>
  <c r="Z208" i="1" s="1"/>
  <c r="AB208" i="1" s="1"/>
  <c r="T208" i="1"/>
  <c r="V208" i="1"/>
  <c r="Y208" i="1"/>
  <c r="P209" i="1"/>
  <c r="T209" i="1"/>
  <c r="P210" i="1"/>
  <c r="T210" i="1"/>
  <c r="P211" i="1"/>
  <c r="T211" i="1"/>
  <c r="T214" i="1"/>
  <c r="Y214" i="1"/>
  <c r="Z214" i="1"/>
  <c r="AB214" i="1"/>
  <c r="P216" i="1"/>
  <c r="T216" i="1"/>
  <c r="Y216" i="1"/>
  <c r="Z216" i="1"/>
  <c r="AB216" i="1" s="1"/>
  <c r="T218" i="1"/>
  <c r="Y218" i="1"/>
  <c r="Z218" i="1"/>
  <c r="AB218" i="1" s="1"/>
  <c r="P220" i="1"/>
  <c r="T220" i="1" s="1"/>
  <c r="V220" i="1"/>
  <c r="Y220" i="1"/>
  <c r="P223" i="1"/>
  <c r="K56" i="1" s="1"/>
  <c r="M56" i="1" s="1"/>
  <c r="V223" i="1"/>
  <c r="P56" i="1" s="1"/>
  <c r="T224" i="1"/>
  <c r="Y224" i="1"/>
  <c r="Z224" i="1"/>
  <c r="AB224" i="1" s="1"/>
  <c r="A225" i="1"/>
  <c r="A226" i="1" s="1"/>
  <c r="A227" i="1" s="1"/>
  <c r="A228" i="1" s="1"/>
  <c r="A229" i="1" s="1"/>
  <c r="A230" i="1" s="1"/>
  <c r="A231" i="1" s="1"/>
  <c r="T225" i="1"/>
  <c r="Y225" i="1"/>
  <c r="Z225" i="1"/>
  <c r="AB225" i="1"/>
  <c r="T226" i="1"/>
  <c r="Y226" i="1"/>
  <c r="Z226" i="1"/>
  <c r="AB226" i="1" s="1"/>
  <c r="T227" i="1"/>
  <c r="Y227" i="1"/>
  <c r="Z227" i="1"/>
  <c r="AB227" i="1"/>
  <c r="T228" i="1"/>
  <c r="Y228" i="1"/>
  <c r="Z228" i="1"/>
  <c r="AB228" i="1"/>
  <c r="T229" i="1"/>
  <c r="Y229" i="1"/>
  <c r="Z229" i="1"/>
  <c r="AB229" i="1"/>
  <c r="T230" i="1"/>
  <c r="Y230" i="1"/>
  <c r="Z230" i="1"/>
  <c r="AB230" i="1" s="1"/>
  <c r="T231" i="1"/>
  <c r="Y231" i="1"/>
  <c r="Z231" i="1"/>
  <c r="AB231" i="1"/>
  <c r="T233" i="1"/>
  <c r="Y233" i="1"/>
  <c r="Z233" i="1"/>
  <c r="AB233" i="1"/>
  <c r="T234" i="1"/>
  <c r="Y234" i="1"/>
  <c r="Z234" i="1"/>
  <c r="AB234" i="1"/>
  <c r="T235" i="1"/>
  <c r="Y235" i="1"/>
  <c r="Z235" i="1"/>
  <c r="AB235" i="1"/>
  <c r="T236" i="1"/>
  <c r="Y236" i="1"/>
  <c r="Z236" i="1"/>
  <c r="AB236" i="1"/>
  <c r="T237" i="1"/>
  <c r="Y237" i="1"/>
  <c r="Z237" i="1"/>
  <c r="AB237" i="1"/>
  <c r="P239" i="1"/>
  <c r="T239" i="1"/>
  <c r="V239" i="1"/>
  <c r="Y239" i="1"/>
  <c r="Z239" i="1"/>
  <c r="AB239" i="1"/>
  <c r="A240" i="1"/>
  <c r="P240" i="1"/>
  <c r="T240" i="1" s="1"/>
  <c r="V240" i="1"/>
  <c r="Y240" i="1" s="1"/>
  <c r="A241" i="1"/>
  <c r="A242" i="1" s="1"/>
  <c r="A243" i="1" s="1"/>
  <c r="A244" i="1" s="1"/>
  <c r="P241" i="1"/>
  <c r="T241" i="1"/>
  <c r="Y241" i="1"/>
  <c r="Z241" i="1"/>
  <c r="AB241" i="1" s="1"/>
  <c r="P242" i="1"/>
  <c r="T242" i="1"/>
  <c r="Y242" i="1"/>
  <c r="Z242" i="1"/>
  <c r="AB242" i="1" s="1"/>
  <c r="P243" i="1"/>
  <c r="T243" i="1"/>
  <c r="V243" i="1"/>
  <c r="Z243" i="1" s="1"/>
  <c r="AB243" i="1" s="1"/>
  <c r="Y243" i="1"/>
  <c r="P244" i="1"/>
  <c r="T244" i="1" s="1"/>
  <c r="V244" i="1"/>
  <c r="Y244" i="1"/>
  <c r="P246" i="1"/>
  <c r="T246" i="1" s="1"/>
  <c r="V246" i="1"/>
  <c r="Y246" i="1" s="1"/>
  <c r="A247" i="1"/>
  <c r="A248" i="1" s="1"/>
  <c r="A249" i="1" s="1"/>
  <c r="P247" i="1"/>
  <c r="T247" i="1"/>
  <c r="V247" i="1"/>
  <c r="Z247" i="1" s="1"/>
  <c r="AB247" i="1" s="1"/>
  <c r="Y247" i="1"/>
  <c r="P248" i="1"/>
  <c r="T248" i="1" s="1"/>
  <c r="Y248" i="1"/>
  <c r="P249" i="1"/>
  <c r="Z249" i="1" s="1"/>
  <c r="AB249" i="1" s="1"/>
  <c r="T249" i="1"/>
  <c r="Y249" i="1"/>
  <c r="P252" i="1"/>
  <c r="K57" i="1" s="1"/>
  <c r="M57" i="1" s="1"/>
  <c r="T252" i="1"/>
  <c r="V252" i="1"/>
  <c r="P57" i="1" s="1"/>
  <c r="Y252" i="1"/>
  <c r="T253" i="1"/>
  <c r="Y253" i="1"/>
  <c r="Z253" i="1"/>
  <c r="AB253" i="1"/>
  <c r="T254" i="1"/>
  <c r="Y254" i="1"/>
  <c r="Z254" i="1"/>
  <c r="AB254" i="1"/>
  <c r="T256" i="1"/>
  <c r="Y256" i="1"/>
  <c r="Z256" i="1"/>
  <c r="AB256" i="1"/>
  <c r="P257" i="1"/>
  <c r="T257" i="1"/>
  <c r="V257" i="1"/>
  <c r="Z257" i="1" s="1"/>
  <c r="AB257" i="1" s="1"/>
  <c r="Y257" i="1"/>
  <c r="P259" i="1"/>
  <c r="Z259" i="1" s="1"/>
  <c r="AB259" i="1" s="1"/>
  <c r="T259" i="1"/>
  <c r="V259" i="1"/>
  <c r="Y259" i="1"/>
  <c r="T260" i="1"/>
  <c r="Y260" i="1"/>
  <c r="Z260" i="1"/>
  <c r="AB260" i="1"/>
  <c r="P262" i="1"/>
  <c r="T262" i="1"/>
  <c r="V262" i="1"/>
  <c r="Z262" i="1" s="1"/>
  <c r="AB262" i="1" s="1"/>
  <c r="Y262" i="1"/>
  <c r="T265" i="1"/>
  <c r="Y265" i="1"/>
  <c r="Z265" i="1"/>
  <c r="AB265" i="1"/>
  <c r="P267" i="1"/>
  <c r="T267" i="1" s="1"/>
  <c r="Q267" i="1"/>
  <c r="V267" i="1"/>
  <c r="Y267" i="1" s="1"/>
  <c r="Z267" i="1"/>
  <c r="AB267" i="1" s="1"/>
  <c r="V268" i="1"/>
  <c r="Z268" i="1" s="1"/>
  <c r="AB268" i="1" s="1"/>
  <c r="Y268" i="1"/>
  <c r="P271" i="1"/>
  <c r="T271" i="1"/>
  <c r="R277" i="1"/>
  <c r="L84" i="1" s="1"/>
  <c r="L87" i="1" s="1"/>
  <c r="T277" i="1"/>
  <c r="X277" i="1"/>
  <c r="R84" i="1" s="1"/>
  <c r="Y277" i="1"/>
  <c r="A278" i="1"/>
  <c r="T278" i="1"/>
  <c r="Y278" i="1"/>
  <c r="AA278" i="1"/>
  <c r="AB278" i="1" s="1"/>
  <c r="A279" i="1"/>
  <c r="T279" i="1"/>
  <c r="Y279" i="1"/>
  <c r="AA279" i="1"/>
  <c r="AB279" i="1"/>
  <c r="T281" i="1"/>
  <c r="Y281" i="1"/>
  <c r="AA281" i="1"/>
  <c r="AB281" i="1"/>
  <c r="T282" i="1"/>
  <c r="Y282" i="1"/>
  <c r="AA282" i="1"/>
  <c r="AB282" i="1"/>
  <c r="R284" i="1"/>
  <c r="T284" i="1"/>
  <c r="Y284" i="1"/>
  <c r="AA284" i="1"/>
  <c r="AB284" i="1" s="1"/>
  <c r="R285" i="1"/>
  <c r="T285" i="1"/>
  <c r="X285" i="1"/>
  <c r="Y285" i="1" s="1"/>
  <c r="AA285" i="1"/>
  <c r="AB285" i="1" s="1"/>
  <c r="R287" i="1"/>
  <c r="T287" i="1" s="1"/>
  <c r="Y287" i="1"/>
  <c r="T290" i="1"/>
  <c r="Y290" i="1"/>
  <c r="Z290" i="1"/>
  <c r="AB290" i="1"/>
  <c r="T292" i="1"/>
  <c r="Y292" i="1"/>
  <c r="Z292" i="1"/>
  <c r="AB292" i="1"/>
  <c r="T293" i="1"/>
  <c r="Y293" i="1"/>
  <c r="Z293" i="1"/>
  <c r="AB293" i="1"/>
  <c r="P295" i="1"/>
  <c r="T295" i="1"/>
  <c r="V295" i="1"/>
  <c r="Z295" i="1" s="1"/>
  <c r="AB295" i="1" s="1"/>
  <c r="Y295" i="1"/>
  <c r="P296" i="1"/>
  <c r="Z296" i="1" s="1"/>
  <c r="AB296" i="1" s="1"/>
  <c r="T296" i="1"/>
  <c r="V296" i="1"/>
  <c r="Y296" i="1"/>
  <c r="P297" i="1"/>
  <c r="T297" i="1"/>
  <c r="V297" i="1"/>
  <c r="Z297" i="1" s="1"/>
  <c r="AB297" i="1" s="1"/>
  <c r="Y297" i="1"/>
  <c r="P298" i="1"/>
  <c r="T298" i="1"/>
  <c r="V298" i="1"/>
  <c r="Y298" i="1"/>
  <c r="Z298" i="1"/>
  <c r="AB298" i="1"/>
  <c r="P300" i="1"/>
  <c r="T300" i="1"/>
  <c r="V300" i="1"/>
  <c r="Z300" i="1" s="1"/>
  <c r="AB300" i="1" s="1"/>
  <c r="Y300" i="1"/>
  <c r="K50" i="1" l="1"/>
  <c r="T97" i="1"/>
  <c r="T206" i="1"/>
  <c r="Z206" i="1"/>
  <c r="AB206" i="1" s="1"/>
  <c r="T56" i="1"/>
  <c r="V56" i="1"/>
  <c r="Y56" i="1" s="1"/>
  <c r="R87" i="1"/>
  <c r="X84" i="1"/>
  <c r="X87" i="1" s="1"/>
  <c r="X50" i="1"/>
  <c r="V52" i="1"/>
  <c r="T52" i="1"/>
  <c r="V50" i="1"/>
  <c r="T50" i="1"/>
  <c r="T57" i="1"/>
  <c r="V57" i="1"/>
  <c r="Y57" i="1" s="1"/>
  <c r="T51" i="1"/>
  <c r="V51" i="1"/>
  <c r="Y51" i="1" s="1"/>
  <c r="L61" i="1"/>
  <c r="M52" i="1"/>
  <c r="Z252" i="1"/>
  <c r="AB252" i="1" s="1"/>
  <c r="V209" i="1"/>
  <c r="Z196" i="1"/>
  <c r="AB196" i="1" s="1"/>
  <c r="Z97" i="1"/>
  <c r="AB97" i="1" s="1"/>
  <c r="Z244" i="1"/>
  <c r="AB244" i="1" s="1"/>
  <c r="Z220" i="1"/>
  <c r="AB220" i="1" s="1"/>
  <c r="Z246" i="1"/>
  <c r="AB246" i="1" s="1"/>
  <c r="Z240" i="1"/>
  <c r="AB240" i="1" s="1"/>
  <c r="V201" i="1"/>
  <c r="Z181" i="1"/>
  <c r="AB181" i="1" s="1"/>
  <c r="P179" i="1"/>
  <c r="Z175" i="1"/>
  <c r="AB175" i="1" s="1"/>
  <c r="Z155" i="1"/>
  <c r="AB155" i="1" s="1"/>
  <c r="Z131" i="1"/>
  <c r="AB131" i="1" s="1"/>
  <c r="Z122" i="1"/>
  <c r="AB122" i="1" s="1"/>
  <c r="Z115" i="1"/>
  <c r="AB115" i="1" s="1"/>
  <c r="Z114" i="1"/>
  <c r="AB114" i="1" s="1"/>
  <c r="Y97" i="1"/>
  <c r="R59" i="1"/>
  <c r="V274" i="1"/>
  <c r="AA287" i="1"/>
  <c r="AB287" i="1" s="1"/>
  <c r="Z223" i="1"/>
  <c r="AB223" i="1" s="1"/>
  <c r="AA277" i="1"/>
  <c r="AB277" i="1" s="1"/>
  <c r="P274" i="1"/>
  <c r="T274" i="1" s="1"/>
  <c r="V271" i="1"/>
  <c r="Y223" i="1"/>
  <c r="V210" i="1"/>
  <c r="Z202" i="1"/>
  <c r="AB202" i="1" s="1"/>
  <c r="P172" i="1"/>
  <c r="T172" i="1" s="1"/>
  <c r="Y141" i="1"/>
  <c r="P138" i="1"/>
  <c r="T138" i="1" s="1"/>
  <c r="Y131" i="1"/>
  <c r="Z123" i="1"/>
  <c r="AB123" i="1" s="1"/>
  <c r="Z116" i="1"/>
  <c r="AB116" i="1" s="1"/>
  <c r="P53" i="1"/>
  <c r="P61" i="1" s="1"/>
  <c r="T196" i="1"/>
  <c r="Z191" i="1"/>
  <c r="AB191" i="1" s="1"/>
  <c r="Z176" i="1"/>
  <c r="AB176" i="1" s="1"/>
  <c r="Z159" i="1"/>
  <c r="AB159" i="1" s="1"/>
  <c r="Z124" i="1"/>
  <c r="AB124" i="1" s="1"/>
  <c r="Z117" i="1"/>
  <c r="V86" i="1"/>
  <c r="Y86" i="1" s="1"/>
  <c r="L59" i="1"/>
  <c r="M59" i="1" s="1"/>
  <c r="P54" i="1"/>
  <c r="Z248" i="1"/>
  <c r="AB248" i="1" s="1"/>
  <c r="T223" i="1"/>
  <c r="V211" i="1"/>
  <c r="Z198" i="1"/>
  <c r="AB198" i="1" s="1"/>
  <c r="Z145" i="1"/>
  <c r="AB145" i="1" s="1"/>
  <c r="P139" i="1"/>
  <c r="Z132" i="1"/>
  <c r="AB132" i="1" s="1"/>
  <c r="T131" i="1"/>
  <c r="Z118" i="1"/>
  <c r="AB118" i="1" s="1"/>
  <c r="K53" i="1"/>
  <c r="M53" i="1" s="1"/>
  <c r="L52" i="1"/>
  <c r="X52" i="1" s="1"/>
  <c r="T142" i="1"/>
  <c r="V272" i="1"/>
  <c r="Z152" i="1"/>
  <c r="AB152" i="1" s="1"/>
  <c r="Z127" i="1"/>
  <c r="AB127" i="1" s="1"/>
  <c r="V58" i="1"/>
  <c r="Y58" i="1" s="1"/>
  <c r="P84" i="1" l="1"/>
  <c r="Z274" i="1"/>
  <c r="AB274" i="1" s="1"/>
  <c r="Y274" i="1"/>
  <c r="Y52" i="1"/>
  <c r="T139" i="1"/>
  <c r="Z139" i="1"/>
  <c r="AB139" i="1" s="1"/>
  <c r="X59" i="1"/>
  <c r="Y59" i="1" s="1"/>
  <c r="T59" i="1"/>
  <c r="Z179" i="1"/>
  <c r="AB179" i="1" s="1"/>
  <c r="K54" i="1"/>
  <c r="M54" i="1" s="1"/>
  <c r="T179" i="1"/>
  <c r="Z172" i="1"/>
  <c r="AB172" i="1" s="1"/>
  <c r="R61" i="1"/>
  <c r="T61" i="1" s="1"/>
  <c r="T53" i="1"/>
  <c r="V53" i="1"/>
  <c r="Y53" i="1" s="1"/>
  <c r="Z209" i="1"/>
  <c r="AB209" i="1" s="1"/>
  <c r="Y209" i="1"/>
  <c r="X61" i="1"/>
  <c r="Y50" i="1"/>
  <c r="Z271" i="1"/>
  <c r="AB271" i="1" s="1"/>
  <c r="Y271" i="1"/>
  <c r="Y201" i="1"/>
  <c r="Z201" i="1"/>
  <c r="AB201" i="1" s="1"/>
  <c r="Z138" i="1"/>
  <c r="AB138" i="1" s="1"/>
  <c r="T54" i="1"/>
  <c r="V54" i="1"/>
  <c r="Y54" i="1" s="1"/>
  <c r="Y210" i="1"/>
  <c r="Z210" i="1"/>
  <c r="AB210" i="1" s="1"/>
  <c r="Z272" i="1"/>
  <c r="AB272" i="1" s="1"/>
  <c r="Y272" i="1"/>
  <c r="Y211" i="1"/>
  <c r="Z211" i="1"/>
  <c r="AB211" i="1" s="1"/>
  <c r="K61" i="1"/>
  <c r="M50" i="1"/>
  <c r="M61" i="1" l="1"/>
  <c r="K84" i="1"/>
  <c r="V61" i="1"/>
  <c r="Y61" i="1" s="1"/>
  <c r="P87" i="1"/>
  <c r="T84" i="1"/>
  <c r="T87" i="1" s="1"/>
  <c r="V84" i="1"/>
  <c r="M84" i="1" l="1"/>
  <c r="M87" i="1" s="1"/>
  <c r="K87" i="1"/>
  <c r="V87" i="1"/>
  <c r="Y87" i="1" s="1"/>
  <c r="Y84" i="1"/>
</calcChain>
</file>

<file path=xl/comments1.xml><?xml version="1.0" encoding="utf-8"?>
<comments xmlns="http://schemas.openxmlformats.org/spreadsheetml/2006/main">
  <authors>
    <author>S_Smal</author>
  </authors>
  <commentList>
    <comment ref="Z103" authorId="0" shapeId="0">
      <text>
        <r>
          <rPr>
            <b/>
            <sz val="9"/>
            <color indexed="81"/>
            <rFont val="Tahoma"/>
            <family val="2"/>
            <charset val="204"/>
          </rPr>
          <t>S_Smal:</t>
        </r>
        <r>
          <rPr>
            <sz val="9"/>
            <color indexed="81"/>
            <rFont val="Tahoma"/>
            <family val="2"/>
            <charset val="204"/>
          </rPr>
          <t xml:space="preserve">
2,4 залишок ко Парках</t>
        </r>
      </text>
    </comment>
    <comment ref="P104" authorId="0" shapeId="0">
      <text>
        <r>
          <rPr>
            <b/>
            <sz val="9"/>
            <color indexed="81"/>
            <rFont val="Tahoma"/>
            <family val="2"/>
            <charset val="204"/>
          </rPr>
          <t>S_Smal:</t>
        </r>
        <r>
          <rPr>
            <sz val="9"/>
            <color indexed="81"/>
            <rFont val="Tahoma"/>
            <family val="2"/>
            <charset val="204"/>
          </rPr>
          <t xml:space="preserve">
200 тис.грн Зелене
-30 тис. грн УКІ
+30 тис.грн Зелене
</t>
        </r>
      </text>
    </comment>
    <comment ref="AH104" authorId="0" shapeId="0">
      <text>
        <r>
          <rPr>
            <b/>
            <sz val="9"/>
            <color indexed="81"/>
            <rFont val="Tahoma"/>
            <family val="2"/>
            <charset val="204"/>
          </rPr>
          <t>S_Smal:</t>
        </r>
        <r>
          <rPr>
            <sz val="9"/>
            <color indexed="81"/>
            <rFont val="Tahoma"/>
            <family val="2"/>
            <charset val="204"/>
          </rPr>
          <t xml:space="preserve">
200 тис.грн Зелене
-30 тис. грн УКІ
+30 тис.грн Зелене
</t>
        </r>
      </text>
    </comment>
    <comment ref="P112" authorId="0" shapeId="0">
      <text>
        <r>
          <rPr>
            <b/>
            <sz val="9"/>
            <color indexed="81"/>
            <rFont val="Tahoma"/>
            <family val="2"/>
            <charset val="204"/>
          </rPr>
          <t>S_Smal:</t>
        </r>
        <r>
          <rPr>
            <sz val="9"/>
            <color indexed="81"/>
            <rFont val="Tahoma"/>
            <family val="2"/>
            <charset val="204"/>
          </rPr>
          <t xml:space="preserve">
8 од.+3 од. Зелене гос-во 
2 од. УЖКГ
2 од. Рит служба
2 од. Парки і сквери</t>
        </r>
      </text>
    </comment>
    <comment ref="V112" authorId="0" shapeId="0">
      <text>
        <r>
          <rPr>
            <b/>
            <sz val="9"/>
            <color indexed="81"/>
            <rFont val="Tahoma"/>
            <family val="2"/>
            <charset val="204"/>
          </rPr>
          <t>S_Smal:</t>
        </r>
        <r>
          <rPr>
            <sz val="9"/>
            <color indexed="81"/>
            <rFont val="Tahoma"/>
            <family val="2"/>
            <charset val="204"/>
          </rPr>
          <t xml:space="preserve">
12 од. Зелене гос-во 
4 од. УЖКГ
1 од. Рит служба
1 од. Парки і сквери</t>
        </r>
      </text>
    </comment>
    <comment ref="P117" authorId="0" shapeId="0">
      <text>
        <r>
          <rPr>
            <b/>
            <sz val="9"/>
            <color indexed="81"/>
            <rFont val="Tahoma"/>
            <family val="2"/>
            <charset val="204"/>
          </rPr>
          <t>S_Smal:</t>
        </r>
        <r>
          <rPr>
            <sz val="9"/>
            <color indexed="81"/>
            <rFont val="Tahoma"/>
            <family val="2"/>
            <charset val="204"/>
          </rPr>
          <t xml:space="preserve">
1351,829+409,929 - омолодження
210,00 (п.11)+32,430 (п. 13) -Парки і сквери</t>
        </r>
      </text>
    </comment>
    <comment ref="V117" authorId="0" shapeId="0">
      <text>
        <r>
          <rPr>
            <b/>
            <sz val="9"/>
            <color indexed="81"/>
            <rFont val="Tahoma"/>
            <family val="2"/>
            <charset val="204"/>
          </rPr>
          <t>S_Smal:</t>
        </r>
        <r>
          <rPr>
            <sz val="9"/>
            <color indexed="81"/>
            <rFont val="Tahoma"/>
            <family val="2"/>
            <charset val="204"/>
          </rPr>
          <t xml:space="preserve">
1351,829+409,929 - омолодження
210,00 (п.11)+32,430 (п. 13) -Парки і сквери</t>
        </r>
      </text>
    </comment>
  </commentList>
</comments>
</file>

<file path=xl/sharedStrings.xml><?xml version="1.0" encoding="utf-8"?>
<sst xmlns="http://schemas.openxmlformats.org/spreadsheetml/2006/main" count="807" uniqueCount="339">
  <si>
    <t>Пояснення: п. 3-5 зміни показника в зв'язку з виконанням меншого обсягу робіт, п. 6,7 роботи не виконані в зв'язку з неосвоєнням коштів.</t>
  </si>
  <si>
    <t>Пояснення: п. 1 фактичне використання коштів відповідно до актів виконаних робіт, п. 2 відповідно до Постанови 590 фінансування видатків загального фонду на  розробку проєктів земельних ділянок кладовищ не здійснювалися.</t>
  </si>
  <si>
    <t>га, од., куб. м</t>
  </si>
  <si>
    <t>відс.</t>
  </si>
  <si>
    <t>договір</t>
  </si>
  <si>
    <t>Пояснення:  п. 1 середні витрати відрізняються від запланованих в зв'язку із зменшення витрат на паливно-мастильні матеріали відповідно до фактичного пробігу автомобіля, п. 2  середні витрати відрізняються від запланованих в зв'язку із економією фонду оплати праці, електроенергії, п. 3 середні витрати відрізняються від запланованих в зв'язку із зменшенням кількості небезпечних відходів, які було зібрано у населення та передано стороннім організаціям, п. 4 середні витрати відрізняються від запланованих в зв'язку із економією коштів</t>
  </si>
  <si>
    <t>темп зростання витрат на послугу збирання та зберігання небезпечних відходів для подальшої утилізації порівняно з попереднім періодом</t>
  </si>
  <si>
    <t>Пояснення: п. 1 зміни показника в зв'язку з економія коштів, п. 2 зміни показника в зв'язку з не повним освоєнням коштів за рахунок зменшення витрат на роботу екобусу.</t>
  </si>
  <si>
    <t xml:space="preserve">поточний ремонт об’єктів благоустрою - влаштування тротуарів, пішохідних доріжок </t>
  </si>
  <si>
    <t>кв. м</t>
  </si>
  <si>
    <t>середня вартість на ліквідацію дрібних деформацій і пошкоджень 1 кв. м вулично-шляхової (дорожньої) мережі</t>
  </si>
  <si>
    <t>середня вартість утримання 1 світлофорного об'єкту ( в т. ч. витрати на поточний ремонт, матеріали)</t>
  </si>
  <si>
    <t>темп зростання середньої вартості  утримання світлофорних об'єктів в порівнянні з попереднім роком</t>
  </si>
  <si>
    <t>темп зростання середньої вартості нанесення дорожньої розмітки в порівнянні з попереднім роком</t>
  </si>
  <si>
    <t>Пояснення: п. 1-6 показники якості відрізняються від затверджених за рахунок змін в середніх витратах</t>
  </si>
  <si>
    <t>тис. кв.м, од., т</t>
  </si>
  <si>
    <t>Пояснення:  фактичне використання коштів згідно рахунків за спожиті послуги (розподіл природного газу), включення факелу "Вічний вогонь" не здійснювалося, відповідно виникло значне неосвоєння коштів. Вказана причина вплинула на невиконання інших показників.</t>
  </si>
  <si>
    <t>Пояснення: п. 2 фактично було завезено більше тварин на утримання, ніж планувалось, п. 3 фактична кількість небезпечних відходів, які було зібрано у населення</t>
  </si>
  <si>
    <t>Пояснення: п.2 в зв'язку з неосвоєнням коштів по об'єкту поточний ремонт зелених насаджень в поймі р. Південний Буг, роботи не виконувалися, п. 3-5 в зв'язку з неосвоєнням коштів роботи не виконувалися.</t>
  </si>
  <si>
    <t>середня ватртість демонтажу 1 незаконно встановленого МАФ</t>
  </si>
  <si>
    <t>витрати на ліквідацію стихійних сміттєзвалищ на території ХМТГ</t>
  </si>
  <si>
    <t>Пояснення:  п. 1 зменшення вират в зв'язку з тим, що монтаж новорічної ялинки не здійснювався, п. 2 в зв'язку з неосвоєнням коштів по 1 об'єкту, п. 3-5 в зв'язку з неосвоєнням коштів витрати не здійснювалися, п. 6 економія коштів.</t>
  </si>
  <si>
    <t>постанова НКРЕКП від 22.12.2021 р. № 2864</t>
  </si>
  <si>
    <t>тариф на надання послуг з приймання поверхневих стічних вод</t>
  </si>
  <si>
    <t xml:space="preserve">Пояснення: п. 2  фактичний обсяг випадених атмосферних опадів. </t>
  </si>
  <si>
    <t xml:space="preserve">питома вага орієнтовного об'єму поверхневих стічних вод, що заплановано очистити до об'єму, що необхідно очистити </t>
  </si>
  <si>
    <t>Пояснення: п. 1 показник знизився в зв'язку з фактичним обсягом випадених атмосферних опадів.</t>
  </si>
  <si>
    <t>протяжність території, яку необхідно утримувати</t>
  </si>
  <si>
    <t xml:space="preserve">тис. м </t>
  </si>
  <si>
    <t>середні витрати на утримання 100 м території</t>
  </si>
  <si>
    <t>питома вага протяжності територій, що заплановано утримувати до протяжності території, що необхідно утримувати</t>
  </si>
  <si>
    <t>Завдання 11. Забезпечення діяльності комунального підприємства "Муніципальна дружина"</t>
  </si>
  <si>
    <t>Пояснення: п. 1 в зв'язку з неосвоєнням коштів капітальний ремонт спортивного майданчика не виконувався.</t>
  </si>
  <si>
    <t xml:space="preserve">Пояснення: п. 1 відповідно до Постанови 590 фінансування видатків спеціального фонду на  капітальний ремонт спортивних майданчика не здійснювалися. п. 2 виникла економія коштів.  </t>
  </si>
  <si>
    <t>Пояснення: п. 1 вирати не здійснювалися через неосвоєння коштів, п. 2 економія коштів.</t>
  </si>
  <si>
    <t>Пояснення: п. 1 показник не виконаний в зв'язку з тим, що роботи не проводилися.</t>
  </si>
  <si>
    <t>видатки на розробку дислокацій технічних засобів регулювання дорожнім рухом (схем ОДР) на вулично-шляховій (дорожній) мережі м. Хмельницького</t>
  </si>
  <si>
    <t>видатки на утримання підземних переходів - облаштування укриття в пішохідному переході в м-ні Ружична</t>
  </si>
  <si>
    <t>видатки на заготівлю протиожеледних матеріалів</t>
  </si>
  <si>
    <t>площа вулично-шляхової (дорожньої) мережі, на якій планується здійснити ліквідацію дрібних деформацій і пошкоджень</t>
  </si>
  <si>
    <t>площа вулиць, мостів, шляхопроводів (доріг, тротуарів), що планується  утримувати в належному стані протягом року</t>
  </si>
  <si>
    <t>ліквідація стихійних сміттєзвалищ на території ХМТГ</t>
  </si>
  <si>
    <t>поточний ремонт  пішохідної доріжки в районі будинку № 21 на вул. П. Мирного в м. Хмельницькому</t>
  </si>
  <si>
    <t>поточний ремонт зелених насаджень в поймі р. Південний Буг від вул Свободи до вул. Старокостянтинівське шосе (права сторона) в м. Хмельницький</t>
  </si>
  <si>
    <t xml:space="preserve">відсоток забезпеченості фінансовим ресурсом на проведення робіт з поточного ремонту об'єктів благоустрою до кількості обстежених об'єктів </t>
  </si>
  <si>
    <t>Завдання 9. Послуги з утримання територій загального користування</t>
  </si>
  <si>
    <t>Завдання 10. Проведення капітального ремонту об'єктів благоустрою</t>
  </si>
  <si>
    <t>капітальний ремонт спортивного майданчика</t>
  </si>
  <si>
    <t>кількість спортивних майданчиків, які планується відремонтувати</t>
  </si>
  <si>
    <t>витрати на ПКД на капітальний ремонт комунальних майданчиків для вигулу собак на території м. Хмельницького</t>
  </si>
  <si>
    <t>питома вага кількості об'єктів, які планується відремонтувати до загальної кількості, що потребують ремонту</t>
  </si>
  <si>
    <t>площа тротуарів, пішохідних доріжок, що необхідно та планується відремонтувати</t>
  </si>
  <si>
    <t>кількість схем ОДР, які планується розробити</t>
  </si>
  <si>
    <t>кількість укриттів, які планується облаштувати</t>
  </si>
  <si>
    <t>кількість протиожеледних матеріалів, які планується заготовити</t>
  </si>
  <si>
    <t>середні витрати на поточний ремонт 1 кв. м площі тротуарів, пішохідних доріжок</t>
  </si>
  <si>
    <t>середні витрати на розробку 1 од. схеми ОДР</t>
  </si>
  <si>
    <t>витрати на облаштування 1 укриття</t>
  </si>
  <si>
    <t>середні витрати на заготівлю 1 т протиожеледних матеріалів</t>
  </si>
  <si>
    <t>питома вага площі тротуарів, пішохідних доріжок, що заплановано відремонтувати до площі тротуарів, пішохідних доріжок, що необхідно відремонтувати</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</si>
  <si>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</si>
  <si>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</si>
  <si>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9.1. Аналіз показників бюджетної програми</t>
  </si>
  <si>
    <t>Василь КАБАЛЬСЬКИЙ</t>
  </si>
  <si>
    <t>(Власне ім'я, ПРІЗВИЩЕ)</t>
  </si>
  <si>
    <t>Наталія ФУР'ЯНОВА</t>
  </si>
  <si>
    <t>9.3. Аналіз стану виконання результативних показників</t>
  </si>
  <si>
    <t>Пояснення щодо причин розбіжностей між фактичними та затвердженими результативними показниками</t>
  </si>
  <si>
    <t>грн</t>
  </si>
  <si>
    <t>9.2. Пояснення щодо причин розбіжностей між фактичними та затвердженими результативними показниками***</t>
  </si>
  <si>
    <t>утримання зелених насаджень – знешкодження омели, обрізання крон дерев і кущів на території ХМТГ</t>
  </si>
  <si>
    <t>кількість зелених насаджень, на яких необхідно та планується знешкодження омели, обрізання крон</t>
  </si>
  <si>
    <t>службова записка відділу з благоустрою</t>
  </si>
  <si>
    <t>середні витрати на знешкодження омели, обрізання крон 1 зеленого насадження</t>
  </si>
  <si>
    <t>питома вага кількості зелених насаджень, на яких заплановано здійснювати знешкодження омели, обрізання крон до кількості, на яких необхідно здійснювати знешкодження омели, обрізання крон</t>
  </si>
  <si>
    <t>обсяг видатків, в т. ч.</t>
  </si>
  <si>
    <t>обсяг видатків на розробку проєктів земельних ділянок кладовищ ОТГ</t>
  </si>
  <si>
    <t>кількість проєктів земельних ділянок кладовищ ОТГ, які необхідно та планується розробити</t>
  </si>
  <si>
    <t>середні витрати на розробку 1 проекту земельної ділянки</t>
  </si>
  <si>
    <t xml:space="preserve">відсоток передбачених коштів на оплату електроенергії зовнішнього освітлення до обсягу необхідних коштів </t>
  </si>
  <si>
    <t xml:space="preserve">утримання біотуалетів </t>
  </si>
  <si>
    <t xml:space="preserve">кількість біотуалетів, які планується утримувати </t>
  </si>
  <si>
    <t>рішення виконавчого комітету</t>
  </si>
  <si>
    <t xml:space="preserve">середні витрати на утримання 1 біотуалету </t>
  </si>
  <si>
    <t>Програма забезпечення діяльності Хмельницького міського
комунального підприємства "Муніципальна дружина" на 2021 - 2022 роки</t>
  </si>
  <si>
    <t>Пояснення:  роботи виконані,  економія коштів по оплаті комунальних послуг, паливно- мастильних матеріалів.</t>
  </si>
  <si>
    <t>темп зменшення витрат на охорону ялинок порівняно з попереднім періодом</t>
  </si>
  <si>
    <t>Начальник відділу бухгалтерського обліку та звітності - головний бухгалтер</t>
  </si>
  <si>
    <t xml:space="preserve">1. </t>
  </si>
  <si>
    <t>0620</t>
  </si>
  <si>
    <t>2.</t>
  </si>
  <si>
    <t>3.</t>
  </si>
  <si>
    <t>Наказ Міністерства фінансів України</t>
  </si>
  <si>
    <t>26 серпня 2014 року № 836</t>
  </si>
  <si>
    <t>(у редакції наказу Міністерства фінансів України</t>
  </si>
  <si>
    <t>ЗАТВЕРДЖЕНО</t>
  </si>
  <si>
    <t>загальний фонд</t>
  </si>
  <si>
    <t>спеціальний фонд</t>
  </si>
  <si>
    <t>усього</t>
  </si>
  <si>
    <t>Затверджено у паспорті бюджетної  програми</t>
  </si>
  <si>
    <t>Відхилення</t>
  </si>
  <si>
    <t>6.</t>
  </si>
  <si>
    <t>Усього</t>
  </si>
  <si>
    <t>№ з/п</t>
  </si>
  <si>
    <t xml:space="preserve">7. </t>
  </si>
  <si>
    <t>Найменування місцевої/ регіональної програми</t>
  </si>
  <si>
    <t>Одиниця виміру</t>
  </si>
  <si>
    <t xml:space="preserve">Джерело інформації </t>
  </si>
  <si>
    <t>Показники</t>
  </si>
  <si>
    <t>(підпис)</t>
  </si>
  <si>
    <t xml:space="preserve">  Організація благоустрою населених пунктів</t>
  </si>
  <si>
    <t>Завдання 1. Збереження та утримання на належному рівні зеленої зони населеного пункту та поліпшення його екологічних умов</t>
  </si>
  <si>
    <t>Завдання 2. Забезпечення благоустрою кладовищ</t>
  </si>
  <si>
    <t>Завдання 3. Проведення поточного / капітального ремонту електричних мереж</t>
  </si>
  <si>
    <t>Завдання 5. Забезпечення утримання в належному технічному стані об’єктів дорожнього господарства</t>
  </si>
  <si>
    <t>Завдання 6. Послуги з постачання та транспортування природного газу для факелу "Вічний вогонь"</t>
  </si>
  <si>
    <t>Завдання 7. Проведення поточного ремонту та утримання об'єктів благоустрою</t>
  </si>
  <si>
    <t>Завдання 8. 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</si>
  <si>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обсяг видатків, в т.ч.:</t>
  </si>
  <si>
    <t>послуги по поточному ремонту та утриманню парків і скверів міста</t>
  </si>
  <si>
    <t>видатки на викошування борщівника Сосновського на території міста</t>
  </si>
  <si>
    <t>середні витрати на ремонт та обслуговання 1 об'єкту малої архітектурної форми</t>
  </si>
  <si>
    <t>рішення сесії міської ради</t>
  </si>
  <si>
    <t>титульний список</t>
  </si>
  <si>
    <t>грн.</t>
  </si>
  <si>
    <t>га</t>
  </si>
  <si>
    <t>од.</t>
  </si>
  <si>
    <t>акт обміру</t>
  </si>
  <si>
    <t>акт обстеження</t>
  </si>
  <si>
    <t>дефектний акт</t>
  </si>
  <si>
    <t>розрахунок</t>
  </si>
  <si>
    <t>розрахунково</t>
  </si>
  <si>
    <t>обсяг видатків</t>
  </si>
  <si>
    <t>загальна площа кладовищ, що необхідно утримувати</t>
  </si>
  <si>
    <t>площа кладовищ, яку планується утримувати</t>
  </si>
  <si>
    <t>середньорічні витрати на утримання 1 га кладовища</t>
  </si>
  <si>
    <t>питома вага площі кладовищ, що необхідно утримувати, до загальної площі кладовищ, що заплановано утримувати</t>
  </si>
  <si>
    <t>послуги по поточному ремонту та утриманню мереж зовнішнього освітлення</t>
  </si>
  <si>
    <t xml:space="preserve">освітлення міста </t>
  </si>
  <si>
    <t>акт інвентаризації</t>
  </si>
  <si>
    <t>обсяг споживання електроенергії на зовнішнє освітлення в рік</t>
  </si>
  <si>
    <t xml:space="preserve"> </t>
  </si>
  <si>
    <t>середні витрати на утримання об'єктів зовнішнього освітлення на 1 світлоточку</t>
  </si>
  <si>
    <t xml:space="preserve">середні витрати на споживання 1 кВт електроенергії </t>
  </si>
  <si>
    <t>темп зростання середніх витрат на утримання об'єктів зовнішнього освітлення порівняно з попереднім періодом</t>
  </si>
  <si>
    <t>виробнича програма</t>
  </si>
  <si>
    <t>регулювання чисельності тварин</t>
  </si>
  <si>
    <t>утримання бездоглядних тварин в притулку</t>
  </si>
  <si>
    <t>послуга збирання та зберігання небезпечних відходів для подальшої утилізації</t>
  </si>
  <si>
    <t>куб. м</t>
  </si>
  <si>
    <t xml:space="preserve">кількість небезпечних відходів, які планується зібрати </t>
  </si>
  <si>
    <t>т</t>
  </si>
  <si>
    <t>акт надання послуг</t>
  </si>
  <si>
    <t>середні витрати на регулювання чисельності тварин (на одиницю)</t>
  </si>
  <si>
    <t xml:space="preserve">середньомісячні витрати на утримання бездоглядних тварин в притулку </t>
  </si>
  <si>
    <t>середні витрати на збирання та зберігання 1 т небезпечних відходів для подальшої утилізації</t>
  </si>
  <si>
    <t>темп зростання середньомісячної суми утримання бездоглядних тварин в притулку порівняно з попереднім періодом</t>
  </si>
  <si>
    <t xml:space="preserve">видатки на безпеку руху </t>
  </si>
  <si>
    <t>тис. кв. м</t>
  </si>
  <si>
    <t>кількість  світлофорних об'єктів, які  планується  утримувати</t>
  </si>
  <si>
    <t>об'єкт</t>
  </si>
  <si>
    <t>площа дорожньої розмітки, яку планується нанести</t>
  </si>
  <si>
    <t xml:space="preserve">грн. </t>
  </si>
  <si>
    <t xml:space="preserve">середня вартість  утримання 100 кв.м  вулиць, доріг  в весняно-літній  період  </t>
  </si>
  <si>
    <t>середня вартість 1 кв.м дорожньої розмітки</t>
  </si>
  <si>
    <t>тис. куб. м</t>
  </si>
  <si>
    <t>охорона міських новорічних ялинок</t>
  </si>
  <si>
    <t>демонтаж незаконно встановлених малих архітектурних форм, зовнішньої реклами та білбордів</t>
  </si>
  <si>
    <t>кількість об'єктів благоустрою, які планується відремонтувати</t>
  </si>
  <si>
    <t>кількість контейнерних майданчиків, покриття яких необхідно відремонтувати</t>
  </si>
  <si>
    <t>кількість контейнерних майданчиків, покриття яких планується відремонтувати</t>
  </si>
  <si>
    <t>кількість МАФ, які планується демонтувати</t>
  </si>
  <si>
    <t>витрати на охорону 1 новорічної ялинки</t>
  </si>
  <si>
    <t>середня вартість поточного ремонту 1 об'єкту благоустрою</t>
  </si>
  <si>
    <t>середня вартість поточного ремонту покриття 1 контейнерного майданчика</t>
  </si>
  <si>
    <t>послуги з утримання дренажних насосних станцій вул. Саварчука, Вокзальній, пров. Зенітному</t>
  </si>
  <si>
    <t xml:space="preserve">оплата послуг МКП "Хмельницькводоканал" з очищення поверхневих стічних вод, які утворюються внаслідок випадання атмосферних опадів та потрапляють в господарсько-побутову каналізацію замість зливової </t>
  </si>
  <si>
    <t>кількість насосних станцій, що утримуються</t>
  </si>
  <si>
    <t>об'єм поверхневих стічних вод, що необхідно та планується очистити</t>
  </si>
  <si>
    <t xml:space="preserve">середні видатки на утримання 1 дренажної станції </t>
  </si>
  <si>
    <t>посадка нових зелених насаджень</t>
  </si>
  <si>
    <t>об'єм аварійних дерев, що потрібно та планується видалити</t>
  </si>
  <si>
    <t>кількість нових зелених насаджень, що необхідно та планується посадити</t>
  </si>
  <si>
    <t>кількість проектів землеустрою, які необхідно та планується розробити</t>
  </si>
  <si>
    <t>лист-звернення</t>
  </si>
  <si>
    <t>середні витрати на видаленя 1 куб. м дерева</t>
  </si>
  <si>
    <t>середні витрати на посадку 1 зеленого насадження</t>
  </si>
  <si>
    <t>середні витрати на розробку 1 проекту землеустрою</t>
  </si>
  <si>
    <t xml:space="preserve">обсяг видатків </t>
  </si>
  <si>
    <t xml:space="preserve">кількість працівників </t>
  </si>
  <si>
    <t>штатний розклад</t>
  </si>
  <si>
    <t>середньорічні витрати на заробітну плату 1 працівника</t>
  </si>
  <si>
    <t>середньорічні витрати на комунальні послуги на 1 працівника</t>
  </si>
  <si>
    <t>середньорічні витрати на придбання матеріалів, обладнання на 1 працівника</t>
  </si>
  <si>
    <t>затрат</t>
  </si>
  <si>
    <t>продукту</t>
  </si>
  <si>
    <t>ефективності</t>
  </si>
  <si>
    <t>якості</t>
  </si>
  <si>
    <t>ЗВІТ</t>
  </si>
  <si>
    <t>про виконання паспорта бюджетної програми</t>
  </si>
  <si>
    <t>4.</t>
  </si>
  <si>
    <t>Цілі державної політики, на досягнення яких спрямована реалізація бюджетної програми</t>
  </si>
  <si>
    <t>Ціль державної політики</t>
  </si>
  <si>
    <t>5.</t>
  </si>
  <si>
    <t>Мета бюджетної програми</t>
  </si>
  <si>
    <t>Завдання бюджетної програми</t>
  </si>
  <si>
    <t xml:space="preserve">Завдання </t>
  </si>
  <si>
    <t xml:space="preserve">Видатки (надані кредити з бюджету) та напрями використання бюджетних коштів за бюджетною програмою </t>
  </si>
  <si>
    <t>Створення сприятливого для життєдіяльності людини довкілля, збереження і охорону навколишнього середовища, забезпечення санітарного благополуччя населення</t>
  </si>
  <si>
    <t>Забезпечення благоустрою кладовищ</t>
  </si>
  <si>
    <t>гривень</t>
  </si>
  <si>
    <t>Послуги по санітарному очищенню і прибирання міста</t>
  </si>
  <si>
    <t>Забезпечення утримання в належному технічному стані об’єктів дорожнього господарства</t>
  </si>
  <si>
    <t>Послуги з постачання та транспортування природного газу для факелу "Вічний вогонь"</t>
  </si>
  <si>
    <t>Проведення поточного ремонту та утримання об'єктів благоустрою</t>
  </si>
  <si>
    <t>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</si>
  <si>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Послуги з утримання територій загального користування</t>
  </si>
  <si>
    <t>Проведення капітального ремонту об'єктів благоустрою</t>
  </si>
  <si>
    <t>Результативні показники бюджетної програми та аналіз їх виконання</t>
  </si>
  <si>
    <t>Підвищення рівня благоустрою міста</t>
  </si>
  <si>
    <t>обсяг території, яку необхідно та планується обслуговувати (парки, сквери, квітники, зелені зони, прибережні смуги, ін.)</t>
  </si>
  <si>
    <t>кількість обєктів малих архітектурних форм, що необхідно та планується ремонтувати та обслуговувати</t>
  </si>
  <si>
    <t>площа борщівника Сосновського, що необхідно та планується викошувати</t>
  </si>
  <si>
    <t>середні витрати на 1 га території, що обслуговується на рік</t>
  </si>
  <si>
    <t>середні витрати на 1 га площі викошування борщівника Сосновського</t>
  </si>
  <si>
    <t xml:space="preserve">питома вага обсягу території, що заплановано обслуговувати до обсягу, що необхідно обслуговувати  </t>
  </si>
  <si>
    <t xml:space="preserve">питома вага кількості МАФ, що заплановано ремонтувати та обслуговувати до кількості, що необхідно ремонтувати та обслуговувати </t>
  </si>
  <si>
    <t xml:space="preserve">питома вага площі викошування борщівника, що заплановано викосити до площі, що  необхідно викосити </t>
  </si>
  <si>
    <t xml:space="preserve">питома вага об'єму аварійних дерев, що заплановано видалити до об'єму дерев, що необхідно видалити </t>
  </si>
  <si>
    <t xml:space="preserve">питома вага кількості зелених насаджень, що заплановано висадити до кількості, що необхідно висадити </t>
  </si>
  <si>
    <t xml:space="preserve">питома вага кількості проектів землеустрою, що заплановано розробити до кількості, що необхідно розробити </t>
  </si>
  <si>
    <t xml:space="preserve">кількість світлоточок, які знаходяться на утриманні та плануєтьтся утримувати, здійснювати поточний ремонт </t>
  </si>
  <si>
    <t>10. Узагальнений висновок про виконання бюджетної програми.</t>
  </si>
  <si>
    <t>проведення просвітницької діяльності, спрямованої на підвищення рівня екологічної свідомості громадян</t>
  </si>
  <si>
    <t>обсяг видатків (в т.ч. оплата за послуги з постачання та розподілу природного газу для факелу "Меморіал Слави")</t>
  </si>
  <si>
    <t xml:space="preserve">перелік контейнерних майданчиків з місцем для складування негабаритних відходів </t>
  </si>
  <si>
    <t xml:space="preserve">витрати на проведення просвітницької діяльності </t>
  </si>
  <si>
    <t xml:space="preserve">питома вага кількості контейнерних майданчиків, на яких заплановано відремонтувати покриття до кількості контейнерних майданчиків, на яких необхідно відремонтувати покриття </t>
  </si>
  <si>
    <t>кількість протоколів про адміністративні правопорушення, що планується скласти в поточному році</t>
  </si>
  <si>
    <t>кількість протоколів про адміністративні правопорушення, що планується скласти в поточному році на 1 працівника</t>
  </si>
  <si>
    <t>динаміка кількості протоколів про адміністративні правопорушення, що планується скласти в поточному році до кількості складених протоколів про адміністративні правопорушення порівняно з попереднім роком</t>
  </si>
  <si>
    <t>Касові видатки (надані кредити з бюджету)</t>
  </si>
  <si>
    <t xml:space="preserve">Програма популяризації та ефективного впровадження програм у сфері житлово-комунального господарства на 2019 – 2023 роки </t>
  </si>
  <si>
    <t xml:space="preserve"> продукту</t>
  </si>
  <si>
    <t xml:space="preserve"> якості</t>
  </si>
  <si>
    <t xml:space="preserve"> затрат</t>
  </si>
  <si>
    <t xml:space="preserve"> ефективності</t>
  </si>
  <si>
    <t>(найменування головного розпорядника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</si>
  <si>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</si>
  <si>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</si>
  <si>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Фунціональної  класифікації видатків  та кредитування бюджету)</t>
  </si>
  <si>
    <t>(найменування відповідального виконавця)</t>
  </si>
  <si>
    <t>(найменування бюджетної програми згідно з Типовою програмною класифікацією видатків та кредитування місцевого бюджету)</t>
  </si>
  <si>
    <t>03356163</t>
  </si>
  <si>
    <t>(код за ЄДРПОУ)</t>
  </si>
  <si>
    <t>(код бюджету)</t>
  </si>
  <si>
    <t>Фактичні результативні показники, досягнуті за рахунок касових видатків (наданих кредитів з бюджету)</t>
  </si>
  <si>
    <t>8.</t>
  </si>
  <si>
    <t>Видатки (надані кредити з бюджету) на реалізацію місцевих/ регіональних програм, які виконуються в межах бюджетної програми</t>
  </si>
  <si>
    <t xml:space="preserve">9. </t>
  </si>
  <si>
    <t>тис. кВт</t>
  </si>
  <si>
    <t>поточний ремонт малих архітектурних споруд - паркан на пров. Проїзному в м. Хмельницькому</t>
  </si>
  <si>
    <t xml:space="preserve">утримання бездоглядних тварин в притулку </t>
  </si>
  <si>
    <t>В. о. начальника управління комунальної інфраструктури</t>
  </si>
  <si>
    <t xml:space="preserve">середня вартість  утримання 100 кв.м  вулиць, доріг  в осіньо - зимовий період  </t>
  </si>
  <si>
    <t xml:space="preserve">Пояснення: фактичне використання коштів згідно рахунків за спожиті послуги. </t>
  </si>
  <si>
    <t>Пояснення: фактичне використання коштів відповідно до актів виконаних робіт.</t>
  </si>
  <si>
    <t>Управління комунальної інфраструктури Хмельницької міської ради</t>
  </si>
  <si>
    <t>22564000000</t>
  </si>
  <si>
    <t>темп зростання середньої вартості утримання  1 кв. м  вулиць, доріг в весняно-літній  період  в порівнянні з попереднім роком</t>
  </si>
  <si>
    <t>рази</t>
  </si>
  <si>
    <t>кількість природного газу, який постачається до факелу "Вічний вогонь"</t>
  </si>
  <si>
    <t xml:space="preserve">середні витрати 1 куб м природного газу, який постачається до факелу "Вічний вогонь" </t>
  </si>
  <si>
    <t>темп зростання середніх витрат на природний газ, який постачається до факелу "Вічний вогонь" порівняно з попереднім роком</t>
  </si>
  <si>
    <t xml:space="preserve">поточний ремонт об’єктів благоустрою (улаштування контейнерних майданчиків по місту) </t>
  </si>
  <si>
    <t>капітальний ремонт комунальних майданчиків для вигулу собак на території м. Хмельницького (в т.ч. ПКД, експертиза)</t>
  </si>
  <si>
    <t xml:space="preserve">кількість проєктно-кошторисної документації, яку планується виготовити </t>
  </si>
  <si>
    <t>Програма утримання та розвитку житлово-комунального господарства та благоустрою Хмельницької міської територіальної громади  на 2017-2021 роки (зі змінами)</t>
  </si>
  <si>
    <t xml:space="preserve">Пояснення: динаміка зменшилася за рахунок того, що фактична кількість протоколів менша ніж планувалася. </t>
  </si>
  <si>
    <t>Пояснення: недоосвоєння коштів пов'язане з зменшенням витрат на зимове прибирання територій старостинських округів через малу кількість снігових опадів.</t>
  </si>
  <si>
    <t>Завдання 4. Послуги по санітарному очищенню і прибирання Хмельницької МТГ</t>
  </si>
  <si>
    <t>від 01 листопада 2022 року № 359)</t>
  </si>
  <si>
    <t>місцевого бюджету на 01.01.2023 року</t>
  </si>
  <si>
    <t>7.1. Аналіз розділу «Видатки (надані кредити з бюджету) та напрями використання бюджетних коштів за бюджетною програмою»</t>
  </si>
  <si>
    <t>видатки на  утримання вулично-шляхової (дорожньої) мережі</t>
  </si>
  <si>
    <t>Напрями використання бюджетних коштів*</t>
  </si>
  <si>
    <t xml:space="preserve">заходи з поточного ремонту та утримання зелених насаджень </t>
  </si>
  <si>
    <t>темп зростання/ зменшення середньої  вартості ліквідації дрібних деформацій і пошкоджень 1 кв.м. вулично-шляхової (дорожньої) мережі в порівнянні з попереднім періодом</t>
  </si>
  <si>
    <t>темп зростання/ зменшення середньої вартості утримання 1 кв. м  вулиць, доріг  в осінньо-зимовий період в порівнянні з попереднім роком</t>
  </si>
  <si>
    <t>Пояснення: п. 1 зросла кількість світлоточок згідно проведеної інвентарізації та затвердженої загальної інвентарної відомості станом на 1 грудня 2022 року, п. 2 зменшення обсягу споживання електроенергії у зв'язку з її відключенням в період воєнного стану.</t>
  </si>
  <si>
    <t>Виконання бюджетної програми становить 94,2 % до затверджених призначень в 2022 р.</t>
  </si>
  <si>
    <t>Пояснення:  п.1-2, фактичне використання коштів відповідно до актів виконаних робіт, п. 3 економія коштів,  п. 4 в зв'язку з тим, що відповідно до Постанови 590 фінансування видатків загального фонду на розробку схем ОДР не здійснювалися, п. 5 економія коштів відповідно до актів виконаних робіт,  п. 6 недоосвоєння коштів в зв'язку з  перемішуванням не повного обсягу протиожиледних матеріалів</t>
  </si>
  <si>
    <t>Пояснення: п.1 фактично виконано більший обсяг робіт ніж заплановано в зв'яку із збільшенням ямковості вулично-дорожньої мережі та застосуванням суцільного та струменевого методів на деяких об'єктах. 2  в зв'язку із значним погіршенням погодніх умов в зимовий період в 2022 р. було відпрацьовано більше годин роботи техніки, що вплинуло на збільшення обсягів робіт та збільшення кратності виконання робіт з утримання вулично-дорожньої мережі, п. 6 роботи не виконані в зв'язку з неосвоєнням коштів,  п. 8 в зв'язку з підвищенням вартості заготовлено меншу кількість протиожиледних матеріалів.</t>
  </si>
  <si>
    <t>Пояснення:  п. 1 середня вартість поточного ремонту 1 кв.м вулично-дорожньої мережі змінилась в звя'зку із здійсненням поточного ремонту вулично-дорожньої мережі струменевим методом на деяких об'єктах. п. 2 середня вартість утримання 100 кв. м вулиць, доріг в осіньо-зимовий за рахунок збільшення площі прибирання механізованим способом, що вплинуло на зниження середньої вартості  п. 3 весняно-літній періоди змінилась за рахунок зменшення робіт механізованим способом порівняно з запланованим, п. 4 середня вартість утримання 1 світлофорного об'єкту змінилась за рахунок зменшення кратності обслуговування світлофорів в звязку з введенням комендатської години в період воєнного стану (обслуговування світлофорів дільницею СМЕД не здійснювалися в нічну пору доби), п. 6 фактичні витрати відповідно до актів виконаних робіт, п. 7 витрати не здійснені в зв'язку з неосвоєнням коштів,  п. 8 економія коштів відповідно до актів виконаних робіт, п. 9 в зв'язку з підвищенням вартості протиожиледних матеріалів</t>
  </si>
  <si>
    <t xml:space="preserve">Пояснення: п. 1 фактичні витрати відповідно до актів виконаних робіт, п. 2 освоєння коштів відповідно до фактичного обсягу випадених атмосферних опадів  </t>
  </si>
  <si>
    <t>Пояснення: п. 1 фактичні витрати відповідно до актів виконаних робіт.</t>
  </si>
  <si>
    <t>Пояснення: п. 3 фактичне використання коштів відповідно до актів виконаних робіт, економія коштів за рахунок зменшення обсягу споживання електроенергії у зв'язку з її відключенням в період воєнного стану.</t>
  </si>
  <si>
    <t>Пояснення:  п. 2 зміни за рахунок фактичних витрат на оплату електроенергії зовнішнього освітлення міста.</t>
  </si>
  <si>
    <t>Пояснення: п. 1 середні витрати змінились у зв'язку із збільшенням кількості світлоточок згідно затвердженої інвентарної відомості, п. 2 середні витрати відрізняються в зв'язку з підвищенням вартості електроенергії.</t>
  </si>
  <si>
    <t xml:space="preserve">Пояснення: п. 1, 2  - середні витрати відрізняються від затверджених в зв'язку з економією коштів, п. 3, 4, 5 - в зв'язку з зростанням вартості матеріалів, п. 6, 7 витрати не здійснені в зв'язку з неосвоєнням коштів.  </t>
  </si>
  <si>
    <t>Пояснення: п. 3 фактичний обсяг викошування борщівника Сосновського відповідно до актів виконаних робіт, п. 4 фактична кількість зелених насаджень, на яких здійснювалося знешкодження омели, обрізання крон відповідно до актів виконаних робіт,  п. 5 фактичний обсяг видалених аварійних дерев відповідно до актів виконаних робіт, п. 6, 7 роботи не виконані в зв'язку з неосвоєнням коштів.</t>
  </si>
  <si>
    <t>Пояснення: недоосвоєння коштів, відповідно до Постанови № 590 від 09.06.2021 р. "Про затвердження Порядку виконання повноважень Державною казначейською службою в особливому режимі в умовах воєнного стану" фінансування видатків загального фонду на посадка нових зелених насаджень, розробку проектів землеустрою не здійснювалися.</t>
  </si>
  <si>
    <t>Пояснення: недоосвоєння коштів, відповідно до Постанови № 590 фінансування видатків загального фонду на розробку проектів землеустрою не здійснювалися.</t>
  </si>
  <si>
    <t>Пояснення: економія коштів за рахунок зменшення обсягу споживання електроенергії у зв'язку з її відключенням в період воєнного стану.</t>
  </si>
  <si>
    <t>Пояснення: п. 2. економія коштів відповідно до акту виконаних робіт,  п. 3 недоосвоєння коштів фонду оплати праці та нарахування на оплату праці в зв'язку з вакантною посадою підсобного працівника, завідувача притулку, зменшення фактичних витрат на оплату електроенергії в порівняні з запланованими витратами, недоосвоєння коштів на придбання кормів для тварин, в звязку з тим, що договір був укладений з 12 січня 2022, п. 4 не повне освоєння коштів за рахунок зменшення пробігу екобусу в зв'язку з тим, що в березні-квітні не виїждав на локації, з травня по жовтень знаходився на 2  локаціях, виїзд на локації, які розташовані в територіальних громадах не здійснювалися, п. 5 економія коштів відповідно до акту виконаних робіт.</t>
  </si>
  <si>
    <t xml:space="preserve">Пояснення: не повне освоєння коштів по виконанню послуги збирання та зберігання небезпечних відходів для подальшої утилізації за рахунок зменшення пробігу екобусу, недоосвоєння коштів на утримання бездоглядних тварин в притулку. </t>
  </si>
  <si>
    <t>Пояснення: недоосвоєння коштів, відповідно до Постанови № 590 від 09.06.2021 р. "Про затвердження Порядку виконання повноважень Державною казначейською службою в особливому режимі в умовах воєнного стану" фінансування видатків загального фонду на поточний ремонт об’єктів благоустрою (улаштування контейнерних майданчиків по місту), демонтаж незаконно встановлених МАФ, зовнішньої реклами та білбордів не здійснювалися.</t>
  </si>
  <si>
    <t>Пояснення: п. 1 фактичне використання коштів відповідно до актів виконаних робіт, п.2 освоєння коштів відповідно до фактичного обсягу випадених атмосферних опадів.</t>
  </si>
  <si>
    <t>Пояснення: недоосвоєння коштів, відповідно до Постанови 590 фінансування видатків спеціального фонду на  капітальний ремонт спортивних майданчика не здійснювалися.</t>
  </si>
  <si>
    <t>Пояснення: п. 1 недоосвоєння коштів в зв'язку з тим, що монтаж новорічної ялинки в грудні 2022 року не здійснювався, п. 2 відповідно до Постанови 590 фінансування видатків загального фонду на поточний ремонт об’єктів благоустрою (улаштування контейнерних майданчиків по місту) не здійснювалися,  п. 3,6,7 економія коштів, п. 4   відповідно до Постанови 590 фінансування видатків загального фонду на демонтаж незаконно встановлених МАФ, зовнішньої реклами та білбордів не здійснювалися, п. 5 неосвоєння коштів в зв'язку з відсутністю необхідності виготовлення додаткової інформаційної продукції, п. 8 за результатами проведення тендерних закупівель виникла економія коштів.</t>
  </si>
  <si>
    <t xml:space="preserve">Пояснення: п. 1 економія коштів по виплаті заробітної плати в зв'язку з тим, що 14 працівників підприємства несуть службу в ЗСУ, економія по оплаті комунальних послуг, крім того недоосвоєння коштів в зв'язку тим, що відповідно до Постанови 590 фінансування видатків загального фонду на придбання форменного одягу не здійснювалося.  </t>
  </si>
  <si>
    <t xml:space="preserve">Пояснення:  фактично складено меншу кількість протоколів про адмінпорушення на 1 інспектора через те, що в зв'язку з введенням військового стану в Україні інспектори були задіяні для забезпечення громадського порядку на добровольчих формуваннях, охорони і оборони об'єктів критичної інфраструктури визначених рішенням Хмельницької обласної віійськової адміністрації. </t>
  </si>
  <si>
    <t xml:space="preserve">Пояснення: п 1. фактично складено меншу кількість протоколів про адмінпорушення на 1 інспектора в зв'язку з тим, що в 2022 році на складання адмінпротоколів було уповноважено  менше інспекторів, інші інспектори були задіяні для забезпечення громадського порядку на добровольчих формуваннях, охорони і оборони об'єктів критичної інфраструктури; п. 2  економія коштів по виплаті заробітної плати в зв'язку з тим, що 14 працівників підприємства несуть службу в ЗСУ; п. 3 економія коштів по оплаті комунальних послуг; п. 4 недоосвоєння коштів оскільки не здійснювалося придбання форменного одягу. </t>
  </si>
  <si>
    <t>Пояснення: п. 1 показник знизився в зв'язку з недоосвоєнням коштів, п. 2 показник знизився в зв'язку з неосвоєнням коштів по 1 об'єкту, п. 3-4 в зв'язку з неосвоєнням коштів показники не виконані.</t>
  </si>
  <si>
    <t>Пояснення: п. 1 за результатами проведених тендерних закупівель виникла економія коштів.</t>
  </si>
  <si>
    <t>Пояснення: 1) Пояснення: п. 2, 3 в зв'язку з тим, що з 01.04.2022 року КП по зеленому будівництву і благоустрою міста, КП "Парки і сквери міста Хмельницького" перейшли на спрощену систему оподаткування в період воєнного стану, виникла економія коштів,  п. 4, 5 економія коштів, роботи виконані  відповідно до актів виконаних робіт, п. 6 з початку введееня воєнного стану та  відповідно до Постанови 590 фінансування видатків загального фонду на поточний ремонт зелених насаджень - видалення окремих засохлих та пошкоджених дерев не здійснювалися, можливість виконання робіт в з'явилася в ІІІ кварталі 2022 року, що вплинуло на неосвоєння коштів, п. 7 відповідно до Постанови 590 здійснююється фінансування видатків загального фонду на придбання насіннєвого матеріалу та зважаючи на те, що планувалася посадка багаторічних рослин кошти не освоїлися,  п.8 відповідно до Постанови 590 фінансування видатків загального фонду на розробку проектів землеустрою не здійснювалися.</t>
  </si>
  <si>
    <t xml:space="preserve">Пояснення: п. 1 зміни у витратах в зв'язку з фактичним виконанням робіт. </t>
  </si>
  <si>
    <t xml:space="preserve">Аналіз стану виконання результативних показників: в зв'язку з тим, шо відповідно до Постанови 590 фінансування видатків загального та спеціального фондів на вищезазначені роботи не здійснювалися, виникло недоосвоєння коштів, що в результаті вплинуло на виконання результативнх показників в не повному обсязі.  </t>
  </si>
  <si>
    <t>середні витрати на утримання 1 кв. м площі території</t>
  </si>
  <si>
    <t>площа території, яку планується утримувати</t>
  </si>
  <si>
    <t xml:space="preserve">тис. кв. м </t>
  </si>
  <si>
    <t>Пояснення: п. 1 зміни відповідно до фактичноих обсягів робіт.</t>
  </si>
  <si>
    <t>Пояснення: п. 1 зміни у обсягах утримання територій загального користування (в зв'язку з зменшенням обсягів зимового прибирання територій старостинських округів через малу кількість снігових опадів).</t>
  </si>
  <si>
    <t>Примітка: в зв'язку з виконанням двох видів робіт (1 - косіння трави в місцях загального користування, 2 - систематичне очищення вулично-шляхової мережі від снігу) доцільно відобразити фактичні обсяги робіт в розрізі їх видів.</t>
  </si>
  <si>
    <t>Завдання 3. Проведення поточного ремонту електричних мереж</t>
  </si>
  <si>
    <t>Завдання 11. Виконання заходів Програми забезпечення діяльності комунального підприємства "Муніципальна дружина "</t>
  </si>
  <si>
    <t>Збереження та утримання на належному рівні зеленої зони населеного пункту та поліпшення його екологічних умов</t>
  </si>
  <si>
    <t>Проведення поточного ремонту електричних мереж</t>
  </si>
  <si>
    <t>Виконання заходів Програми забезпечення діяльності комунального підприємства "Муніципальна дружина"</t>
  </si>
  <si>
    <t>питома вага кількість проєктів земельних ділянок кладовищ ОТГ, які необхідно розробити до кількості, які планується розробити</t>
  </si>
  <si>
    <t>Пояснення: п. 1, 2 фактично зазначена площа на якій здійснювалися роботи, в планових показниках - загальна площа кладовищ, п. 3 роботи не виконані в зв'язку з неосвоєнням коштів.</t>
  </si>
  <si>
    <t xml:space="preserve">Пояснення: п. 1 - середні витрати змінилися відповідно до фактичної площі, яка утримувалася (здійснювалися роботи), п. 2 витрати не здійснені в зв'язку з неосвоєнням коштів.  </t>
  </si>
  <si>
    <t>Пояснення: п. 2 в зв'язку з неосвоєнням коштів.</t>
  </si>
  <si>
    <t xml:space="preserve">послуги по поточному ремонту та утриманню зелених насаджень, штучних споруд та малих архітектурних форм міста </t>
  </si>
  <si>
    <t>утримання зелених насаджень – видалення аварійних дерев на території ХМТГ</t>
  </si>
  <si>
    <t>розроблення матеріалів про надання дозволів на розробку проектів землеустрою та розроблення проектів землеустрою щодо відведення земельних ділянок</t>
  </si>
  <si>
    <t xml:space="preserve">розчистка водовідвідних каналів по місту </t>
  </si>
  <si>
    <t>відсоток кількості МАФ, що необхідно демонтувати до кількості, згідно яких винесено рішення про їх демонтаж</t>
  </si>
  <si>
    <t>вартість капітального ремонту 1  спортивного майданчика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</si>
</sst>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2" formatCode="#,##0.000"/>
    <numFmt numFmtId="173" formatCode="#,##0.0"/>
    <numFmt numFmtId="174" formatCode="0.0"/>
    <numFmt numFmtId="175" formatCode="0.000"/>
  </numFmts>
  <fonts count="25" x14ac:knownFonts="1">
    <font>
      <sz val="11"/>
      <color theme="1"/>
      <name val="Calibri"/>
      <family val="2"/>
      <charset val="204"/>
      <scheme val="minor"/>
    </font>
    <font>
      <sz val="10"/>
      <name val="Arial Cyr"/>
      <charset val="204"/>
    </font>
    <font>
      <sz val="12"/>
      <name val="Times New Roman"/>
      <family val="1"/>
      <charset val="204"/>
    </font>
    <font>
      <sz val="10"/>
      <color indexed="8"/>
      <name val="Times New Roman"/>
      <family val="1"/>
      <charset val="204"/>
    </font>
    <font>
      <sz val="10"/>
      <name val="Times New Roman"/>
      <family val="1"/>
      <charset val="204"/>
    </font>
    <font>
      <sz val="8"/>
      <name val="Arial"/>
      <family val="2"/>
      <charset val="204"/>
    </font>
    <font>
      <sz val="8"/>
      <name val="Times New Roman"/>
      <family val="1"/>
      <charset val="204"/>
    </font>
    <font>
      <sz val="11"/>
      <color indexed="8"/>
      <name val="Times New Roman"/>
      <family val="1"/>
      <charset val="204"/>
    </font>
    <font>
      <b/>
      <sz val="12"/>
      <name val="Times New Roman"/>
      <family val="1"/>
      <charset val="204"/>
    </font>
    <font>
      <sz val="12"/>
      <color indexed="8"/>
      <name val="Times New Roman"/>
      <family val="1"/>
      <charset val="204"/>
    </font>
    <font>
      <sz val="11"/>
      <color indexed="8"/>
      <name val="Times New Roman"/>
      <family val="1"/>
      <charset val="204"/>
    </font>
    <font>
      <sz val="11"/>
      <name val="Times New Roman"/>
      <family val="1"/>
      <charset val="204"/>
    </font>
    <font>
      <b/>
      <sz val="9"/>
      <color indexed="81"/>
      <name val="Tahoma"/>
      <family val="2"/>
      <charset val="204"/>
    </font>
    <font>
      <sz val="9"/>
      <color indexed="81"/>
      <name val="Tahoma"/>
      <family val="2"/>
      <charset val="204"/>
    </font>
    <font>
      <sz val="8"/>
      <name val="Calibri"/>
      <family val="2"/>
      <charset val="204"/>
    </font>
    <font>
      <sz val="11"/>
      <color indexed="8"/>
      <name val="Calibri"/>
      <family val="2"/>
      <charset val="204"/>
    </font>
    <font>
      <b/>
      <sz val="11"/>
      <color indexed="8"/>
      <name val="Times New Roman"/>
      <family val="1"/>
      <charset val="204"/>
    </font>
    <font>
      <sz val="12"/>
      <color indexed="8"/>
      <name val="Calibri"/>
      <family val="2"/>
      <charset val="204"/>
    </font>
    <font>
      <sz val="9"/>
      <color indexed="81"/>
      <name val="Tahoma"/>
      <family val="2"/>
      <charset val="204"/>
    </font>
    <font>
      <b/>
      <sz val="9"/>
      <color indexed="81"/>
      <name val="Tahoma"/>
      <family val="2"/>
      <charset val="204"/>
    </font>
    <font>
      <b/>
      <sz val="12"/>
      <color indexed="8"/>
      <name val="Times New Roman"/>
      <family val="1"/>
      <charset val="204"/>
    </font>
    <font>
      <sz val="12"/>
      <name val="Arial"/>
      <family val="2"/>
      <charset val="204"/>
    </font>
    <font>
      <sz val="10"/>
      <name val="Arial"/>
      <family val="2"/>
      <charset val="204"/>
    </font>
    <font>
      <sz val="11"/>
      <color indexed="36"/>
      <name val="Times New Roman"/>
      <family val="1"/>
      <charset val="204"/>
    </font>
    <font>
      <sz val="12"/>
      <color indexed="8"/>
      <name val="Calibri"/>
      <family val="2"/>
      <charset val="204"/>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22" fillId="0" borderId="0"/>
    <xf numFmtId="0" fontId="5" fillId="0" borderId="0">
      <alignment horizontal="left"/>
    </xf>
    <xf numFmtId="0" fontId="5" fillId="0" borderId="0">
      <alignment horizontal="left"/>
    </xf>
    <xf numFmtId="0" fontId="1" fillId="0" borderId="0"/>
  </cellStyleXfs>
  <cellXfs count="519">
    <xf numFmtId="0" fontId="0" fillId="0" borderId="0" xfId="0"/>
    <xf numFmtId="4"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4" fontId="9" fillId="0" borderId="1" xfId="0" applyNumberFormat="1" applyFont="1" applyFill="1" applyBorder="1" applyAlignment="1">
      <alignment horizontal="center" vertical="center"/>
    </xf>
    <xf numFmtId="0" fontId="2" fillId="0" borderId="2" xfId="3" applyFont="1" applyFill="1" applyBorder="1" applyAlignment="1">
      <alignment horizontal="left" vertical="center" wrapText="1"/>
    </xf>
    <xf numFmtId="0" fontId="2" fillId="0" borderId="3" xfId="3" applyFont="1" applyFill="1" applyBorder="1" applyAlignment="1">
      <alignment horizontal="left" vertical="center" wrapText="1"/>
    </xf>
    <xf numFmtId="0" fontId="2" fillId="0" borderId="1" xfId="3"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3" applyFont="1" applyFill="1" applyBorder="1" applyAlignment="1">
      <alignment horizontal="left" vertical="center" wrapText="1"/>
    </xf>
    <xf numFmtId="0" fontId="8" fillId="0" borderId="3" xfId="0" applyFont="1" applyFill="1" applyBorder="1" applyAlignment="1">
      <alignment horizontal="left" vertical="center" wrapText="1"/>
    </xf>
    <xf numFmtId="0" fontId="10" fillId="0" borderId="0" xfId="0" applyFont="1" applyFill="1"/>
    <xf numFmtId="0" fontId="10" fillId="0" borderId="5" xfId="0" applyFont="1" applyFill="1" applyBorder="1"/>
    <xf numFmtId="0" fontId="10" fillId="0" borderId="0" xfId="0" applyFont="1" applyFill="1" applyAlignment="1">
      <alignment horizontal="left"/>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Alignment="1"/>
    <xf numFmtId="4" fontId="10" fillId="0" borderId="1"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2" fillId="0" borderId="0" xfId="3" applyFont="1" applyFill="1" applyAlignment="1"/>
    <xf numFmtId="0" fontId="10" fillId="0" borderId="6" xfId="0" applyFont="1" applyFill="1" applyBorder="1" applyAlignment="1">
      <alignment horizontal="center" vertical="center" wrapText="1"/>
    </xf>
    <xf numFmtId="0" fontId="10" fillId="0" borderId="0" xfId="0" applyFont="1" applyFill="1" applyBorder="1"/>
    <xf numFmtId="0" fontId="10" fillId="0" borderId="7"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xf>
    <xf numFmtId="0" fontId="10" fillId="0" borderId="0" xfId="0" applyFont="1" applyFill="1" applyBorder="1" applyAlignment="1">
      <alignment vertical="center"/>
    </xf>
    <xf numFmtId="0" fontId="10" fillId="0" borderId="4" xfId="0" applyFont="1" applyFill="1" applyBorder="1" applyAlignment="1">
      <alignment horizontal="left" wrapText="1"/>
    </xf>
    <xf numFmtId="0" fontId="10" fillId="0" borderId="0" xfId="0" applyFont="1" applyFill="1" applyAlignment="1">
      <alignment wrapText="1"/>
    </xf>
    <xf numFmtId="0" fontId="10" fillId="0" borderId="0" xfId="0" applyFont="1" applyFill="1" applyBorder="1" applyAlignment="1">
      <alignment horizontal="center"/>
    </xf>
    <xf numFmtId="2" fontId="7" fillId="0" borderId="1" xfId="0" applyNumberFormat="1" applyFont="1" applyFill="1" applyBorder="1" applyAlignment="1">
      <alignment vertical="center" wrapText="1"/>
    </xf>
    <xf numFmtId="4" fontId="10" fillId="0" borderId="1" xfId="0" applyNumberFormat="1" applyFont="1" applyFill="1" applyBorder="1"/>
    <xf numFmtId="0" fontId="10" fillId="0" borderId="1" xfId="0" applyFont="1" applyFill="1" applyBorder="1"/>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4" fontId="10" fillId="0" borderId="1" xfId="0" applyNumberFormat="1" applyFont="1" applyFill="1" applyBorder="1" applyAlignment="1">
      <alignment horizontal="center"/>
    </xf>
    <xf numFmtId="4" fontId="7" fillId="0" borderId="1" xfId="0" applyNumberFormat="1" applyFont="1" applyFill="1" applyBorder="1" applyAlignment="1">
      <alignment horizontal="center" vertical="center"/>
    </xf>
    <xf numFmtId="0" fontId="8" fillId="0" borderId="5"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1" xfId="0" applyFont="1" applyFill="1" applyBorder="1" applyAlignment="1">
      <alignment horizontal="center"/>
    </xf>
    <xf numFmtId="0" fontId="2"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3" xfId="3" applyFont="1" applyFill="1" applyBorder="1" applyAlignment="1">
      <alignment vertical="center" wrapText="1"/>
    </xf>
    <xf numFmtId="0" fontId="8" fillId="0" borderId="5" xfId="0" applyFont="1" applyFill="1" applyBorder="1" applyAlignment="1">
      <alignment horizontal="center" vertical="center" wrapText="1"/>
    </xf>
    <xf numFmtId="0" fontId="7" fillId="0" borderId="0" xfId="0" applyFont="1" applyFill="1"/>
    <xf numFmtId="0" fontId="2" fillId="0" borderId="10" xfId="0" applyFont="1" applyFill="1" applyBorder="1" applyAlignment="1">
      <alignment horizontal="center" vertical="center" wrapText="1"/>
    </xf>
    <xf numFmtId="0" fontId="7" fillId="0" borderId="0" xfId="0" applyFont="1" applyFill="1" applyBorder="1"/>
    <xf numFmtId="2" fontId="9" fillId="0" borderId="1" xfId="0" applyNumberFormat="1" applyFont="1" applyFill="1" applyBorder="1" applyAlignment="1">
      <alignment horizontal="center" vertical="center"/>
    </xf>
    <xf numFmtId="174" fontId="9" fillId="0" borderId="1" xfId="0" applyNumberFormat="1" applyFont="1" applyFill="1" applyBorder="1" applyAlignment="1">
      <alignment horizontal="center" vertical="center"/>
    </xf>
    <xf numFmtId="0" fontId="2" fillId="0" borderId="3"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vertical="center" wrapText="1"/>
    </xf>
    <xf numFmtId="4" fontId="9" fillId="0" borderId="1" xfId="0" applyNumberFormat="1" applyFont="1" applyFill="1" applyBorder="1" applyAlignment="1">
      <alignment horizontal="center" vertical="center" wrapText="1"/>
    </xf>
    <xf numFmtId="175" fontId="2"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xf>
    <xf numFmtId="0" fontId="9" fillId="0" borderId="1" xfId="0" applyFont="1" applyFill="1" applyBorder="1" applyAlignment="1">
      <alignment horizontal="center"/>
    </xf>
    <xf numFmtId="0" fontId="3" fillId="0" borderId="0" xfId="4" applyFont="1" applyAlignment="1"/>
    <xf numFmtId="0" fontId="4" fillId="0" borderId="0" xfId="0" applyFont="1" applyAlignment="1">
      <alignment horizontal="left"/>
    </xf>
    <xf numFmtId="0" fontId="7" fillId="0" borderId="0" xfId="0" applyFont="1"/>
    <xf numFmtId="0" fontId="16" fillId="0" borderId="0" xfId="0" applyFont="1"/>
    <xf numFmtId="0" fontId="16" fillId="0" borderId="0" xfId="0" applyFont="1" applyAlignment="1">
      <alignment horizontal="center"/>
    </xf>
    <xf numFmtId="0" fontId="20" fillId="0" borderId="0" xfId="0" applyFont="1" applyAlignment="1"/>
    <xf numFmtId="0" fontId="7" fillId="0" borderId="0" xfId="0" applyFont="1" applyAlignment="1">
      <alignment horizontal="center"/>
    </xf>
    <xf numFmtId="0" fontId="2" fillId="0" borderId="0" xfId="4" applyFont="1" applyFill="1" applyBorder="1" applyAlignment="1" applyProtection="1">
      <alignment horizontal="left" wrapText="1"/>
    </xf>
    <xf numFmtId="0" fontId="2" fillId="0" borderId="0" xfId="4" applyFont="1" applyFill="1" applyBorder="1" applyAlignment="1" applyProtection="1">
      <alignment wrapText="1"/>
    </xf>
    <xf numFmtId="0" fontId="2" fillId="0" borderId="1" xfId="3" applyFont="1" applyBorder="1" applyAlignment="1">
      <alignment horizontal="center" vertical="center" wrapText="1"/>
    </xf>
    <xf numFmtId="0" fontId="2" fillId="0" borderId="0" xfId="3" applyFont="1" applyAlignment="1">
      <alignment horizontal="center"/>
    </xf>
    <xf numFmtId="0" fontId="2" fillId="0" borderId="0" xfId="4" applyFont="1"/>
    <xf numFmtId="0" fontId="7" fillId="0" borderId="0" xfId="0" applyFont="1" applyBorder="1"/>
    <xf numFmtId="0" fontId="2" fillId="0" borderId="5" xfId="4" applyFont="1" applyBorder="1"/>
    <xf numFmtId="0" fontId="7" fillId="0" borderId="5" xfId="0" applyFont="1" applyBorder="1"/>
    <xf numFmtId="0" fontId="2" fillId="0" borderId="0" xfId="3" applyFont="1" applyAlignment="1"/>
    <xf numFmtId="0" fontId="1" fillId="0" borderId="0" xfId="4"/>
    <xf numFmtId="0" fontId="0" fillId="0" borderId="0" xfId="0" applyAlignment="1">
      <alignment horizontal="left"/>
    </xf>
    <xf numFmtId="0" fontId="2" fillId="0" borderId="0" xfId="3" applyFont="1" applyBorder="1" applyAlignment="1">
      <alignment horizontal="center" vertical="center" wrapText="1"/>
    </xf>
    <xf numFmtId="0" fontId="7" fillId="0" borderId="0" xfId="0" applyFont="1" applyBorder="1" applyAlignment="1"/>
    <xf numFmtId="0" fontId="9" fillId="0" borderId="0" xfId="0" applyFont="1"/>
    <xf numFmtId="0" fontId="2" fillId="0" borderId="0" xfId="3" applyFont="1" applyBorder="1" applyAlignment="1">
      <alignment vertical="center" wrapText="1"/>
    </xf>
    <xf numFmtId="0" fontId="0" fillId="0" borderId="0" xfId="0" applyBorder="1" applyAlignment="1">
      <alignment horizontal="left"/>
    </xf>
    <xf numFmtId="0" fontId="2" fillId="0" borderId="0" xfId="3" applyFont="1" applyBorder="1" applyAlignment="1"/>
    <xf numFmtId="0" fontId="8" fillId="0" borderId="6" xfId="0" applyFont="1" applyFill="1" applyBorder="1" applyAlignment="1">
      <alignment horizontal="center" vertical="center" wrapText="1"/>
    </xf>
    <xf numFmtId="3" fontId="9" fillId="0" borderId="1" xfId="0" applyNumberFormat="1" applyFont="1" applyFill="1" applyBorder="1" applyAlignment="1">
      <alignment horizontal="center" vertical="center"/>
    </xf>
    <xf numFmtId="2" fontId="2" fillId="0" borderId="1" xfId="3"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0" fontId="2" fillId="0" borderId="0" xfId="2" applyFont="1" applyAlignment="1"/>
    <xf numFmtId="0" fontId="9" fillId="0" borderId="1" xfId="0" applyNumberFormat="1" applyFont="1" applyFill="1" applyBorder="1" applyAlignment="1">
      <alignment horizontal="center" vertical="center"/>
    </xf>
    <xf numFmtId="4" fontId="9" fillId="0" borderId="3" xfId="0" applyNumberFormat="1" applyFont="1" applyFill="1" applyBorder="1" applyAlignment="1">
      <alignment horizontal="center" vertical="center"/>
    </xf>
    <xf numFmtId="0" fontId="9" fillId="2" borderId="1" xfId="0" applyFont="1" applyFill="1" applyBorder="1" applyAlignment="1">
      <alignment horizontal="center" vertical="center"/>
    </xf>
    <xf numFmtId="1" fontId="9" fillId="0"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2" fillId="0" borderId="0" xfId="0" applyFont="1" applyBorder="1" applyAlignment="1">
      <alignment vertical="center" wrapText="1"/>
    </xf>
    <xf numFmtId="1" fontId="2" fillId="0" borderId="1" xfId="0" applyNumberFormat="1" applyFont="1" applyFill="1" applyBorder="1" applyAlignment="1">
      <alignment horizontal="center" vertical="center" wrapText="1"/>
    </xf>
    <xf numFmtId="0" fontId="10" fillId="0" borderId="0" xfId="0" applyFont="1" applyFill="1" applyAlignment="1">
      <alignment horizontal="center"/>
    </xf>
    <xf numFmtId="0" fontId="10" fillId="0" borderId="6" xfId="0" applyFont="1" applyFill="1" applyBorder="1" applyAlignment="1"/>
    <xf numFmtId="0" fontId="2" fillId="0" borderId="0" xfId="4" applyFont="1" applyFill="1" applyBorder="1" applyAlignment="1">
      <alignment vertical="top"/>
    </xf>
    <xf numFmtId="0" fontId="10" fillId="0" borderId="0" xfId="0" applyFont="1" applyFill="1" applyBorder="1" applyAlignment="1"/>
    <xf numFmtId="0" fontId="2" fillId="2" borderId="1" xfId="0" applyNumberFormat="1" applyFont="1" applyFill="1" applyBorder="1" applyAlignment="1">
      <alignment horizontal="center" vertical="center" wrapText="1"/>
    </xf>
    <xf numFmtId="0" fontId="0" fillId="2" borderId="3" xfId="0" applyFont="1" applyFill="1" applyBorder="1" applyAlignment="1">
      <alignment horizontal="left" vertical="center" wrapText="1"/>
    </xf>
    <xf numFmtId="0" fontId="9"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1" fillId="2" borderId="1" xfId="0" applyNumberFormat="1" applyFont="1" applyFill="1" applyBorder="1" applyAlignment="1">
      <alignment horizontal="center" vertical="center"/>
    </xf>
    <xf numFmtId="0" fontId="0" fillId="2" borderId="3" xfId="0" applyFill="1" applyBorder="1"/>
    <xf numFmtId="0" fontId="2" fillId="2" borderId="3" xfId="0" applyFont="1" applyFill="1" applyBorder="1" applyAlignment="1">
      <alignment horizontal="center" vertical="center" wrapText="1"/>
    </xf>
    <xf numFmtId="0" fontId="10" fillId="2" borderId="0" xfId="0" applyFont="1" applyFill="1"/>
    <xf numFmtId="2" fontId="9" fillId="2" borderId="1" xfId="0" applyNumberFormat="1" applyFont="1" applyFill="1" applyBorder="1" applyAlignment="1">
      <alignment horizontal="center" vertical="center"/>
    </xf>
    <xf numFmtId="0" fontId="2" fillId="2" borderId="3" xfId="3" applyFont="1" applyFill="1" applyBorder="1" applyAlignment="1">
      <alignment horizontal="left" vertical="center" wrapText="1"/>
    </xf>
    <xf numFmtId="0" fontId="9" fillId="2" borderId="3" xfId="0" applyFont="1" applyFill="1" applyBorder="1" applyAlignment="1">
      <alignment horizontal="center" vertical="center"/>
    </xf>
    <xf numFmtId="2" fontId="2" fillId="2" borderId="1"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2" fillId="0" borderId="1" xfId="3" applyFont="1" applyFill="1" applyBorder="1" applyAlignment="1">
      <alignment vertical="center" wrapText="1"/>
    </xf>
    <xf numFmtId="0" fontId="2" fillId="0" borderId="1" xfId="0" applyNumberFormat="1" applyFont="1" applyFill="1" applyBorder="1" applyAlignment="1">
      <alignment horizontal="center" vertical="center" wrapText="1"/>
    </xf>
    <xf numFmtId="1" fontId="2" fillId="0" borderId="1" xfId="3"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3" fontId="2" fillId="0" borderId="1" xfId="0" applyNumberFormat="1" applyFont="1" applyFill="1" applyBorder="1" applyAlignment="1">
      <alignment horizontal="center" vertical="center" wrapText="1"/>
    </xf>
    <xf numFmtId="2" fontId="2" fillId="3" borderId="1" xfId="3"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xf>
    <xf numFmtId="2" fontId="9" fillId="3" borderId="1" xfId="0" applyNumberFormat="1" applyFont="1" applyFill="1" applyBorder="1" applyAlignment="1">
      <alignment horizontal="center" vertical="center"/>
    </xf>
    <xf numFmtId="0" fontId="2" fillId="0" borderId="0" xfId="2" applyFont="1" applyFill="1" applyAlignment="1"/>
    <xf numFmtId="0" fontId="2" fillId="0" borderId="1" xfId="3"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xf>
    <xf numFmtId="0" fontId="2" fillId="0" borderId="0" xfId="0" applyFont="1" applyAlignment="1">
      <alignment horizontal="left"/>
    </xf>
    <xf numFmtId="0" fontId="3" fillId="0" borderId="0" xfId="0" applyFont="1"/>
    <xf numFmtId="0" fontId="3" fillId="0" borderId="0" xfId="0" applyFont="1" applyBorder="1" applyAlignment="1">
      <alignment horizontal="center" vertical="top"/>
    </xf>
    <xf numFmtId="0" fontId="4" fillId="0" borderId="0" xfId="0" applyFont="1" applyFill="1" applyBorder="1" applyAlignment="1">
      <alignment horizontal="center"/>
    </xf>
    <xf numFmtId="0" fontId="2" fillId="3" borderId="1" xfId="3"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2" fillId="0" borderId="1" xfId="3" applyFont="1" applyBorder="1" applyAlignment="1">
      <alignment horizontal="left" vertical="center" wrapText="1"/>
    </xf>
    <xf numFmtId="4" fontId="2" fillId="0" borderId="1" xfId="0" applyNumberFormat="1" applyFont="1" applyFill="1" applyBorder="1" applyAlignment="1">
      <alignment horizontal="center" vertical="center"/>
    </xf>
    <xf numFmtId="1" fontId="2" fillId="2" borderId="1" xfId="3" applyNumberFormat="1" applyFont="1" applyFill="1" applyBorder="1" applyAlignment="1">
      <alignment horizontal="center" vertical="center" wrapText="1"/>
    </xf>
    <xf numFmtId="4" fontId="10" fillId="0" borderId="0" xfId="0" applyNumberFormat="1" applyFont="1" applyFill="1"/>
    <xf numFmtId="173" fontId="9" fillId="0" borderId="1"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1" fontId="21" fillId="2" borderId="1" xfId="0" applyNumberFormat="1" applyFont="1" applyFill="1" applyBorder="1" applyAlignment="1">
      <alignment horizontal="center" vertical="center"/>
    </xf>
    <xf numFmtId="0" fontId="2" fillId="0" borderId="5" xfId="4" applyFont="1" applyBorder="1" applyAlignment="1"/>
    <xf numFmtId="0" fontId="2" fillId="0" borderId="2" xfId="1" applyFont="1" applyBorder="1" applyAlignment="1">
      <alignment vertical="center" wrapText="1"/>
    </xf>
    <xf numFmtId="172" fontId="9" fillId="2" borderId="1" xfId="0" applyNumberFormat="1" applyFont="1" applyFill="1" applyBorder="1" applyAlignment="1">
      <alignment horizontal="center" vertical="center"/>
    </xf>
    <xf numFmtId="4" fontId="2" fillId="0" borderId="1" xfId="0" applyNumberFormat="1" applyFont="1" applyBorder="1" applyAlignment="1">
      <alignment horizontal="center" vertical="center" wrapText="1"/>
    </xf>
    <xf numFmtId="0" fontId="2" fillId="0" borderId="3" xfId="3" applyFont="1" applyBorder="1" applyAlignment="1">
      <alignment vertical="center" wrapText="1"/>
    </xf>
    <xf numFmtId="0" fontId="2" fillId="0" borderId="4" xfId="3" applyFont="1" applyBorder="1" applyAlignment="1">
      <alignment vertical="center" wrapText="1"/>
    </xf>
    <xf numFmtId="2" fontId="2" fillId="2" borderId="1" xfId="0" applyNumberFormat="1" applyFont="1" applyFill="1" applyBorder="1" applyAlignment="1">
      <alignment horizontal="center" vertical="center" wrapText="1"/>
    </xf>
    <xf numFmtId="2" fontId="2" fillId="2" borderId="1" xfId="3" applyNumberFormat="1" applyFont="1" applyFill="1" applyBorder="1" applyAlignment="1">
      <alignment horizontal="center" vertical="center" wrapText="1"/>
    </xf>
    <xf numFmtId="2" fontId="21"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shrinkToFit="1"/>
    </xf>
    <xf numFmtId="4" fontId="10" fillId="0" borderId="0" xfId="0" applyNumberFormat="1" applyFont="1" applyFill="1" applyBorder="1"/>
    <xf numFmtId="2" fontId="10" fillId="0" borderId="0" xfId="0" applyNumberFormat="1" applyFont="1" applyFill="1" applyBorder="1"/>
    <xf numFmtId="4" fontId="9" fillId="0" borderId="0" xfId="0" applyNumberFormat="1" applyFont="1" applyBorder="1" applyAlignment="1">
      <alignment vertical="center" wrapText="1"/>
    </xf>
    <xf numFmtId="4" fontId="9" fillId="2" borderId="0" xfId="0" applyNumberFormat="1" applyFont="1" applyFill="1" applyBorder="1" applyAlignment="1">
      <alignment vertical="center" wrapText="1"/>
    </xf>
    <xf numFmtId="4" fontId="9" fillId="0" borderId="0" xfId="0" applyNumberFormat="1" applyFont="1" applyFill="1" applyBorder="1" applyAlignment="1">
      <alignment vertical="center" wrapText="1"/>
    </xf>
    <xf numFmtId="174" fontId="23" fillId="0" borderId="0" xfId="0" applyNumberFormat="1" applyFont="1" applyFill="1" applyBorder="1"/>
    <xf numFmtId="174" fontId="10" fillId="0" borderId="0" xfId="0" applyNumberFormat="1" applyFont="1" applyFill="1" applyBorder="1"/>
    <xf numFmtId="0" fontId="23" fillId="0" borderId="0" xfId="0" applyFont="1" applyFill="1" applyBorder="1"/>
    <xf numFmtId="173" fontId="2" fillId="0" borderId="0" xfId="3" applyNumberFormat="1" applyFont="1" applyFill="1" applyBorder="1" applyAlignment="1">
      <alignment vertical="center" wrapText="1"/>
    </xf>
    <xf numFmtId="1" fontId="2" fillId="0" borderId="0" xfId="3" applyNumberFormat="1" applyFont="1" applyFill="1" applyBorder="1" applyAlignment="1">
      <alignment vertical="center" wrapText="1"/>
    </xf>
    <xf numFmtId="4" fontId="2" fillId="2" borderId="0" xfId="3" applyNumberFormat="1" applyFont="1" applyFill="1" applyBorder="1" applyAlignment="1">
      <alignment vertical="center" wrapText="1"/>
    </xf>
    <xf numFmtId="4" fontId="2" fillId="0" borderId="0" xfId="0" applyNumberFormat="1" applyFont="1" applyFill="1" applyBorder="1" applyAlignment="1">
      <alignment vertical="center" wrapText="1"/>
    </xf>
    <xf numFmtId="4" fontId="2" fillId="2" borderId="0" xfId="0" applyNumberFormat="1" applyFont="1" applyFill="1" applyBorder="1" applyAlignment="1">
      <alignment vertical="center" wrapText="1"/>
    </xf>
    <xf numFmtId="175" fontId="2" fillId="2" borderId="0" xfId="0" applyNumberFormat="1" applyFont="1" applyFill="1" applyBorder="1" applyAlignment="1">
      <alignment vertical="center" wrapText="1"/>
    </xf>
    <xf numFmtId="0" fontId="0" fillId="0" borderId="0" xfId="0" applyBorder="1" applyAlignment="1"/>
    <xf numFmtId="2" fontId="2" fillId="2" borderId="0" xfId="0" applyNumberFormat="1" applyFont="1" applyFill="1" applyBorder="1" applyAlignment="1">
      <alignment vertical="center" wrapText="1"/>
    </xf>
    <xf numFmtId="3" fontId="2" fillId="2" borderId="0" xfId="3" applyNumberFormat="1" applyFont="1" applyFill="1" applyBorder="1" applyAlignment="1">
      <alignment vertical="center" wrapText="1"/>
    </xf>
    <xf numFmtId="2" fontId="2" fillId="2" borderId="0" xfId="3" applyNumberFormat="1" applyFont="1" applyFill="1" applyBorder="1" applyAlignment="1">
      <alignment vertical="center" wrapText="1"/>
    </xf>
    <xf numFmtId="2" fontId="23" fillId="0" borderId="0" xfId="0" applyNumberFormat="1" applyFont="1" applyFill="1" applyBorder="1"/>
    <xf numFmtId="2" fontId="2" fillId="0" borderId="0" xfId="0" applyNumberFormat="1" applyFont="1" applyFill="1" applyBorder="1" applyAlignment="1">
      <alignment vertical="center" wrapText="1"/>
    </xf>
    <xf numFmtId="0" fontId="2" fillId="0" borderId="0" xfId="1" applyFont="1" applyBorder="1" applyAlignment="1">
      <alignment vertical="center" wrapText="1"/>
    </xf>
    <xf numFmtId="3" fontId="2" fillId="0" borderId="1" xfId="3"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9" fillId="0" borderId="0" xfId="0" applyFont="1" applyAlignment="1">
      <alignment horizontal="left" vertical="center"/>
    </xf>
    <xf numFmtId="0" fontId="8" fillId="0" borderId="0" xfId="3" applyFont="1" applyBorder="1" applyAlignment="1">
      <alignment horizontal="left" vertical="center" wrapText="1"/>
    </xf>
    <xf numFmtId="4" fontId="7" fillId="0" borderId="0"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Fill="1" applyBorder="1" applyAlignment="1">
      <alignment wrapText="1"/>
    </xf>
    <xf numFmtId="0" fontId="9" fillId="0" borderId="0" xfId="0" applyFont="1" applyAlignment="1">
      <alignment horizontal="justify" vertical="center"/>
    </xf>
    <xf numFmtId="0" fontId="9" fillId="0" borderId="0" xfId="0" applyFont="1" applyBorder="1" applyAlignment="1">
      <alignment horizontal="left" vertical="center"/>
    </xf>
    <xf numFmtId="0" fontId="9" fillId="0" borderId="0" xfId="0" applyFont="1" applyBorder="1" applyAlignment="1">
      <alignment vertical="center"/>
    </xf>
    <xf numFmtId="4" fontId="2" fillId="2" borderId="1" xfId="0" applyNumberFormat="1" applyFont="1" applyFill="1" applyBorder="1" applyAlignment="1">
      <alignment horizontal="center" vertical="center"/>
    </xf>
    <xf numFmtId="0" fontId="2" fillId="2" borderId="3" xfId="3" applyFont="1" applyFill="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75" fontId="9" fillId="0" borderId="1" xfId="0" applyNumberFormat="1"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175" fontId="2" fillId="0" borderId="1" xfId="3" applyNumberFormat="1"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2" fillId="2" borderId="0" xfId="3" applyFont="1" applyFill="1" applyBorder="1" applyAlignment="1">
      <alignment vertical="center" wrapText="1"/>
    </xf>
    <xf numFmtId="0" fontId="2" fillId="0" borderId="0" xfId="3" applyFont="1" applyFill="1" applyBorder="1" applyAlignment="1">
      <alignment vertical="center" wrapText="1"/>
    </xf>
    <xf numFmtId="174" fontId="2" fillId="0" borderId="1" xfId="3" applyNumberFormat="1" applyFont="1" applyFill="1" applyBorder="1" applyAlignment="1">
      <alignment horizontal="center" vertical="center" wrapText="1"/>
    </xf>
    <xf numFmtId="174" fontId="2" fillId="3" borderId="1" xfId="3" applyNumberFormat="1" applyFont="1" applyFill="1" applyBorder="1" applyAlignment="1">
      <alignment horizontal="center" vertical="center" wrapText="1"/>
    </xf>
    <xf numFmtId="174" fontId="21" fillId="2" borderId="1" xfId="0" applyNumberFormat="1" applyFont="1" applyFill="1" applyBorder="1" applyAlignment="1">
      <alignment horizontal="center" vertical="center"/>
    </xf>
    <xf numFmtId="174" fontId="9" fillId="2" borderId="1" xfId="0" applyNumberFormat="1" applyFont="1" applyFill="1" applyBorder="1" applyAlignment="1">
      <alignment horizontal="center" vertical="center"/>
    </xf>
    <xf numFmtId="2" fontId="2" fillId="2" borderId="2" xfId="3" applyNumberFormat="1" applyFont="1" applyFill="1" applyBorder="1" applyAlignment="1">
      <alignment horizontal="center" vertical="center" wrapText="1"/>
    </xf>
    <xf numFmtId="2" fontId="2" fillId="2" borderId="4" xfId="3" applyNumberFormat="1" applyFont="1" applyFill="1" applyBorder="1" applyAlignment="1">
      <alignment horizontal="center" vertical="center" wrapText="1"/>
    </xf>
    <xf numFmtId="0" fontId="9" fillId="4" borderId="1" xfId="0" applyFont="1" applyFill="1" applyBorder="1" applyAlignment="1">
      <alignment horizontal="center" vertical="center"/>
    </xf>
    <xf numFmtId="2" fontId="9" fillId="0" borderId="0" xfId="0" applyNumberFormat="1" applyFont="1" applyFill="1" applyBorder="1" applyAlignment="1">
      <alignment wrapText="1"/>
    </xf>
    <xf numFmtId="49" fontId="7" fillId="0" borderId="0" xfId="0" applyNumberFormat="1" applyFont="1" applyFill="1" applyBorder="1" applyAlignment="1">
      <alignment horizontal="center"/>
    </xf>
    <xf numFmtId="4" fontId="2" fillId="2" borderId="3" xfId="0" applyNumberFormat="1" applyFont="1" applyFill="1" applyBorder="1" applyAlignment="1">
      <alignment horizontal="center" vertical="center"/>
    </xf>
    <xf numFmtId="4" fontId="9" fillId="2" borderId="3"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7" fillId="0" borderId="1" xfId="0" applyFont="1" applyBorder="1" applyAlignment="1">
      <alignment horizontal="center" vertical="center"/>
    </xf>
    <xf numFmtId="1" fontId="2" fillId="4" borderId="1" xfId="0" applyNumberFormat="1" applyFont="1" applyFill="1" applyBorder="1" applyAlignment="1">
      <alignment horizontal="center" vertical="center" wrapText="1"/>
    </xf>
    <xf numFmtId="0" fontId="11" fillId="0" borderId="0" xfId="0" applyFont="1" applyFill="1" applyBorder="1"/>
    <xf numFmtId="0" fontId="16" fillId="0" borderId="3" xfId="0" applyFont="1" applyFill="1" applyBorder="1" applyAlignment="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 fontId="9" fillId="0" borderId="1" xfId="0" applyNumberFormat="1" applyFont="1" applyFill="1" applyBorder="1" applyAlignment="1">
      <alignment horizontal="center" vertical="center"/>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8" fillId="0" borderId="2" xfId="3" applyFont="1" applyFill="1" applyBorder="1" applyAlignment="1">
      <alignment vertical="center" wrapText="1"/>
    </xf>
    <xf numFmtId="0" fontId="8" fillId="0" borderId="3" xfId="3"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3" applyFont="1" applyFill="1" applyBorder="1" applyAlignment="1">
      <alignment horizontal="left" vertical="center" wrapText="1"/>
    </xf>
    <xf numFmtId="0" fontId="20" fillId="0" borderId="6" xfId="0" applyFont="1" applyBorder="1" applyAlignment="1">
      <alignment vertical="center" wrapText="1"/>
    </xf>
    <xf numFmtId="0" fontId="8" fillId="0" borderId="1" xfId="3" applyFont="1" applyFill="1" applyBorder="1" applyAlignment="1">
      <alignment horizontal="left" vertical="center" wrapText="1"/>
    </xf>
    <xf numFmtId="0" fontId="9" fillId="0" borderId="1" xfId="0" applyFont="1" applyBorder="1" applyAlignment="1">
      <alignment horizontal="center" vertical="center" wrapText="1"/>
    </xf>
    <xf numFmtId="0" fontId="2" fillId="0" borderId="1" xfId="3" applyFont="1" applyBorder="1" applyAlignment="1">
      <alignment horizontal="left" vertical="center" wrapText="1"/>
    </xf>
    <xf numFmtId="0" fontId="9" fillId="4"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6"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4" xfId="1" applyFont="1" applyBorder="1" applyAlignment="1">
      <alignment vertical="center" wrapText="1"/>
    </xf>
    <xf numFmtId="4" fontId="2" fillId="0"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4" fontId="2" fillId="0" borderId="1" xfId="3"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8" fillId="0" borderId="2" xfId="3" applyFont="1" applyFill="1" applyBorder="1" applyAlignment="1">
      <alignment horizontal="left" vertical="center" wrapText="1"/>
    </xf>
    <xf numFmtId="0" fontId="8" fillId="0" borderId="3" xfId="3" applyFont="1" applyFill="1" applyBorder="1" applyAlignment="1">
      <alignment horizontal="left" vertical="center" wrapText="1"/>
    </xf>
    <xf numFmtId="0" fontId="2" fillId="0" borderId="4" xfId="0" applyFont="1" applyFill="1" applyBorder="1" applyAlignment="1">
      <alignment horizontal="left" vertical="center" wrapText="1"/>
    </xf>
    <xf numFmtId="2" fontId="9"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 fontId="2" fillId="0" borderId="1" xfId="3" applyNumberFormat="1" applyFont="1" applyFill="1" applyBorder="1" applyAlignment="1">
      <alignment horizontal="center" vertical="center" wrapText="1"/>
    </xf>
    <xf numFmtId="0" fontId="9" fillId="0" borderId="5" xfId="0" applyFont="1" applyBorder="1" applyAlignment="1">
      <alignment horizontal="center"/>
    </xf>
    <xf numFmtId="0" fontId="10" fillId="0" borderId="1" xfId="0" applyFont="1" applyFill="1" applyBorder="1" applyAlignment="1">
      <alignment horizontal="center"/>
    </xf>
    <xf numFmtId="0" fontId="8" fillId="0" borderId="4" xfId="3" applyFont="1" applyFill="1" applyBorder="1" applyAlignment="1">
      <alignment vertical="center" wrapText="1"/>
    </xf>
    <xf numFmtId="0" fontId="8" fillId="0" borderId="1" xfId="3" applyFont="1" applyFill="1" applyBorder="1" applyAlignment="1">
      <alignment vertical="center" wrapText="1"/>
    </xf>
    <xf numFmtId="0" fontId="2" fillId="0" borderId="4" xfId="3" applyFont="1" applyFill="1" applyBorder="1" applyAlignment="1">
      <alignment horizontal="left" vertical="center" wrapText="1"/>
    </xf>
    <xf numFmtId="0" fontId="8" fillId="0" borderId="1" xfId="0" applyFont="1" applyFill="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8" fillId="0" borderId="4" xfId="3" applyFont="1" applyBorder="1" applyAlignment="1">
      <alignment vertical="center" wrapText="1"/>
    </xf>
    <xf numFmtId="0" fontId="8" fillId="0" borderId="1" xfId="3" applyFont="1" applyBorder="1" applyAlignment="1">
      <alignment vertical="center" wrapText="1"/>
    </xf>
    <xf numFmtId="4" fontId="9" fillId="0" borderId="2" xfId="0" applyNumberFormat="1" applyFont="1" applyFill="1" applyBorder="1" applyAlignment="1">
      <alignment horizontal="center" vertical="center"/>
    </xf>
    <xf numFmtId="4" fontId="9" fillId="0" borderId="4"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2" fontId="9" fillId="0" borderId="4" xfId="0" applyNumberFormat="1" applyFont="1" applyFill="1" applyBorder="1" applyAlignment="1">
      <alignment horizontal="center" vertical="center"/>
    </xf>
    <xf numFmtId="0" fontId="3" fillId="0" borderId="6" xfId="0" applyFont="1" applyBorder="1" applyAlignment="1">
      <alignment horizontal="center" vertical="top"/>
    </xf>
    <xf numFmtId="4" fontId="2" fillId="4"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xf>
    <xf numFmtId="0" fontId="8" fillId="0" borderId="4" xfId="0" applyFont="1" applyFill="1" applyBorder="1" applyAlignment="1">
      <alignment vertical="center" wrapText="1"/>
    </xf>
    <xf numFmtId="0" fontId="2" fillId="0" borderId="4" xfId="3" applyFont="1" applyBorder="1" applyAlignment="1">
      <alignment vertical="center" wrapText="1"/>
    </xf>
    <xf numFmtId="0" fontId="2" fillId="0" borderId="1" xfId="3" applyFont="1" applyBorder="1" applyAlignment="1">
      <alignment vertical="center" wrapText="1"/>
    </xf>
    <xf numFmtId="1" fontId="2" fillId="0" borderId="2"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10" fillId="0" borderId="2" xfId="0" applyFont="1" applyFill="1" applyBorder="1" applyAlignment="1">
      <alignment horizontal="center"/>
    </xf>
    <xf numFmtId="0" fontId="10" fillId="0" borderId="4" xfId="0" applyFont="1" applyFill="1" applyBorder="1" applyAlignment="1">
      <alignment horizontal="center"/>
    </xf>
    <xf numFmtId="1" fontId="9" fillId="0" borderId="2"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4" fontId="9" fillId="0" borderId="1" xfId="0" applyNumberFormat="1" applyFont="1" applyFill="1" applyBorder="1" applyAlignment="1">
      <alignment horizontal="center"/>
    </xf>
    <xf numFmtId="0" fontId="9" fillId="0" borderId="1" xfId="0" applyFont="1" applyFill="1" applyBorder="1" applyAlignment="1">
      <alignment horizontal="center"/>
    </xf>
    <xf numFmtId="2" fontId="7" fillId="0"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74" fontId="9" fillId="0" borderId="1" xfId="0" applyNumberFormat="1" applyFont="1" applyFill="1" applyBorder="1" applyAlignment="1">
      <alignment horizontal="center" vertical="center"/>
    </xf>
    <xf numFmtId="0" fontId="2" fillId="0" borderId="2" xfId="3" applyFont="1" applyBorder="1" applyAlignment="1">
      <alignment vertical="center" wrapText="1"/>
    </xf>
    <xf numFmtId="0" fontId="2" fillId="0" borderId="3" xfId="3" applyFont="1" applyBorder="1" applyAlignment="1">
      <alignment vertical="center" wrapText="1"/>
    </xf>
    <xf numFmtId="0" fontId="2" fillId="0" borderId="3" xfId="3"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4" fontId="24" fillId="0" borderId="1" xfId="0" applyNumberFormat="1" applyFont="1" applyBorder="1" applyAlignment="1">
      <alignment horizontal="left" vertical="center"/>
    </xf>
    <xf numFmtId="0" fontId="2" fillId="0" borderId="4" xfId="0" applyFont="1" applyBorder="1" applyAlignment="1">
      <alignment vertical="center" wrapText="1"/>
    </xf>
    <xf numFmtId="0" fontId="0" fillId="0" borderId="1" xfId="0" applyFill="1" applyBorder="1" applyAlignment="1">
      <alignment horizontal="center"/>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4" fontId="2" fillId="2" borderId="1" xfId="0"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6" xfId="0" applyFont="1" applyBorder="1" applyAlignment="1">
      <alignment horizontal="center" vertical="top"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3" fontId="2" fillId="2" borderId="2" xfId="3" applyNumberFormat="1" applyFont="1" applyFill="1" applyBorder="1" applyAlignment="1">
      <alignment horizontal="center" vertical="center" wrapText="1"/>
    </xf>
    <xf numFmtId="3" fontId="2" fillId="2" borderId="4" xfId="3" applyNumberFormat="1" applyFont="1" applyFill="1" applyBorder="1" applyAlignment="1">
      <alignment horizontal="center" vertical="center" wrapText="1"/>
    </xf>
    <xf numFmtId="4" fontId="10" fillId="0" borderId="10" xfId="0" applyNumberFormat="1" applyFont="1" applyFill="1" applyBorder="1" applyAlignment="1">
      <alignment horizontal="center" vertical="center" shrinkToFit="1"/>
    </xf>
    <xf numFmtId="4" fontId="10" fillId="0" borderId="12" xfId="0" applyNumberFormat="1" applyFont="1" applyFill="1" applyBorder="1" applyAlignment="1">
      <alignment horizontal="center" vertical="center" shrinkToFit="1"/>
    </xf>
    <xf numFmtId="4" fontId="10" fillId="0" borderId="8" xfId="0" applyNumberFormat="1" applyFont="1" applyFill="1" applyBorder="1" applyAlignment="1">
      <alignment horizontal="center" vertical="center" shrinkToFit="1"/>
    </xf>
    <xf numFmtId="4" fontId="10" fillId="0" borderId="7" xfId="0" applyNumberFormat="1" applyFont="1" applyFill="1" applyBorder="1" applyAlignment="1">
      <alignment horizontal="center" vertical="center" shrinkToFit="1"/>
    </xf>
    <xf numFmtId="0" fontId="2" fillId="2" borderId="2" xfId="3" applyNumberFormat="1" applyFont="1" applyFill="1" applyBorder="1" applyAlignment="1">
      <alignment horizontal="center" vertical="center" wrapText="1"/>
    </xf>
    <xf numFmtId="0" fontId="2" fillId="2" borderId="4" xfId="3" applyNumberFormat="1" applyFont="1" applyFill="1" applyBorder="1" applyAlignment="1">
      <alignment horizontal="center" vertical="center" wrapText="1"/>
    </xf>
    <xf numFmtId="49" fontId="2" fillId="0" borderId="5" xfId="0" applyNumberFormat="1" applyFont="1" applyBorder="1" applyAlignment="1">
      <alignment horizontal="center"/>
    </xf>
    <xf numFmtId="0" fontId="2" fillId="0" borderId="5" xfId="0" quotePrefix="1" applyFont="1" applyBorder="1" applyAlignment="1">
      <alignment horizontal="center"/>
    </xf>
    <xf numFmtId="0" fontId="2" fillId="0" borderId="5" xfId="0" applyFont="1" applyBorder="1" applyAlignment="1">
      <alignment horizontal="center"/>
    </xf>
    <xf numFmtId="4" fontId="10" fillId="0" borderId="9" xfId="0" applyNumberFormat="1" applyFont="1" applyFill="1" applyBorder="1" applyAlignment="1">
      <alignment horizontal="center" vertical="center" shrinkToFit="1"/>
    </xf>
    <xf numFmtId="4" fontId="10" fillId="0" borderId="11" xfId="0" applyNumberFormat="1" applyFont="1" applyFill="1" applyBorder="1" applyAlignment="1">
      <alignment horizontal="center" vertical="center" shrinkToFit="1"/>
    </xf>
    <xf numFmtId="4" fontId="2" fillId="0" borderId="1" xfId="0" applyNumberFormat="1" applyFont="1" applyBorder="1" applyAlignment="1">
      <alignment horizontal="center" vertical="center" wrapText="1"/>
    </xf>
    <xf numFmtId="4" fontId="21" fillId="0" borderId="1" xfId="0" applyNumberFormat="1" applyFont="1" applyBorder="1" applyAlignment="1">
      <alignment horizontal="left" vertical="center"/>
    </xf>
    <xf numFmtId="1" fontId="2" fillId="0" borderId="2" xfId="3" applyNumberFormat="1" applyFont="1" applyFill="1" applyBorder="1" applyAlignment="1">
      <alignment horizontal="center" vertical="center" wrapText="1"/>
    </xf>
    <xf numFmtId="1" fontId="2" fillId="0" borderId="4" xfId="3"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6" xfId="0" applyFont="1" applyBorder="1" applyAlignment="1">
      <alignment horizontal="center" vertical="top" wrapText="1"/>
    </xf>
    <xf numFmtId="49" fontId="9" fillId="0" borderId="5" xfId="0" applyNumberFormat="1" applyFont="1" applyFill="1" applyBorder="1" applyAlignment="1">
      <alignment horizontal="center"/>
    </xf>
    <xf numFmtId="0" fontId="4" fillId="0" borderId="6" xfId="4" applyFont="1" applyBorder="1" applyAlignment="1">
      <alignment horizontal="center" vertical="top"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4" fillId="0" borderId="0" xfId="4" applyFont="1" applyBorder="1" applyAlignment="1">
      <alignment horizontal="center" vertical="top" wrapText="1"/>
    </xf>
    <xf numFmtId="0" fontId="7" fillId="0" borderId="0" xfId="0" applyFont="1" applyFill="1" applyAlignment="1">
      <alignment horizontal="center" vertical="top"/>
    </xf>
    <xf numFmtId="0" fontId="10" fillId="0" borderId="0" xfId="0" applyFont="1" applyFill="1" applyAlignment="1">
      <alignment horizontal="center" vertical="top"/>
    </xf>
    <xf numFmtId="1" fontId="2" fillId="0" borderId="1" xfId="0" applyNumberFormat="1" applyFont="1" applyFill="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4" fontId="10" fillId="0" borderId="1"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2" fillId="0" borderId="2" xfId="3" applyFont="1" applyFill="1" applyBorder="1" applyAlignment="1">
      <alignment horizontal="left" vertical="center" wrapText="1"/>
    </xf>
    <xf numFmtId="0" fontId="20" fillId="0" borderId="0" xfId="0" applyFont="1" applyAlignment="1">
      <alignment horizontal="center"/>
    </xf>
    <xf numFmtId="0" fontId="2" fillId="0" borderId="0" xfId="4" applyFont="1" applyFill="1" applyBorder="1" applyAlignment="1" applyProtection="1">
      <alignment horizontal="left" wrapText="1"/>
    </xf>
    <xf numFmtId="0" fontId="2" fillId="0" borderId="5" xfId="4" applyFont="1" applyFill="1" applyBorder="1" applyAlignment="1">
      <alignment horizontal="center"/>
    </xf>
    <xf numFmtId="0" fontId="7" fillId="0" borderId="6" xfId="0" applyFont="1" applyFill="1" applyBorder="1" applyAlignment="1">
      <alignment horizontal="center" vertical="top"/>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175" fontId="9" fillId="0" borderId="1"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4" fontId="9" fillId="2" borderId="1" xfId="0" applyNumberFormat="1" applyFont="1" applyFill="1" applyBorder="1" applyAlignment="1">
      <alignment horizontal="center" vertical="center"/>
    </xf>
    <xf numFmtId="0" fontId="2" fillId="2" borderId="3" xfId="0" applyFont="1" applyFill="1" applyBorder="1" applyAlignment="1">
      <alignment horizontal="left" vertical="center" wrapText="1"/>
    </xf>
    <xf numFmtId="0" fontId="9" fillId="2" borderId="1" xfId="0" applyNumberFormat="1" applyFont="1" applyFill="1" applyBorder="1" applyAlignment="1">
      <alignment horizontal="center" vertical="center"/>
    </xf>
    <xf numFmtId="0" fontId="2" fillId="2" borderId="1" xfId="0" applyFont="1" applyFill="1" applyBorder="1" applyAlignment="1">
      <alignment vertical="center" wrapText="1"/>
    </xf>
    <xf numFmtId="0" fontId="2" fillId="0" borderId="1" xfId="0" applyFont="1" applyFill="1" applyBorder="1" applyAlignment="1">
      <alignment horizontal="center" wrapText="1"/>
    </xf>
    <xf numFmtId="0" fontId="8" fillId="0" borderId="3" xfId="0" applyFont="1" applyFill="1" applyBorder="1" applyAlignment="1">
      <alignment vertical="center" wrapText="1"/>
    </xf>
    <xf numFmtId="4" fontId="0" fillId="0" borderId="1" xfId="0" applyNumberFormat="1" applyFill="1" applyBorder="1" applyAlignment="1">
      <alignment horizontal="left"/>
    </xf>
    <xf numFmtId="3" fontId="2" fillId="0" borderId="1" xfId="0" applyNumberFormat="1" applyFont="1" applyFill="1" applyBorder="1" applyAlignment="1">
      <alignment horizontal="center" vertical="center" wrapText="1"/>
    </xf>
    <xf numFmtId="0" fontId="0" fillId="0" borderId="1" xfId="0" applyFill="1" applyBorder="1" applyAlignment="1">
      <alignment horizontal="left"/>
    </xf>
    <xf numFmtId="4" fontId="2" fillId="0" borderId="2"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2" borderId="2" xfId="3" applyNumberFormat="1" applyFont="1" applyFill="1" applyBorder="1" applyAlignment="1">
      <alignment horizontal="center" vertical="center" wrapText="1"/>
    </xf>
    <xf numFmtId="2" fontId="2" fillId="2" borderId="4" xfId="3"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3" xfId="3" applyFont="1" applyFill="1" applyBorder="1" applyAlignment="1">
      <alignment vertical="center" wrapText="1"/>
    </xf>
    <xf numFmtId="174" fontId="2" fillId="0" borderId="1" xfId="0" applyNumberFormat="1" applyFont="1" applyFill="1" applyBorder="1" applyAlignment="1">
      <alignment horizontal="center" vertical="center" wrapText="1"/>
    </xf>
    <xf numFmtId="172" fontId="9" fillId="0" borderId="1" xfId="0" applyNumberFormat="1" applyFont="1" applyFill="1" applyBorder="1" applyAlignment="1">
      <alignment horizontal="center"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4" fontId="2" fillId="0" borderId="2" xfId="0" applyNumberFormat="1" applyFont="1" applyBorder="1" applyAlignment="1">
      <alignment vertical="center" wrapText="1"/>
    </xf>
    <xf numFmtId="4" fontId="2" fillId="0" borderId="3" xfId="0" applyNumberFormat="1" applyFont="1" applyBorder="1" applyAlignment="1">
      <alignment vertical="center" wrapText="1"/>
    </xf>
    <xf numFmtId="4" fontId="2" fillId="0" borderId="4" xfId="0" applyNumberFormat="1" applyFont="1" applyBorder="1" applyAlignment="1">
      <alignment vertical="center" wrapText="1"/>
    </xf>
    <xf numFmtId="0" fontId="10" fillId="0" borderId="0" xfId="0" applyFont="1" applyFill="1" applyBorder="1" applyAlignment="1">
      <alignment horizont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2" borderId="2" xfId="3" applyFont="1" applyFill="1" applyBorder="1" applyAlignment="1">
      <alignment vertical="center" wrapText="1"/>
    </xf>
    <xf numFmtId="0" fontId="2" fillId="2" borderId="3" xfId="3" applyFont="1" applyFill="1" applyBorder="1" applyAlignment="1">
      <alignment vertical="center" wrapText="1"/>
    </xf>
    <xf numFmtId="0" fontId="7" fillId="0" borderId="1" xfId="0" applyFont="1" applyFill="1" applyBorder="1" applyAlignment="1">
      <alignment horizontal="center" vertical="center"/>
    </xf>
    <xf numFmtId="0" fontId="2" fillId="2" borderId="1" xfId="3"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xf>
    <xf numFmtId="0" fontId="0" fillId="2" borderId="3" xfId="0" applyFont="1" applyFill="1" applyBorder="1" applyAlignment="1">
      <alignment horizontal="left" vertical="center" wrapText="1"/>
    </xf>
    <xf numFmtId="2" fontId="2" fillId="2" borderId="2"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4" fontId="2" fillId="2" borderId="2" xfId="3" applyNumberFormat="1" applyFont="1" applyFill="1" applyBorder="1" applyAlignment="1">
      <alignment horizontal="center" vertical="center" wrapText="1"/>
    </xf>
    <xf numFmtId="4" fontId="2" fillId="2" borderId="4" xfId="3"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3" fontId="2" fillId="0" borderId="2" xfId="3" applyNumberFormat="1" applyFont="1" applyFill="1" applyBorder="1" applyAlignment="1">
      <alignment horizontal="center" vertical="center" wrapText="1"/>
    </xf>
    <xf numFmtId="3" fontId="2" fillId="0" borderId="4" xfId="3"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6" xfId="0" applyFont="1" applyFill="1" applyBorder="1" applyAlignment="1">
      <alignment horizontal="center"/>
    </xf>
    <xf numFmtId="0" fontId="6" fillId="0" borderId="5" xfId="0" applyFont="1" applyFill="1" applyBorder="1" applyAlignment="1">
      <alignment horizontal="center"/>
    </xf>
    <xf numFmtId="0" fontId="2" fillId="0" borderId="1" xfId="3"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10"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0" fillId="0" borderId="9" xfId="0" applyFill="1" applyBorder="1" applyAlignment="1">
      <alignment horizontal="left"/>
    </xf>
    <xf numFmtId="0" fontId="8" fillId="0" borderId="5" xfId="3" applyFont="1" applyFill="1" applyBorder="1" applyAlignment="1">
      <alignment horizontal="left" vertical="center" wrapText="1"/>
    </xf>
    <xf numFmtId="0" fontId="8" fillId="0" borderId="7" xfId="3" applyFont="1" applyFill="1" applyBorder="1" applyAlignment="1">
      <alignment horizontal="left" vertical="center" wrapText="1"/>
    </xf>
    <xf numFmtId="0" fontId="2" fillId="0" borderId="2" xfId="3" applyFont="1" applyFill="1" applyBorder="1" applyAlignment="1">
      <alignment vertical="center" wrapText="1"/>
    </xf>
    <xf numFmtId="0" fontId="2" fillId="0" borderId="4" xfId="3" applyFont="1" applyFill="1" applyBorder="1" applyAlignment="1">
      <alignment vertical="center" wrapText="1"/>
    </xf>
    <xf numFmtId="0" fontId="7" fillId="0" borderId="1" xfId="0" applyFont="1" applyFill="1" applyBorder="1" applyAlignment="1">
      <alignment horizontal="center" vertical="center" wrapText="1"/>
    </xf>
    <xf numFmtId="0" fontId="2" fillId="0" borderId="1" xfId="0" applyFont="1" applyBorder="1" applyAlignment="1">
      <alignment vertical="center" wrapText="1"/>
    </xf>
    <xf numFmtId="4" fontId="10"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9" fillId="0" borderId="0" xfId="0" applyFont="1" applyAlignment="1">
      <alignment horizontal="left" vertical="center"/>
    </xf>
    <xf numFmtId="4" fontId="10" fillId="2" borderId="1" xfId="0" applyNumberFormat="1" applyFont="1" applyFill="1" applyBorder="1" applyAlignment="1">
      <alignment horizontal="center" vertical="center" shrinkToFit="1"/>
    </xf>
    <xf numFmtId="0" fontId="10" fillId="2" borderId="1" xfId="0" applyFont="1" applyFill="1" applyBorder="1" applyAlignment="1">
      <alignment horizontal="center" vertical="center" shrinkToFit="1"/>
    </xf>
    <xf numFmtId="2" fontId="7" fillId="0" borderId="1" xfId="0" applyNumberFormat="1" applyFont="1" applyFill="1" applyBorder="1" applyAlignment="1">
      <alignment vertical="center" wrapText="1"/>
    </xf>
    <xf numFmtId="0" fontId="10" fillId="0" borderId="1" xfId="0" applyFont="1" applyFill="1" applyBorder="1" applyAlignment="1">
      <alignment horizontal="left" vertical="center" wrapText="1"/>
    </xf>
    <xf numFmtId="4" fontId="10" fillId="0" borderId="2"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0" fontId="10" fillId="0" borderId="2" xfId="0" applyFont="1" applyFill="1" applyBorder="1" applyAlignment="1">
      <alignment horizontal="left" wrapText="1"/>
    </xf>
    <xf numFmtId="0" fontId="10" fillId="0" borderId="3" xfId="0" applyFont="1" applyFill="1" applyBorder="1" applyAlignment="1">
      <alignment horizontal="left" wrapText="1"/>
    </xf>
    <xf numFmtId="0" fontId="10" fillId="0" borderId="4" xfId="0" applyFont="1" applyFill="1" applyBorder="1" applyAlignment="1">
      <alignment horizontal="left" wrapText="1"/>
    </xf>
    <xf numFmtId="4" fontId="9" fillId="2" borderId="2" xfId="0" applyNumberFormat="1"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3" fontId="2" fillId="0" borderId="1" xfId="3" applyNumberFormat="1" applyFont="1" applyFill="1" applyBorder="1" applyAlignment="1">
      <alignment horizontal="center" vertical="center" wrapText="1"/>
    </xf>
    <xf numFmtId="0" fontId="2" fillId="0" borderId="2" xfId="3" applyFont="1" applyBorder="1" applyAlignment="1">
      <alignment horizontal="left" vertical="center" wrapText="1"/>
    </xf>
    <xf numFmtId="0" fontId="2" fillId="0" borderId="3" xfId="3" applyFont="1" applyBorder="1" applyAlignment="1">
      <alignment horizontal="left" vertical="center" wrapText="1"/>
    </xf>
    <xf numFmtId="0" fontId="2" fillId="0" borderId="4" xfId="3" applyFont="1" applyBorder="1" applyAlignment="1">
      <alignment horizontal="left" vertical="center" wrapText="1"/>
    </xf>
    <xf numFmtId="173" fontId="2" fillId="0" borderId="1" xfId="3"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173" fontId="9" fillId="0"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4" fontId="9" fillId="2" borderId="2" xfId="0" applyNumberFormat="1" applyFont="1" applyFill="1" applyBorder="1" applyAlignment="1">
      <alignment horizontal="center" vertical="center"/>
    </xf>
    <xf numFmtId="0" fontId="0" fillId="2" borderId="4" xfId="0" applyFill="1" applyBorder="1"/>
    <xf numFmtId="0" fontId="2" fillId="2" borderId="2" xfId="3" applyFont="1" applyFill="1" applyBorder="1" applyAlignment="1">
      <alignment horizontal="left" vertical="center" wrapText="1"/>
    </xf>
    <xf numFmtId="0" fontId="2" fillId="2" borderId="3" xfId="3" applyFont="1" applyFill="1" applyBorder="1" applyAlignment="1">
      <alignment horizontal="left" vertical="center" wrapText="1"/>
    </xf>
    <xf numFmtId="0" fontId="8" fillId="2" borderId="2" xfId="3" applyFont="1" applyFill="1" applyBorder="1" applyAlignment="1">
      <alignment horizontal="left" vertical="center" wrapText="1"/>
    </xf>
    <xf numFmtId="0" fontId="8" fillId="2" borderId="3" xfId="3" applyFont="1" applyFill="1" applyBorder="1" applyAlignment="1">
      <alignment horizontal="left" vertical="center" wrapText="1"/>
    </xf>
    <xf numFmtId="0" fontId="8" fillId="2" borderId="4" xfId="3" applyFont="1" applyFill="1" applyBorder="1" applyAlignment="1">
      <alignment horizontal="left" vertical="center" wrapText="1"/>
    </xf>
    <xf numFmtId="0" fontId="9" fillId="0" borderId="0" xfId="0" applyFont="1" applyAlignment="1">
      <alignment horizontal="left" wrapText="1"/>
    </xf>
    <xf numFmtId="0" fontId="8" fillId="0" borderId="4" xfId="3"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2" fontId="9" fillId="2" borderId="1" xfId="0" applyNumberFormat="1" applyFont="1" applyFill="1" applyBorder="1" applyAlignment="1">
      <alignment horizontal="center" vertical="center"/>
    </xf>
    <xf numFmtId="0" fontId="7" fillId="0" borderId="1" xfId="0" applyFont="1" applyFill="1" applyBorder="1" applyAlignment="1">
      <alignment horizontal="center"/>
    </xf>
    <xf numFmtId="4" fontId="7"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wrapText="1"/>
    </xf>
    <xf numFmtId="0" fontId="8" fillId="0" borderId="5" xfId="0" applyFont="1" applyFill="1" applyBorder="1" applyAlignment="1">
      <alignment vertical="center" wrapText="1"/>
    </xf>
    <xf numFmtId="4" fontId="7" fillId="0" borderId="2" xfId="0" applyNumberFormat="1" applyFont="1" applyFill="1" applyBorder="1" applyAlignment="1">
      <alignment horizontal="center" vertical="center"/>
    </xf>
    <xf numFmtId="4" fontId="7" fillId="0" borderId="4" xfId="0" applyNumberFormat="1"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5" xfId="0" applyFont="1" applyFill="1" applyBorder="1" applyAlignment="1">
      <alignment horizontal="center"/>
    </xf>
    <xf numFmtId="0" fontId="2" fillId="0" borderId="1" xfId="3" applyFont="1" applyBorder="1" applyAlignment="1">
      <alignment horizontal="center" vertical="center" wrapText="1"/>
    </xf>
    <xf numFmtId="0" fontId="2" fillId="0" borderId="8" xfId="3" applyFont="1" applyBorder="1" applyAlignment="1">
      <alignment vertical="center" wrapText="1"/>
    </xf>
    <xf numFmtId="0" fontId="2" fillId="0" borderId="5" xfId="3" applyFont="1" applyBorder="1" applyAlignment="1">
      <alignment vertical="center" wrapText="1"/>
    </xf>
    <xf numFmtId="0" fontId="2" fillId="0" borderId="7" xfId="3" applyFont="1" applyBorder="1" applyAlignment="1">
      <alignment vertical="center" wrapText="1"/>
    </xf>
    <xf numFmtId="0" fontId="4" fillId="0" borderId="6" xfId="4" applyFont="1" applyFill="1" applyBorder="1" applyAlignment="1">
      <alignment horizontal="center" vertical="top" wrapText="1"/>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8" fillId="0" borderId="0" xfId="3" applyFont="1" applyFill="1" applyBorder="1" applyAlignment="1">
      <alignment horizontal="left" vertical="center" wrapText="1"/>
    </xf>
    <xf numFmtId="173" fontId="11" fillId="0" borderId="1"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2" fillId="4" borderId="1" xfId="0" applyFont="1" applyFill="1" applyBorder="1" applyAlignment="1">
      <alignment horizontal="left" vertical="center" wrapText="1"/>
    </xf>
    <xf numFmtId="1" fontId="2" fillId="4" borderId="1" xfId="0" applyNumberFormat="1" applyFont="1" applyFill="1" applyBorder="1" applyAlignment="1">
      <alignment horizontal="center" vertical="center" wrapText="1"/>
    </xf>
    <xf numFmtId="175" fontId="2" fillId="2" borderId="1" xfId="0" applyNumberFormat="1"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 fontId="2" fillId="2" borderId="3" xfId="3" applyNumberFormat="1" applyFont="1" applyFill="1" applyBorder="1" applyAlignment="1">
      <alignment horizontal="center" vertical="center" wrapText="1"/>
    </xf>
    <xf numFmtId="0" fontId="15" fillId="0" borderId="1" xfId="0" applyFont="1" applyFill="1" applyBorder="1" applyAlignment="1">
      <alignment horizontal="center"/>
    </xf>
  </cellXfs>
  <cellStyles count="5">
    <cellStyle name="Звичайний" xfId="0" builtinId="0"/>
    <cellStyle name="Звичайний 21" xfId="1"/>
    <cellStyle name="Обычный_Лист1" xfId="2"/>
    <cellStyle name="Обычный_Паспорт_Звіт 2012 остання сесія 2" xfId="3"/>
    <cellStyle name="Обычный_Шаблон паспорт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377"/>
  <sheetViews>
    <sheetView tabSelected="1" view="pageBreakPreview" zoomScaleNormal="100" zoomScaleSheetLayoutView="100" workbookViewId="0">
      <selection activeCell="T26" sqref="T26"/>
    </sheetView>
  </sheetViews>
  <sheetFormatPr defaultRowHeight="15" x14ac:dyDescent="0.25"/>
  <cols>
    <col min="1" max="1" width="4.85546875" style="22" customWidth="1"/>
    <col min="2" max="2" width="14.42578125" style="22" customWidth="1"/>
    <col min="3" max="3" width="10.140625" style="22" customWidth="1"/>
    <col min="4" max="4" width="9.140625" style="22"/>
    <col min="5" max="5" width="8.5703125" style="22" customWidth="1"/>
    <col min="6" max="10" width="7.140625" style="22" hidden="1" customWidth="1"/>
    <col min="11" max="12" width="13.7109375" style="22" customWidth="1"/>
    <col min="13" max="13" width="13.42578125" style="22" customWidth="1"/>
    <col min="14" max="14" width="13.5703125" style="22" hidden="1" customWidth="1"/>
    <col min="15" max="15" width="2" style="22" hidden="1" customWidth="1"/>
    <col min="16" max="16" width="5.85546875" style="22" customWidth="1"/>
    <col min="17" max="17" width="9.140625" style="22"/>
    <col min="18" max="18" width="8.140625" style="22" customWidth="1"/>
    <col min="19" max="19" width="6.85546875" style="22" customWidth="1"/>
    <col min="20" max="20" width="9.140625" style="22"/>
    <col min="21" max="21" width="6.140625" style="22" customWidth="1"/>
    <col min="22" max="22" width="15.42578125" style="22" customWidth="1"/>
    <col min="23" max="23" width="0.42578125" style="22" hidden="1" customWidth="1"/>
    <col min="24" max="24" width="14.140625" style="22" customWidth="1"/>
    <col min="25" max="25" width="15" style="22" customWidth="1"/>
    <col min="26" max="26" width="14.7109375" style="22" customWidth="1"/>
    <col min="27" max="27" width="13.140625" style="22" customWidth="1"/>
    <col min="28" max="28" width="14.140625" style="22" customWidth="1"/>
    <col min="29" max="29" width="9.140625" style="22"/>
    <col min="30" max="30" width="13.140625" style="22" customWidth="1"/>
    <col min="31" max="31" width="18.5703125" style="22" customWidth="1"/>
    <col min="32" max="16384" width="9.140625" style="22"/>
  </cols>
  <sheetData>
    <row r="1" spans="1:28" x14ac:dyDescent="0.25">
      <c r="T1" s="70" t="s">
        <v>95</v>
      </c>
    </row>
    <row r="2" spans="1:28" x14ac:dyDescent="0.25">
      <c r="T2" s="70" t="s">
        <v>92</v>
      </c>
    </row>
    <row r="3" spans="1:28" x14ac:dyDescent="0.25">
      <c r="T3" s="70" t="s">
        <v>93</v>
      </c>
    </row>
    <row r="4" spans="1:28" x14ac:dyDescent="0.25">
      <c r="T4" s="71" t="s">
        <v>94</v>
      </c>
    </row>
    <row r="5" spans="1:28" x14ac:dyDescent="0.25">
      <c r="T5" s="71" t="s">
        <v>281</v>
      </c>
    </row>
    <row r="8" spans="1:28" x14ac:dyDescent="0.25">
      <c r="L8" s="72"/>
      <c r="M8" s="73"/>
      <c r="N8" s="73"/>
      <c r="O8" s="73"/>
      <c r="P8" s="73"/>
      <c r="Q8" s="74" t="s">
        <v>198</v>
      </c>
      <c r="S8" s="72"/>
      <c r="T8" s="73"/>
      <c r="U8" s="73"/>
      <c r="V8" s="72"/>
      <c r="W8" s="72"/>
    </row>
    <row r="9" spans="1:28" ht="15.75" x14ac:dyDescent="0.25">
      <c r="M9" s="366" t="s">
        <v>199</v>
      </c>
      <c r="N9" s="366"/>
      <c r="O9" s="366"/>
      <c r="P9" s="366"/>
      <c r="Q9" s="366"/>
      <c r="R9" s="366"/>
      <c r="S9" s="366"/>
      <c r="T9" s="366"/>
      <c r="U9" s="75"/>
      <c r="V9" s="75"/>
      <c r="W9" s="75"/>
    </row>
    <row r="10" spans="1:28" ht="15.75" x14ac:dyDescent="0.25">
      <c r="K10" s="29"/>
      <c r="L10" s="75"/>
      <c r="M10" s="366" t="s">
        <v>282</v>
      </c>
      <c r="N10" s="366"/>
      <c r="O10" s="366"/>
      <c r="P10" s="366"/>
      <c r="Q10" s="366"/>
      <c r="R10" s="366"/>
      <c r="S10" s="366"/>
      <c r="T10" s="366"/>
      <c r="U10" s="75"/>
      <c r="V10" s="72"/>
      <c r="W10" s="72"/>
    </row>
    <row r="13" spans="1:28" ht="19.5" customHeight="1" x14ac:dyDescent="0.25">
      <c r="A13" s="109" t="s">
        <v>88</v>
      </c>
      <c r="B13" s="368">
        <v>1400000</v>
      </c>
      <c r="C13" s="368"/>
      <c r="E13" s="23"/>
      <c r="F13" s="23"/>
      <c r="G13" s="23"/>
      <c r="H13" s="23"/>
      <c r="I13" s="23"/>
      <c r="J13" s="23"/>
      <c r="K13" s="154" t="s">
        <v>267</v>
      </c>
      <c r="L13" s="23"/>
      <c r="M13" s="23"/>
      <c r="N13" s="23"/>
      <c r="O13" s="23"/>
      <c r="P13" s="23"/>
      <c r="Q13" s="23"/>
      <c r="R13" s="23"/>
      <c r="S13" s="23"/>
      <c r="T13" s="23"/>
      <c r="AA13" s="334" t="s">
        <v>253</v>
      </c>
      <c r="AB13" s="334"/>
    </row>
    <row r="14" spans="1:28" ht="56.25" customHeight="1" x14ac:dyDescent="0.25">
      <c r="A14" s="109"/>
      <c r="B14" s="356" t="s">
        <v>248</v>
      </c>
      <c r="C14" s="356"/>
      <c r="E14" s="110"/>
      <c r="F14" s="110"/>
      <c r="G14" s="110"/>
      <c r="H14" s="110"/>
      <c r="I14" s="110"/>
      <c r="J14" s="110"/>
      <c r="K14" s="369" t="s">
        <v>247</v>
      </c>
      <c r="L14" s="369"/>
      <c r="M14" s="369"/>
      <c r="N14" s="369"/>
      <c r="O14" s="369"/>
      <c r="P14" s="369"/>
      <c r="Q14" s="369"/>
      <c r="R14" s="369"/>
      <c r="AA14" s="322" t="s">
        <v>254</v>
      </c>
      <c r="AB14" s="322"/>
    </row>
    <row r="15" spans="1:28" x14ac:dyDescent="0.25">
      <c r="A15" s="109"/>
      <c r="B15" s="24"/>
      <c r="AA15" s="72"/>
      <c r="AB15" s="72"/>
    </row>
    <row r="16" spans="1:28" ht="18.75" customHeight="1" x14ac:dyDescent="0.25">
      <c r="A16" s="109" t="s">
        <v>90</v>
      </c>
      <c r="B16" s="368">
        <v>1410000</v>
      </c>
      <c r="C16" s="368"/>
      <c r="E16" s="23"/>
      <c r="F16" s="23"/>
      <c r="G16" s="23"/>
      <c r="H16" s="23"/>
      <c r="I16" s="23"/>
      <c r="J16" s="23"/>
      <c r="K16" s="154" t="s">
        <v>267</v>
      </c>
      <c r="L16" s="23"/>
      <c r="M16" s="23"/>
      <c r="N16" s="23"/>
      <c r="O16" s="23"/>
      <c r="P16" s="23"/>
      <c r="Q16" s="23"/>
      <c r="R16" s="23"/>
      <c r="S16" s="23"/>
      <c r="T16" s="23"/>
      <c r="AA16" s="334" t="s">
        <v>253</v>
      </c>
      <c r="AB16" s="334"/>
    </row>
    <row r="17" spans="1:42" ht="55.5" customHeight="1" x14ac:dyDescent="0.25">
      <c r="A17" s="109"/>
      <c r="B17" s="356" t="s">
        <v>248</v>
      </c>
      <c r="C17" s="356"/>
      <c r="E17" s="29"/>
      <c r="F17" s="29"/>
      <c r="G17" s="29"/>
      <c r="H17" s="29"/>
      <c r="I17" s="29"/>
      <c r="J17" s="29"/>
      <c r="K17" s="357" t="s">
        <v>251</v>
      </c>
      <c r="L17" s="358"/>
      <c r="M17" s="358"/>
      <c r="N17" s="358"/>
      <c r="O17" s="358"/>
      <c r="P17" s="358"/>
      <c r="Q17" s="358"/>
      <c r="R17" s="358"/>
      <c r="AA17" s="322" t="s">
        <v>254</v>
      </c>
      <c r="AB17" s="322"/>
    </row>
    <row r="18" spans="1:42" x14ac:dyDescent="0.25">
      <c r="A18" s="109"/>
      <c r="B18" s="24"/>
      <c r="AA18" s="72"/>
      <c r="AB18" s="72"/>
    </row>
    <row r="19" spans="1:42" ht="18.75" customHeight="1" x14ac:dyDescent="0.25">
      <c r="A19" s="109" t="s">
        <v>91</v>
      </c>
      <c r="B19" s="368">
        <v>1416030</v>
      </c>
      <c r="C19" s="368"/>
      <c r="E19" s="267">
        <v>6030</v>
      </c>
      <c r="F19" s="267"/>
      <c r="G19" s="267"/>
      <c r="H19" s="267"/>
      <c r="I19" s="267"/>
      <c r="J19" s="267"/>
      <c r="K19" s="267"/>
      <c r="L19" s="112"/>
      <c r="M19" s="352" t="s">
        <v>89</v>
      </c>
      <c r="N19" s="352"/>
      <c r="O19" s="352"/>
      <c r="P19" s="352"/>
      <c r="Q19" s="112"/>
      <c r="R19" s="499" t="s">
        <v>110</v>
      </c>
      <c r="S19" s="499"/>
      <c r="T19" s="499"/>
      <c r="U19" s="499"/>
      <c r="V19" s="499"/>
      <c r="W19" s="499"/>
      <c r="X19" s="499"/>
      <c r="Y19" s="499"/>
      <c r="AA19" s="335" t="s">
        <v>268</v>
      </c>
      <c r="AB19" s="336"/>
    </row>
    <row r="20" spans="1:42" ht="54" customHeight="1" x14ac:dyDescent="0.25">
      <c r="B20" s="356" t="s">
        <v>248</v>
      </c>
      <c r="C20" s="356"/>
      <c r="E20" s="351" t="s">
        <v>249</v>
      </c>
      <c r="F20" s="351"/>
      <c r="G20" s="351"/>
      <c r="H20" s="351"/>
      <c r="I20" s="351"/>
      <c r="J20" s="351"/>
      <c r="K20" s="351"/>
      <c r="L20" s="111"/>
      <c r="M20" s="353" t="s">
        <v>250</v>
      </c>
      <c r="N20" s="353"/>
      <c r="O20" s="353"/>
      <c r="P20" s="353"/>
      <c r="R20" s="504" t="s">
        <v>252</v>
      </c>
      <c r="S20" s="504"/>
      <c r="T20" s="504"/>
      <c r="U20" s="504"/>
      <c r="V20" s="504"/>
      <c r="W20" s="504"/>
      <c r="X20" s="504"/>
      <c r="Y20" s="504"/>
      <c r="AA20" s="322" t="s">
        <v>255</v>
      </c>
      <c r="AB20" s="322"/>
    </row>
    <row r="21" spans="1:42" x14ac:dyDescent="0.25">
      <c r="AC21" s="34"/>
      <c r="AD21" s="34"/>
      <c r="AE21" s="34"/>
      <c r="AF21" s="34"/>
    </row>
    <row r="22" spans="1:42" ht="15.75" x14ac:dyDescent="0.25">
      <c r="A22" s="76" t="s">
        <v>200</v>
      </c>
      <c r="B22" s="367" t="s">
        <v>201</v>
      </c>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78"/>
      <c r="AA22" s="78"/>
      <c r="AB22" s="78"/>
      <c r="AC22" s="78"/>
      <c r="AD22" s="82"/>
      <c r="AE22" s="82"/>
      <c r="AF22" s="34"/>
    </row>
    <row r="23" spans="1:42" ht="15.75" x14ac:dyDescent="0.25">
      <c r="A23" s="72"/>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82"/>
      <c r="AE23" s="82"/>
      <c r="AF23" s="34"/>
    </row>
    <row r="24" spans="1:42" ht="18" customHeight="1" x14ac:dyDescent="0.25">
      <c r="A24" s="72"/>
      <c r="B24" s="79" t="s">
        <v>103</v>
      </c>
      <c r="C24" s="505" t="s">
        <v>202</v>
      </c>
      <c r="D24" s="506"/>
      <c r="E24" s="506"/>
      <c r="F24" s="506"/>
      <c r="G24" s="506"/>
      <c r="H24" s="506"/>
      <c r="I24" s="506"/>
      <c r="J24" s="506"/>
      <c r="K24" s="506"/>
      <c r="L24" s="506"/>
      <c r="M24" s="506"/>
      <c r="N24" s="506"/>
      <c r="O24" s="506"/>
      <c r="P24" s="506"/>
      <c r="Q24" s="506"/>
      <c r="R24" s="506"/>
      <c r="S24" s="506"/>
      <c r="T24" s="506"/>
      <c r="U24" s="506"/>
      <c r="V24" s="506"/>
      <c r="W24" s="506"/>
      <c r="X24" s="506"/>
      <c r="Y24" s="506"/>
      <c r="Z24" s="507"/>
      <c r="AA24" s="91"/>
      <c r="AB24" s="91"/>
      <c r="AC24" s="91"/>
      <c r="AD24" s="91"/>
      <c r="AE24" s="91"/>
      <c r="AF24" s="34"/>
    </row>
    <row r="25" spans="1:42" ht="18" customHeight="1" x14ac:dyDescent="0.25">
      <c r="A25" s="72"/>
      <c r="B25" s="79">
        <v>1</v>
      </c>
      <c r="C25" s="501" t="s">
        <v>208</v>
      </c>
      <c r="D25" s="502"/>
      <c r="E25" s="502"/>
      <c r="F25" s="502"/>
      <c r="G25" s="502"/>
      <c r="H25" s="502"/>
      <c r="I25" s="502"/>
      <c r="J25" s="502"/>
      <c r="K25" s="502"/>
      <c r="L25" s="502"/>
      <c r="M25" s="502"/>
      <c r="N25" s="502"/>
      <c r="O25" s="502"/>
      <c r="P25" s="502"/>
      <c r="Q25" s="502"/>
      <c r="R25" s="502"/>
      <c r="S25" s="502"/>
      <c r="T25" s="502"/>
      <c r="U25" s="502"/>
      <c r="V25" s="502"/>
      <c r="W25" s="502"/>
      <c r="X25" s="502"/>
      <c r="Y25" s="502"/>
      <c r="Z25" s="503"/>
      <c r="AA25" s="91"/>
      <c r="AB25" s="91"/>
      <c r="AC25" s="91"/>
      <c r="AD25" s="91"/>
      <c r="AE25" s="91"/>
      <c r="AF25" s="34"/>
    </row>
    <row r="26" spans="1:42"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82"/>
      <c r="AA26" s="82"/>
      <c r="AB26" s="82"/>
      <c r="AC26" s="82"/>
      <c r="AD26" s="82"/>
      <c r="AE26" s="82"/>
      <c r="AF26" s="34"/>
    </row>
    <row r="27" spans="1:42" ht="15.75" x14ac:dyDescent="0.25">
      <c r="A27" s="80" t="s">
        <v>203</v>
      </c>
      <c r="B27" s="81" t="s">
        <v>204</v>
      </c>
      <c r="C27" s="81"/>
      <c r="D27" s="81"/>
      <c r="E27" s="83" t="s">
        <v>219</v>
      </c>
      <c r="F27" s="83"/>
      <c r="G27" s="83"/>
      <c r="H27" s="83"/>
      <c r="I27" s="83"/>
      <c r="J27" s="83"/>
      <c r="K27" s="83"/>
      <c r="L27" s="83"/>
      <c r="M27" s="83"/>
      <c r="N27" s="83"/>
      <c r="O27" s="83"/>
      <c r="P27" s="84"/>
      <c r="Q27" s="84"/>
      <c r="R27" s="84"/>
      <c r="S27" s="84"/>
      <c r="T27" s="84"/>
      <c r="U27" s="84"/>
      <c r="V27" s="82"/>
      <c r="W27" s="82"/>
      <c r="X27" s="82"/>
      <c r="Y27" s="82"/>
      <c r="Z27" s="82"/>
      <c r="AA27" s="82"/>
      <c r="AB27" s="82"/>
      <c r="AC27" s="82"/>
      <c r="AD27" s="82"/>
      <c r="AE27" s="82"/>
      <c r="AF27" s="34"/>
    </row>
    <row r="28" spans="1:42"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82"/>
      <c r="AA28" s="82"/>
      <c r="AB28" s="82"/>
      <c r="AC28" s="82"/>
      <c r="AD28" s="82"/>
      <c r="AE28" s="82"/>
      <c r="AF28" s="34"/>
    </row>
    <row r="29" spans="1:42" ht="15.75" customHeight="1" x14ac:dyDescent="0.25">
      <c r="A29" s="80" t="s">
        <v>101</v>
      </c>
      <c r="B29" s="85" t="s">
        <v>205</v>
      </c>
      <c r="C29" s="86"/>
      <c r="D29" s="85"/>
      <c r="E29" s="85"/>
      <c r="F29" s="85"/>
      <c r="G29" s="85"/>
      <c r="H29" s="85"/>
      <c r="I29" s="85"/>
      <c r="J29" s="85"/>
      <c r="K29" s="85"/>
      <c r="L29" s="85"/>
      <c r="M29" s="85"/>
      <c r="N29" s="85"/>
      <c r="O29" s="85"/>
      <c r="P29" s="85"/>
      <c r="Q29" s="85"/>
      <c r="R29" s="85"/>
      <c r="S29" s="85"/>
      <c r="T29" s="85"/>
      <c r="U29" s="85"/>
      <c r="V29" s="85"/>
      <c r="W29" s="85"/>
      <c r="X29" s="85"/>
      <c r="Y29" s="85"/>
      <c r="Z29" s="93"/>
      <c r="AA29" s="92"/>
      <c r="AB29" s="92"/>
      <c r="AC29" s="92"/>
      <c r="AD29" s="82"/>
      <c r="AE29" s="82"/>
      <c r="AF29" s="34"/>
    </row>
    <row r="30" spans="1:42" x14ac:dyDescent="0.25">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92"/>
      <c r="AA30" s="92"/>
      <c r="AB30" s="92"/>
      <c r="AC30" s="92"/>
      <c r="AD30" s="82"/>
      <c r="AE30" s="82"/>
      <c r="AF30" s="34"/>
      <c r="AG30" s="34"/>
      <c r="AH30" s="34"/>
      <c r="AI30" s="34"/>
      <c r="AJ30" s="34"/>
      <c r="AK30" s="34"/>
      <c r="AL30" s="34"/>
      <c r="AM30" s="34"/>
      <c r="AN30" s="34"/>
      <c r="AO30" s="34"/>
      <c r="AP30" s="34"/>
    </row>
    <row r="31" spans="1:42" ht="18" customHeight="1" x14ac:dyDescent="0.25">
      <c r="A31" s="88"/>
      <c r="B31" s="79" t="s">
        <v>103</v>
      </c>
      <c r="C31" s="500" t="s">
        <v>206</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91"/>
      <c r="AB31" s="91"/>
      <c r="AC31" s="91"/>
      <c r="AD31" s="91"/>
      <c r="AE31" s="91"/>
      <c r="AF31" s="34"/>
      <c r="AG31" s="34"/>
      <c r="AH31" s="34"/>
      <c r="AI31" s="34"/>
      <c r="AJ31" s="34"/>
      <c r="AK31" s="34"/>
      <c r="AL31" s="34"/>
      <c r="AM31" s="34"/>
      <c r="AN31" s="34"/>
      <c r="AO31" s="34"/>
      <c r="AP31" s="34"/>
    </row>
    <row r="32" spans="1:42" ht="24" customHeight="1" x14ac:dyDescent="0.25">
      <c r="A32" s="88"/>
      <c r="B32" s="79">
        <v>1</v>
      </c>
      <c r="C32" s="240" t="s">
        <v>111</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91"/>
      <c r="AB32" s="91"/>
      <c r="AC32" s="91"/>
      <c r="AD32" s="91"/>
      <c r="AE32" s="91"/>
      <c r="AF32" s="34"/>
      <c r="AG32" s="34"/>
      <c r="AH32" s="34"/>
      <c r="AI32" s="34"/>
      <c r="AJ32" s="34"/>
      <c r="AK32" s="34"/>
      <c r="AL32" s="34"/>
      <c r="AM32" s="34"/>
      <c r="AN32" s="34"/>
      <c r="AO32" s="34"/>
      <c r="AP32" s="34"/>
    </row>
    <row r="33" spans="1:42" ht="18.95" customHeight="1" x14ac:dyDescent="0.25">
      <c r="A33" s="88"/>
      <c r="B33" s="79">
        <f>B32+1</f>
        <v>2</v>
      </c>
      <c r="C33" s="240" t="s">
        <v>112</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91"/>
      <c r="AB33" s="91"/>
      <c r="AC33" s="91"/>
      <c r="AD33" s="91"/>
      <c r="AE33" s="91"/>
      <c r="AF33" s="34"/>
      <c r="AG33" s="34"/>
      <c r="AH33" s="34"/>
      <c r="AI33" s="34"/>
      <c r="AJ33" s="34"/>
      <c r="AK33" s="34"/>
      <c r="AL33" s="34"/>
      <c r="AM33" s="34"/>
      <c r="AN33" s="34"/>
      <c r="AO33" s="34"/>
      <c r="AP33" s="34"/>
    </row>
    <row r="34" spans="1:42" ht="18.95" customHeight="1" x14ac:dyDescent="0.25">
      <c r="A34" s="88"/>
      <c r="B34" s="79">
        <f t="shared" ref="B34:B42" si="0">B33+1</f>
        <v>3</v>
      </c>
      <c r="C34" s="240" t="s">
        <v>324</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91"/>
      <c r="AB34" s="91"/>
      <c r="AC34" s="91"/>
      <c r="AD34" s="91"/>
      <c r="AE34" s="91"/>
      <c r="AF34" s="34"/>
      <c r="AG34" s="34"/>
      <c r="AH34" s="34"/>
      <c r="AI34" s="34"/>
      <c r="AJ34" s="34"/>
      <c r="AK34" s="34"/>
      <c r="AL34" s="34"/>
      <c r="AM34" s="34"/>
      <c r="AN34" s="34"/>
      <c r="AO34" s="34"/>
      <c r="AP34" s="34"/>
    </row>
    <row r="35" spans="1:42" ht="18.95" customHeight="1" x14ac:dyDescent="0.25">
      <c r="A35" s="88"/>
      <c r="B35" s="79">
        <f t="shared" si="0"/>
        <v>4</v>
      </c>
      <c r="C35" s="240" t="s">
        <v>280</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91"/>
      <c r="AB35" s="91"/>
      <c r="AC35" s="91"/>
      <c r="AD35" s="91"/>
      <c r="AE35" s="91"/>
      <c r="AF35" s="34"/>
      <c r="AG35" s="34"/>
      <c r="AH35" s="34"/>
      <c r="AI35" s="34"/>
      <c r="AJ35" s="34"/>
      <c r="AK35" s="34"/>
      <c r="AL35" s="34"/>
      <c r="AM35" s="34"/>
      <c r="AN35" s="34"/>
      <c r="AO35" s="34"/>
      <c r="AP35" s="34"/>
    </row>
    <row r="36" spans="1:42" ht="18.95" customHeight="1" x14ac:dyDescent="0.25">
      <c r="A36" s="88"/>
      <c r="B36" s="79">
        <f t="shared" si="0"/>
        <v>5</v>
      </c>
      <c r="C36" s="240" t="s">
        <v>114</v>
      </c>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91"/>
      <c r="AB36" s="91"/>
      <c r="AC36" s="91"/>
      <c r="AD36" s="91"/>
      <c r="AE36" s="91"/>
      <c r="AF36" s="34"/>
      <c r="AG36" s="34"/>
      <c r="AH36" s="34"/>
      <c r="AI36" s="34"/>
      <c r="AJ36" s="34"/>
      <c r="AK36" s="34"/>
      <c r="AL36" s="34"/>
      <c r="AM36" s="34"/>
      <c r="AN36" s="34"/>
      <c r="AO36" s="34"/>
      <c r="AP36" s="34"/>
    </row>
    <row r="37" spans="1:42" ht="18.95" customHeight="1" x14ac:dyDescent="0.25">
      <c r="A37" s="88"/>
      <c r="B37" s="79">
        <f t="shared" si="0"/>
        <v>6</v>
      </c>
      <c r="C37" s="240" t="s">
        <v>115</v>
      </c>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91"/>
      <c r="AB37" s="91"/>
      <c r="AC37" s="91"/>
      <c r="AD37" s="91"/>
      <c r="AE37" s="91"/>
      <c r="AF37" s="34"/>
      <c r="AG37" s="34"/>
      <c r="AH37" s="34"/>
      <c r="AI37" s="34"/>
      <c r="AJ37" s="34"/>
      <c r="AK37" s="34"/>
      <c r="AL37" s="34"/>
      <c r="AM37" s="34"/>
      <c r="AN37" s="34"/>
      <c r="AO37" s="34"/>
      <c r="AP37" s="34"/>
    </row>
    <row r="38" spans="1:42" ht="18.95" customHeight="1" x14ac:dyDescent="0.25">
      <c r="A38" s="88"/>
      <c r="B38" s="79">
        <f t="shared" si="0"/>
        <v>7</v>
      </c>
      <c r="C38" s="240" t="s">
        <v>116</v>
      </c>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91"/>
      <c r="AB38" s="91"/>
      <c r="AC38" s="91"/>
      <c r="AD38" s="91"/>
      <c r="AE38" s="91"/>
      <c r="AF38" s="34"/>
      <c r="AG38" s="34"/>
      <c r="AH38" s="34"/>
      <c r="AI38" s="34"/>
      <c r="AJ38" s="34"/>
      <c r="AK38" s="34"/>
      <c r="AL38" s="34"/>
      <c r="AM38" s="34"/>
      <c r="AN38" s="34"/>
      <c r="AO38" s="34"/>
      <c r="AP38" s="34"/>
    </row>
    <row r="39" spans="1:42" ht="18.95" customHeight="1" x14ac:dyDescent="0.25">
      <c r="A39" s="88"/>
      <c r="B39" s="79">
        <f t="shared" si="0"/>
        <v>8</v>
      </c>
      <c r="C39" s="240" t="s">
        <v>117</v>
      </c>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91"/>
      <c r="AB39" s="91"/>
      <c r="AC39" s="91"/>
      <c r="AD39" s="91"/>
      <c r="AE39" s="91"/>
      <c r="AF39" s="34"/>
      <c r="AG39" s="34"/>
      <c r="AH39" s="34"/>
      <c r="AI39" s="34"/>
      <c r="AJ39" s="34"/>
      <c r="AK39" s="34"/>
      <c r="AL39" s="34"/>
      <c r="AM39" s="34"/>
      <c r="AN39" s="34"/>
      <c r="AO39" s="34"/>
      <c r="AP39" s="34"/>
    </row>
    <row r="40" spans="1:42" ht="18.95" customHeight="1" x14ac:dyDescent="0.25">
      <c r="A40" s="88"/>
      <c r="B40" s="79">
        <f t="shared" si="0"/>
        <v>9</v>
      </c>
      <c r="C40" s="240" t="s">
        <v>45</v>
      </c>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91"/>
      <c r="AB40" s="91"/>
      <c r="AC40" s="91"/>
      <c r="AD40" s="91"/>
      <c r="AE40" s="91"/>
      <c r="AF40" s="34"/>
      <c r="AG40" s="34"/>
      <c r="AH40" s="34"/>
      <c r="AI40" s="34"/>
      <c r="AJ40" s="34"/>
      <c r="AK40" s="34"/>
      <c r="AL40" s="34"/>
      <c r="AM40" s="34"/>
      <c r="AN40" s="34"/>
      <c r="AO40" s="34"/>
      <c r="AP40" s="34"/>
    </row>
    <row r="41" spans="1:42" ht="18.95" customHeight="1" x14ac:dyDescent="0.25">
      <c r="A41" s="88"/>
      <c r="B41" s="79">
        <f t="shared" si="0"/>
        <v>10</v>
      </c>
      <c r="C41" s="240" t="s">
        <v>46</v>
      </c>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91"/>
      <c r="AB41" s="91"/>
      <c r="AC41" s="91"/>
      <c r="AD41" s="91"/>
      <c r="AE41" s="91"/>
      <c r="AF41" s="34"/>
      <c r="AG41" s="34"/>
      <c r="AH41" s="34"/>
      <c r="AI41" s="34"/>
      <c r="AJ41" s="34"/>
      <c r="AK41" s="34"/>
      <c r="AL41" s="34"/>
      <c r="AM41" s="34"/>
      <c r="AN41" s="34"/>
      <c r="AO41" s="34"/>
      <c r="AP41" s="34"/>
    </row>
    <row r="42" spans="1:42" ht="18.95" customHeight="1" x14ac:dyDescent="0.25">
      <c r="A42" s="88"/>
      <c r="B42" s="79">
        <f t="shared" si="0"/>
        <v>11</v>
      </c>
      <c r="C42" s="240" t="s">
        <v>325</v>
      </c>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91"/>
      <c r="AB42" s="91"/>
      <c r="AC42" s="91"/>
      <c r="AD42" s="91"/>
      <c r="AE42" s="91"/>
      <c r="AF42" s="34"/>
      <c r="AG42" s="34"/>
      <c r="AH42" s="34"/>
      <c r="AI42" s="34"/>
      <c r="AJ42" s="34"/>
      <c r="AK42" s="34"/>
      <c r="AL42" s="34"/>
      <c r="AM42" s="34"/>
      <c r="AN42" s="34"/>
      <c r="AO42" s="34"/>
      <c r="AP42" s="34"/>
    </row>
    <row r="43" spans="1:42" x14ac:dyDescent="0.25">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82"/>
      <c r="AA43" s="82"/>
      <c r="AB43" s="82"/>
      <c r="AC43" s="82"/>
      <c r="AD43" s="89"/>
      <c r="AE43" s="82"/>
      <c r="AF43" s="34"/>
      <c r="AG43" s="34"/>
      <c r="AH43" s="34"/>
      <c r="AI43" s="34"/>
      <c r="AJ43" s="34"/>
      <c r="AK43" s="34"/>
      <c r="AL43" s="34"/>
      <c r="AM43" s="34"/>
      <c r="AN43" s="34"/>
      <c r="AO43" s="34"/>
      <c r="AP43" s="34"/>
    </row>
    <row r="44" spans="1:42" ht="15.75" x14ac:dyDescent="0.25">
      <c r="A44" s="76" t="s">
        <v>104</v>
      </c>
      <c r="B44" s="90" t="s">
        <v>207</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82"/>
      <c r="AD44" s="89"/>
      <c r="AE44" s="82"/>
      <c r="AF44" s="34"/>
      <c r="AG44" s="34"/>
      <c r="AH44" s="34"/>
      <c r="AI44" s="34"/>
      <c r="AJ44" s="34"/>
      <c r="AK44" s="34"/>
      <c r="AL44" s="34"/>
      <c r="AM44" s="34"/>
      <c r="AN44" s="34"/>
      <c r="AO44" s="34"/>
      <c r="AP44" s="34"/>
    </row>
    <row r="45" spans="1:42" ht="15.75" x14ac:dyDescent="0.25">
      <c r="A45" s="90" t="s">
        <v>283</v>
      </c>
      <c r="B45" s="90"/>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82"/>
      <c r="AD45" s="89"/>
      <c r="AE45" s="82"/>
      <c r="AF45" s="34"/>
      <c r="AG45" s="34"/>
      <c r="AH45" s="34"/>
      <c r="AI45" s="34"/>
      <c r="AJ45" s="34"/>
      <c r="AK45" s="34"/>
      <c r="AL45" s="34"/>
      <c r="AM45" s="34"/>
      <c r="AN45" s="34"/>
      <c r="AO45" s="34"/>
      <c r="AP45" s="34"/>
    </row>
    <row r="46" spans="1:42" ht="15.75" customHeight="1" x14ac:dyDescent="0.25">
      <c r="B46" s="32"/>
      <c r="Y46" s="58" t="s">
        <v>210</v>
      </c>
      <c r="AD46" s="34"/>
      <c r="AE46" s="34"/>
      <c r="AF46" s="34"/>
      <c r="AG46" s="34"/>
      <c r="AH46" s="34"/>
      <c r="AI46" s="34"/>
      <c r="AJ46" s="34"/>
      <c r="AK46" s="34"/>
      <c r="AL46" s="34"/>
      <c r="AM46" s="34"/>
      <c r="AN46" s="34"/>
      <c r="AO46" s="34"/>
      <c r="AP46" s="34"/>
    </row>
    <row r="47" spans="1:42" ht="31.5" customHeight="1" x14ac:dyDescent="0.25">
      <c r="A47" s="424" t="s">
        <v>103</v>
      </c>
      <c r="B47" s="492" t="s">
        <v>285</v>
      </c>
      <c r="C47" s="493"/>
      <c r="D47" s="493"/>
      <c r="E47" s="494"/>
      <c r="F47" s="33"/>
      <c r="G47" s="33"/>
      <c r="H47" s="33"/>
      <c r="I47" s="33"/>
      <c r="J47" s="33"/>
      <c r="K47" s="498" t="s">
        <v>99</v>
      </c>
      <c r="L47" s="324"/>
      <c r="M47" s="325"/>
      <c r="N47" s="27"/>
      <c r="O47" s="27"/>
      <c r="P47" s="498" t="s">
        <v>241</v>
      </c>
      <c r="Q47" s="324"/>
      <c r="R47" s="324"/>
      <c r="S47" s="324"/>
      <c r="T47" s="324"/>
      <c r="U47" s="325"/>
      <c r="V47" s="323" t="s">
        <v>100</v>
      </c>
      <c r="W47" s="324"/>
      <c r="X47" s="324"/>
      <c r="Y47" s="325"/>
      <c r="Z47" s="34"/>
      <c r="AD47" s="34"/>
      <c r="AE47" s="34"/>
      <c r="AF47" s="34"/>
      <c r="AG47" s="34"/>
      <c r="AH47" s="34"/>
      <c r="AI47" s="34"/>
      <c r="AJ47" s="34"/>
      <c r="AK47" s="34"/>
      <c r="AL47" s="34"/>
      <c r="AM47" s="34"/>
      <c r="AN47" s="34"/>
      <c r="AO47" s="34"/>
      <c r="AP47" s="34"/>
    </row>
    <row r="48" spans="1:42" ht="30" customHeight="1" x14ac:dyDescent="0.25">
      <c r="A48" s="425"/>
      <c r="B48" s="495"/>
      <c r="C48" s="496"/>
      <c r="D48" s="496"/>
      <c r="E48" s="497"/>
      <c r="F48" s="35"/>
      <c r="G48" s="35"/>
      <c r="H48" s="35"/>
      <c r="I48" s="35"/>
      <c r="J48" s="35"/>
      <c r="K48" s="25" t="s">
        <v>96</v>
      </c>
      <c r="L48" s="25" t="s">
        <v>97</v>
      </c>
      <c r="M48" s="25" t="s">
        <v>98</v>
      </c>
      <c r="N48" s="26"/>
      <c r="O48" s="26"/>
      <c r="P48" s="323" t="s">
        <v>96</v>
      </c>
      <c r="Q48" s="325"/>
      <c r="R48" s="323" t="s">
        <v>97</v>
      </c>
      <c r="S48" s="325"/>
      <c r="T48" s="323" t="s">
        <v>98</v>
      </c>
      <c r="U48" s="325"/>
      <c r="V48" s="36" t="s">
        <v>96</v>
      </c>
      <c r="W48" s="36"/>
      <c r="X48" s="25" t="s">
        <v>97</v>
      </c>
      <c r="Y48" s="25" t="s">
        <v>98</v>
      </c>
      <c r="Z48" s="34"/>
      <c r="AD48" s="34"/>
      <c r="AE48" s="34"/>
      <c r="AF48" s="34"/>
      <c r="AG48" s="34"/>
      <c r="AH48" s="34"/>
      <c r="AI48" s="34"/>
      <c r="AJ48" s="34"/>
      <c r="AK48" s="34"/>
      <c r="AL48" s="34"/>
      <c r="AM48" s="34"/>
      <c r="AN48" s="34"/>
      <c r="AO48" s="34"/>
      <c r="AP48" s="34"/>
    </row>
    <row r="49" spans="1:42" x14ac:dyDescent="0.25">
      <c r="A49" s="37">
        <v>1</v>
      </c>
      <c r="B49" s="323">
        <v>2</v>
      </c>
      <c r="C49" s="324"/>
      <c r="D49" s="324"/>
      <c r="E49" s="325"/>
      <c r="F49" s="28"/>
      <c r="G49" s="28"/>
      <c r="H49" s="28"/>
      <c r="I49" s="28"/>
      <c r="J49" s="28"/>
      <c r="K49" s="25">
        <v>3</v>
      </c>
      <c r="L49" s="25">
        <v>4</v>
      </c>
      <c r="M49" s="25">
        <v>5</v>
      </c>
      <c r="N49" s="26"/>
      <c r="O49" s="26"/>
      <c r="P49" s="323">
        <v>6</v>
      </c>
      <c r="Q49" s="325"/>
      <c r="R49" s="323">
        <v>7</v>
      </c>
      <c r="S49" s="325"/>
      <c r="T49" s="323">
        <v>8</v>
      </c>
      <c r="U49" s="325"/>
      <c r="V49" s="25">
        <v>9</v>
      </c>
      <c r="W49" s="25"/>
      <c r="X49" s="25">
        <v>10</v>
      </c>
      <c r="Y49" s="25">
        <v>11</v>
      </c>
      <c r="Z49" s="38"/>
      <c r="AD49" s="34"/>
      <c r="AE49" s="34"/>
      <c r="AF49" s="34"/>
      <c r="AG49" s="34"/>
      <c r="AH49" s="34"/>
      <c r="AI49" s="34"/>
      <c r="AJ49" s="34"/>
      <c r="AK49" s="34"/>
      <c r="AL49" s="34"/>
      <c r="AM49" s="34"/>
      <c r="AN49" s="34"/>
      <c r="AO49" s="34"/>
      <c r="AP49" s="34"/>
    </row>
    <row r="50" spans="1:42" ht="59.25" customHeight="1" x14ac:dyDescent="0.25">
      <c r="A50" s="47">
        <v>1</v>
      </c>
      <c r="B50" s="365" t="s">
        <v>326</v>
      </c>
      <c r="C50" s="307"/>
      <c r="D50" s="307"/>
      <c r="E50" s="271"/>
      <c r="F50" s="20"/>
      <c r="G50" s="20"/>
      <c r="H50" s="20"/>
      <c r="I50" s="20"/>
      <c r="J50" s="20"/>
      <c r="K50" s="30">
        <f>P97</f>
        <v>36247890</v>
      </c>
      <c r="L50" s="30">
        <f>R97</f>
        <v>0</v>
      </c>
      <c r="M50" s="30">
        <f>K50+L50</f>
        <v>36247890</v>
      </c>
      <c r="N50" s="31"/>
      <c r="O50" s="31"/>
      <c r="P50" s="454">
        <f>V97</f>
        <v>32274785.370000001</v>
      </c>
      <c r="Q50" s="455"/>
      <c r="R50" s="454">
        <f>X97</f>
        <v>0</v>
      </c>
      <c r="S50" s="455"/>
      <c r="T50" s="454">
        <f t="shared" ref="T50:T57" si="1">P50+R50</f>
        <v>32274785.370000001</v>
      </c>
      <c r="U50" s="455"/>
      <c r="V50" s="30">
        <f t="shared" ref="V50:V60" si="2">P50-K50</f>
        <v>-3973104.629999999</v>
      </c>
      <c r="W50" s="30"/>
      <c r="X50" s="30">
        <f t="shared" ref="X50:X56" si="3">R50-L50</f>
        <v>0</v>
      </c>
      <c r="Y50" s="30">
        <f t="shared" ref="Y50:Y61" si="4">V50+X50</f>
        <v>-3973104.629999999</v>
      </c>
      <c r="Z50" s="34"/>
      <c r="AD50" s="34"/>
      <c r="AE50" s="34"/>
      <c r="AF50" s="34"/>
      <c r="AG50" s="34"/>
      <c r="AH50" s="34"/>
      <c r="AI50" s="34"/>
      <c r="AJ50" s="34"/>
      <c r="AK50" s="34"/>
      <c r="AL50" s="34"/>
      <c r="AM50" s="34"/>
      <c r="AN50" s="34"/>
      <c r="AO50" s="34"/>
      <c r="AP50" s="34"/>
    </row>
    <row r="51" spans="1:42" ht="22.5" customHeight="1" x14ac:dyDescent="0.25">
      <c r="A51" s="47">
        <v>2</v>
      </c>
      <c r="B51" s="365" t="s">
        <v>209</v>
      </c>
      <c r="C51" s="307"/>
      <c r="D51" s="307"/>
      <c r="E51" s="271"/>
      <c r="F51" s="20"/>
      <c r="G51" s="20"/>
      <c r="H51" s="20"/>
      <c r="I51" s="20"/>
      <c r="J51" s="20"/>
      <c r="K51" s="30">
        <f>P131+P132</f>
        <v>10364970</v>
      </c>
      <c r="L51" s="30"/>
      <c r="M51" s="30">
        <f t="shared" ref="M51:M60" si="5">K51+L51</f>
        <v>10364970</v>
      </c>
      <c r="N51" s="30"/>
      <c r="O51" s="30"/>
      <c r="P51" s="362">
        <f>V131</f>
        <v>10126160.220000001</v>
      </c>
      <c r="Q51" s="362"/>
      <c r="R51" s="362"/>
      <c r="S51" s="362"/>
      <c r="T51" s="362">
        <f t="shared" si="1"/>
        <v>10126160.220000001</v>
      </c>
      <c r="U51" s="362"/>
      <c r="V51" s="30">
        <f t="shared" si="2"/>
        <v>-238809.77999999933</v>
      </c>
      <c r="W51" s="30"/>
      <c r="X51" s="30">
        <f t="shared" si="3"/>
        <v>0</v>
      </c>
      <c r="Y51" s="30">
        <f t="shared" si="4"/>
        <v>-238809.77999999933</v>
      </c>
      <c r="Z51" s="34"/>
      <c r="AD51" s="34"/>
      <c r="AE51" s="34"/>
      <c r="AF51" s="34"/>
      <c r="AG51" s="34"/>
      <c r="AH51" s="34"/>
      <c r="AI51" s="34"/>
      <c r="AJ51" s="34"/>
      <c r="AK51" s="34"/>
      <c r="AL51" s="34"/>
      <c r="AM51" s="34"/>
      <c r="AN51" s="34"/>
      <c r="AO51" s="34"/>
      <c r="AP51" s="34"/>
    </row>
    <row r="52" spans="1:42" ht="34.5" customHeight="1" x14ac:dyDescent="0.25">
      <c r="A52" s="47">
        <v>3</v>
      </c>
      <c r="B52" s="365" t="s">
        <v>327</v>
      </c>
      <c r="C52" s="307"/>
      <c r="D52" s="307"/>
      <c r="E52" s="271"/>
      <c r="F52" s="20"/>
      <c r="G52" s="20"/>
      <c r="H52" s="20"/>
      <c r="I52" s="20"/>
      <c r="J52" s="20"/>
      <c r="K52" s="30">
        <f>P145</f>
        <v>40800000</v>
      </c>
      <c r="L52" s="30">
        <f>R145</f>
        <v>0</v>
      </c>
      <c r="M52" s="30">
        <f t="shared" si="5"/>
        <v>40800000</v>
      </c>
      <c r="N52" s="30"/>
      <c r="O52" s="30"/>
      <c r="P52" s="362">
        <f>V145</f>
        <v>37121760.120000005</v>
      </c>
      <c r="Q52" s="362"/>
      <c r="R52" s="362">
        <f>X145</f>
        <v>0</v>
      </c>
      <c r="S52" s="362"/>
      <c r="T52" s="362">
        <f t="shared" si="1"/>
        <v>37121760.120000005</v>
      </c>
      <c r="U52" s="362"/>
      <c r="V52" s="30">
        <f t="shared" si="2"/>
        <v>-3678239.8799999952</v>
      </c>
      <c r="W52" s="30"/>
      <c r="X52" s="30">
        <f t="shared" si="3"/>
        <v>0</v>
      </c>
      <c r="Y52" s="30">
        <f t="shared" si="4"/>
        <v>-3678239.8799999952</v>
      </c>
      <c r="Z52" s="34"/>
      <c r="AD52" s="34"/>
      <c r="AE52" s="34"/>
      <c r="AF52" s="34"/>
      <c r="AG52" s="34"/>
      <c r="AH52" s="34"/>
      <c r="AI52" s="34"/>
      <c r="AJ52" s="34"/>
      <c r="AK52" s="34"/>
      <c r="AL52" s="34"/>
      <c r="AM52" s="34"/>
      <c r="AN52" s="34"/>
      <c r="AO52" s="34"/>
      <c r="AP52" s="34"/>
    </row>
    <row r="53" spans="1:42" ht="36" customHeight="1" x14ac:dyDescent="0.25">
      <c r="A53" s="47">
        <v>4</v>
      </c>
      <c r="B53" s="365" t="s">
        <v>211</v>
      </c>
      <c r="C53" s="307"/>
      <c r="D53" s="307"/>
      <c r="E53" s="271"/>
      <c r="F53" s="20"/>
      <c r="G53" s="20"/>
      <c r="H53" s="20"/>
      <c r="I53" s="20"/>
      <c r="J53" s="20"/>
      <c r="K53" s="30">
        <f>P159</f>
        <v>6048150</v>
      </c>
      <c r="L53" s="30"/>
      <c r="M53" s="30">
        <f t="shared" si="5"/>
        <v>6048150</v>
      </c>
      <c r="N53" s="30"/>
      <c r="O53" s="30"/>
      <c r="P53" s="362">
        <f>V159</f>
        <v>5273860</v>
      </c>
      <c r="Q53" s="362"/>
      <c r="R53" s="362"/>
      <c r="S53" s="362"/>
      <c r="T53" s="362">
        <f t="shared" si="1"/>
        <v>5273860</v>
      </c>
      <c r="U53" s="362"/>
      <c r="V53" s="30">
        <f t="shared" si="2"/>
        <v>-774290</v>
      </c>
      <c r="W53" s="30"/>
      <c r="X53" s="30">
        <f t="shared" si="3"/>
        <v>0</v>
      </c>
      <c r="Y53" s="30">
        <f t="shared" si="4"/>
        <v>-774290</v>
      </c>
      <c r="Z53" s="34"/>
      <c r="AD53" s="34"/>
      <c r="AE53" s="34"/>
      <c r="AF53" s="34"/>
      <c r="AG53" s="34"/>
      <c r="AH53" s="34"/>
      <c r="AI53" s="34"/>
      <c r="AJ53" s="34"/>
      <c r="AK53" s="34"/>
      <c r="AL53" s="34"/>
      <c r="AM53" s="34"/>
      <c r="AN53" s="34"/>
      <c r="AO53" s="34"/>
      <c r="AP53" s="34"/>
    </row>
    <row r="54" spans="1:42" ht="48.75" customHeight="1" x14ac:dyDescent="0.25">
      <c r="A54" s="47">
        <v>5</v>
      </c>
      <c r="B54" s="419" t="s">
        <v>212</v>
      </c>
      <c r="C54" s="363"/>
      <c r="D54" s="363"/>
      <c r="E54" s="263"/>
      <c r="F54" s="14"/>
      <c r="G54" s="14"/>
      <c r="H54" s="14"/>
      <c r="I54" s="14"/>
      <c r="J54" s="14"/>
      <c r="K54" s="30">
        <f>P179</f>
        <v>174367150.00000003</v>
      </c>
      <c r="L54" s="30"/>
      <c r="M54" s="30">
        <f t="shared" si="5"/>
        <v>174367150.00000003</v>
      </c>
      <c r="N54" s="30"/>
      <c r="O54" s="30"/>
      <c r="P54" s="362">
        <f>V179</f>
        <v>170517752.19999999</v>
      </c>
      <c r="Q54" s="362"/>
      <c r="R54" s="362"/>
      <c r="S54" s="362"/>
      <c r="T54" s="362">
        <f t="shared" si="1"/>
        <v>170517752.19999999</v>
      </c>
      <c r="U54" s="362"/>
      <c r="V54" s="30">
        <f t="shared" si="2"/>
        <v>-3849397.8000000417</v>
      </c>
      <c r="W54" s="30"/>
      <c r="X54" s="30">
        <f t="shared" si="3"/>
        <v>0</v>
      </c>
      <c r="Y54" s="30">
        <f t="shared" si="4"/>
        <v>-3849397.8000000417</v>
      </c>
      <c r="Z54" s="34"/>
      <c r="AD54" s="34"/>
      <c r="AE54" s="34"/>
      <c r="AF54" s="34"/>
      <c r="AG54" s="34"/>
      <c r="AH54" s="34"/>
      <c r="AI54" s="34"/>
      <c r="AJ54" s="34"/>
      <c r="AK54" s="34"/>
      <c r="AL54" s="34"/>
      <c r="AM54" s="34"/>
      <c r="AN54" s="34"/>
      <c r="AO54" s="34"/>
      <c r="AP54" s="34"/>
    </row>
    <row r="55" spans="1:42" ht="50.25" customHeight="1" x14ac:dyDescent="0.25">
      <c r="A55" s="47">
        <v>6</v>
      </c>
      <c r="B55" s="419" t="s">
        <v>213</v>
      </c>
      <c r="C55" s="363"/>
      <c r="D55" s="363"/>
      <c r="E55" s="263"/>
      <c r="F55" s="14"/>
      <c r="G55" s="14"/>
      <c r="H55" s="14"/>
      <c r="I55" s="14"/>
      <c r="J55" s="14"/>
      <c r="K55" s="30">
        <f>P214</f>
        <v>10000</v>
      </c>
      <c r="L55" s="30"/>
      <c r="M55" s="30">
        <f t="shared" si="5"/>
        <v>10000</v>
      </c>
      <c r="N55" s="30"/>
      <c r="O55" s="30"/>
      <c r="P55" s="362">
        <f>V214</f>
        <v>580.28</v>
      </c>
      <c r="Q55" s="362"/>
      <c r="R55" s="362"/>
      <c r="S55" s="362"/>
      <c r="T55" s="362">
        <f t="shared" si="1"/>
        <v>580.28</v>
      </c>
      <c r="U55" s="362"/>
      <c r="V55" s="30">
        <f t="shared" si="2"/>
        <v>-9419.7199999999993</v>
      </c>
      <c r="W55" s="30"/>
      <c r="X55" s="30">
        <f t="shared" si="3"/>
        <v>0</v>
      </c>
      <c r="Y55" s="30">
        <f t="shared" si="4"/>
        <v>-9419.7199999999993</v>
      </c>
      <c r="Z55" s="34"/>
      <c r="AD55" s="34"/>
      <c r="AE55" s="34"/>
      <c r="AF55" s="34"/>
      <c r="AG55" s="34"/>
      <c r="AH55" s="34"/>
      <c r="AI55" s="34"/>
      <c r="AJ55" s="34"/>
      <c r="AK55" s="34"/>
      <c r="AL55" s="34"/>
      <c r="AM55" s="34"/>
      <c r="AN55" s="34"/>
      <c r="AO55" s="34"/>
      <c r="AP55" s="34"/>
    </row>
    <row r="56" spans="1:42" ht="34.5" customHeight="1" x14ac:dyDescent="0.25">
      <c r="A56" s="47">
        <v>7</v>
      </c>
      <c r="B56" s="419" t="s">
        <v>214</v>
      </c>
      <c r="C56" s="363"/>
      <c r="D56" s="363"/>
      <c r="E56" s="263"/>
      <c r="F56" s="14"/>
      <c r="G56" s="14"/>
      <c r="H56" s="14"/>
      <c r="I56" s="14"/>
      <c r="J56" s="14"/>
      <c r="K56" s="30">
        <f>P223</f>
        <v>3390000</v>
      </c>
      <c r="L56" s="30"/>
      <c r="M56" s="30">
        <f t="shared" si="5"/>
        <v>3390000</v>
      </c>
      <c r="N56" s="30"/>
      <c r="O56" s="30"/>
      <c r="P56" s="362">
        <f>V223</f>
        <v>1618536.9999999998</v>
      </c>
      <c r="Q56" s="362"/>
      <c r="R56" s="362"/>
      <c r="S56" s="362"/>
      <c r="T56" s="362">
        <f t="shared" si="1"/>
        <v>1618536.9999999998</v>
      </c>
      <c r="U56" s="362"/>
      <c r="V56" s="30">
        <f t="shared" si="2"/>
        <v>-1771463.0000000002</v>
      </c>
      <c r="W56" s="30"/>
      <c r="X56" s="30">
        <f t="shared" si="3"/>
        <v>0</v>
      </c>
      <c r="Y56" s="30">
        <f t="shared" si="4"/>
        <v>-1771463.0000000002</v>
      </c>
      <c r="Z56" s="34"/>
      <c r="AD56" s="34"/>
      <c r="AE56" s="34"/>
      <c r="AF56" s="34"/>
      <c r="AG56" s="34"/>
      <c r="AH56" s="34"/>
      <c r="AI56" s="34"/>
      <c r="AJ56" s="34"/>
      <c r="AK56" s="34"/>
      <c r="AL56" s="34"/>
      <c r="AM56" s="34"/>
      <c r="AN56" s="34"/>
      <c r="AO56" s="34"/>
      <c r="AP56" s="34"/>
    </row>
    <row r="57" spans="1:42" ht="65.25" customHeight="1" x14ac:dyDescent="0.25">
      <c r="A57" s="47">
        <v>8</v>
      </c>
      <c r="B57" s="419" t="s">
        <v>215</v>
      </c>
      <c r="C57" s="363"/>
      <c r="D57" s="363"/>
      <c r="E57" s="263"/>
      <c r="F57" s="14"/>
      <c r="G57" s="14"/>
      <c r="H57" s="14"/>
      <c r="I57" s="14"/>
      <c r="J57" s="14"/>
      <c r="K57" s="30">
        <f>P252</f>
        <v>2297280</v>
      </c>
      <c r="L57" s="30"/>
      <c r="M57" s="30">
        <f t="shared" si="5"/>
        <v>2297280</v>
      </c>
      <c r="N57" s="30"/>
      <c r="O57" s="30"/>
      <c r="P57" s="362">
        <f>V252</f>
        <v>2236464.5900000003</v>
      </c>
      <c r="Q57" s="362"/>
      <c r="R57" s="362"/>
      <c r="S57" s="362"/>
      <c r="T57" s="362">
        <f t="shared" si="1"/>
        <v>2236464.5900000003</v>
      </c>
      <c r="U57" s="362"/>
      <c r="V57" s="30">
        <f t="shared" si="2"/>
        <v>-60815.409999999683</v>
      </c>
      <c r="W57" s="30"/>
      <c r="X57" s="30"/>
      <c r="Y57" s="30">
        <f t="shared" si="4"/>
        <v>-60815.409999999683</v>
      </c>
      <c r="Z57" s="34"/>
      <c r="AD57" s="34"/>
      <c r="AE57" s="34"/>
      <c r="AF57" s="34"/>
      <c r="AG57" s="34"/>
      <c r="AH57" s="34"/>
      <c r="AI57" s="34"/>
      <c r="AJ57" s="34"/>
      <c r="AK57" s="34"/>
      <c r="AL57" s="34"/>
      <c r="AM57" s="34"/>
      <c r="AN57" s="34"/>
      <c r="AO57" s="34"/>
      <c r="AP57" s="34"/>
    </row>
    <row r="58" spans="1:42" ht="34.5" customHeight="1" x14ac:dyDescent="0.25">
      <c r="A58" s="47">
        <v>9</v>
      </c>
      <c r="B58" s="419" t="s">
        <v>216</v>
      </c>
      <c r="C58" s="363"/>
      <c r="D58" s="363"/>
      <c r="E58" s="263"/>
      <c r="F58" s="14"/>
      <c r="G58" s="14"/>
      <c r="H58" s="14"/>
      <c r="I58" s="14"/>
      <c r="J58" s="14"/>
      <c r="K58" s="30">
        <f>P265</f>
        <v>1032000</v>
      </c>
      <c r="L58" s="30"/>
      <c r="M58" s="30">
        <f t="shared" si="5"/>
        <v>1032000</v>
      </c>
      <c r="N58" s="30"/>
      <c r="O58" s="30"/>
      <c r="P58" s="362">
        <f>V265</f>
        <v>809844.41</v>
      </c>
      <c r="Q58" s="362"/>
      <c r="R58" s="362"/>
      <c r="S58" s="362"/>
      <c r="T58" s="362">
        <f>P58+R58</f>
        <v>809844.41</v>
      </c>
      <c r="U58" s="362"/>
      <c r="V58" s="30">
        <f t="shared" si="2"/>
        <v>-222155.58999999997</v>
      </c>
      <c r="W58" s="30"/>
      <c r="X58" s="30">
        <f>R58-L58</f>
        <v>0</v>
      </c>
      <c r="Y58" s="30">
        <f t="shared" si="4"/>
        <v>-222155.58999999997</v>
      </c>
      <c r="Z58" s="34"/>
      <c r="AD58" s="34"/>
      <c r="AE58" s="34"/>
      <c r="AF58" s="34"/>
      <c r="AG58" s="34"/>
      <c r="AH58" s="34"/>
      <c r="AI58" s="34"/>
      <c r="AJ58" s="34"/>
      <c r="AK58" s="34"/>
      <c r="AL58" s="34"/>
      <c r="AM58" s="34"/>
      <c r="AN58" s="34"/>
      <c r="AO58" s="34"/>
      <c r="AP58" s="34"/>
    </row>
    <row r="59" spans="1:42" ht="36.75" customHeight="1" x14ac:dyDescent="0.25">
      <c r="A59" s="47">
        <v>10</v>
      </c>
      <c r="B59" s="365" t="s">
        <v>217</v>
      </c>
      <c r="C59" s="307"/>
      <c r="D59" s="307"/>
      <c r="E59" s="271"/>
      <c r="F59" s="20"/>
      <c r="G59" s="20"/>
      <c r="H59" s="20"/>
      <c r="I59" s="20"/>
      <c r="J59" s="20"/>
      <c r="K59" s="30"/>
      <c r="L59" s="30">
        <f>R277</f>
        <v>673500</v>
      </c>
      <c r="M59" s="30">
        <f t="shared" si="5"/>
        <v>673500</v>
      </c>
      <c r="N59" s="30"/>
      <c r="O59" s="30"/>
      <c r="P59" s="362"/>
      <c r="Q59" s="362"/>
      <c r="R59" s="454">
        <f>X277</f>
        <v>8494.8700000000008</v>
      </c>
      <c r="S59" s="455"/>
      <c r="T59" s="362">
        <f>P59+R59</f>
        <v>8494.8700000000008</v>
      </c>
      <c r="U59" s="362"/>
      <c r="V59" s="30">
        <f t="shared" si="2"/>
        <v>0</v>
      </c>
      <c r="W59" s="30"/>
      <c r="X59" s="30">
        <f>R59-L59</f>
        <v>-665005.13</v>
      </c>
      <c r="Y59" s="30">
        <f t="shared" si="4"/>
        <v>-665005.13</v>
      </c>
      <c r="Z59" s="34"/>
      <c r="AD59" s="34"/>
      <c r="AE59" s="34"/>
      <c r="AF59" s="34"/>
      <c r="AG59" s="34"/>
      <c r="AH59" s="34"/>
      <c r="AI59" s="34"/>
      <c r="AJ59" s="34"/>
      <c r="AK59" s="34"/>
      <c r="AL59" s="34"/>
      <c r="AM59" s="34"/>
      <c r="AN59" s="34"/>
      <c r="AO59" s="34"/>
      <c r="AP59" s="34"/>
    </row>
    <row r="60" spans="1:42" ht="51.75" customHeight="1" x14ac:dyDescent="0.25">
      <c r="A60" s="47">
        <v>11</v>
      </c>
      <c r="B60" s="365" t="s">
        <v>328</v>
      </c>
      <c r="C60" s="307"/>
      <c r="D60" s="307"/>
      <c r="E60" s="271"/>
      <c r="F60" s="20"/>
      <c r="G60" s="20"/>
      <c r="H60" s="20"/>
      <c r="I60" s="20"/>
      <c r="J60" s="20"/>
      <c r="K60" s="30">
        <f>P290</f>
        <v>7180412</v>
      </c>
      <c r="L60" s="30"/>
      <c r="M60" s="30">
        <f t="shared" si="5"/>
        <v>7180412</v>
      </c>
      <c r="N60" s="30"/>
      <c r="O60" s="30"/>
      <c r="P60" s="362">
        <f>V290</f>
        <v>6057252.5300000003</v>
      </c>
      <c r="Q60" s="362"/>
      <c r="R60" s="362"/>
      <c r="S60" s="362"/>
      <c r="T60" s="362">
        <f>P60+R60</f>
        <v>6057252.5300000003</v>
      </c>
      <c r="U60" s="362"/>
      <c r="V60" s="30">
        <f t="shared" si="2"/>
        <v>-1123159.4699999997</v>
      </c>
      <c r="W60" s="30"/>
      <c r="X60" s="30">
        <f>R60-L60</f>
        <v>0</v>
      </c>
      <c r="Y60" s="30">
        <f t="shared" si="4"/>
        <v>-1123159.4699999997</v>
      </c>
      <c r="Z60" s="34"/>
      <c r="AD60" s="34"/>
      <c r="AE60" s="34"/>
      <c r="AF60" s="34"/>
      <c r="AG60" s="34"/>
      <c r="AH60" s="34"/>
      <c r="AI60" s="34"/>
      <c r="AJ60" s="34"/>
      <c r="AK60" s="34"/>
      <c r="AL60" s="34"/>
      <c r="AM60" s="34"/>
      <c r="AN60" s="34"/>
      <c r="AO60" s="34"/>
      <c r="AP60" s="34"/>
    </row>
    <row r="61" spans="1:42" ht="19.5" customHeight="1" x14ac:dyDescent="0.25">
      <c r="A61" s="44"/>
      <c r="B61" s="456" t="s">
        <v>102</v>
      </c>
      <c r="C61" s="457"/>
      <c r="D61" s="457"/>
      <c r="E61" s="458"/>
      <c r="F61" s="39"/>
      <c r="G61" s="39"/>
      <c r="H61" s="39"/>
      <c r="I61" s="39"/>
      <c r="J61" s="39"/>
      <c r="K61" s="30">
        <f>SUM(K50:K60)</f>
        <v>281737852</v>
      </c>
      <c r="L61" s="30">
        <f>SUM(L50:L60)</f>
        <v>673500</v>
      </c>
      <c r="M61" s="30">
        <f>K61+L61</f>
        <v>282411352</v>
      </c>
      <c r="N61" s="30"/>
      <c r="O61" s="30"/>
      <c r="P61" s="362">
        <f>SUM(P50:Q60)</f>
        <v>266036996.72</v>
      </c>
      <c r="Q61" s="362"/>
      <c r="R61" s="362">
        <f>SUM(R50:S60)</f>
        <v>8494.8700000000008</v>
      </c>
      <c r="S61" s="362"/>
      <c r="T61" s="362">
        <f>P61+R61</f>
        <v>266045491.59</v>
      </c>
      <c r="U61" s="362"/>
      <c r="V61" s="30">
        <f>SUM(V50:V60)</f>
        <v>-15700855.280000035</v>
      </c>
      <c r="W61" s="30"/>
      <c r="X61" s="30">
        <f>SUM(X50:X60)</f>
        <v>-665005.13</v>
      </c>
      <c r="Y61" s="30">
        <f t="shared" si="4"/>
        <v>-16365860.410000036</v>
      </c>
      <c r="AA61" s="150"/>
      <c r="AD61" s="165"/>
      <c r="AE61" s="34"/>
      <c r="AF61" s="165"/>
      <c r="AG61" s="34"/>
      <c r="AH61" s="34"/>
      <c r="AI61" s="34"/>
      <c r="AJ61" s="34"/>
      <c r="AK61" s="34"/>
      <c r="AL61" s="34"/>
      <c r="AM61" s="34"/>
      <c r="AN61" s="34"/>
      <c r="AO61" s="34"/>
      <c r="AP61" s="34"/>
    </row>
    <row r="62" spans="1:42" x14ac:dyDescent="0.25">
      <c r="B62" s="40"/>
      <c r="C62" s="40"/>
      <c r="D62" s="40"/>
      <c r="E62" s="40"/>
      <c r="F62" s="40"/>
      <c r="G62" s="40"/>
      <c r="H62" s="40"/>
      <c r="I62" s="40"/>
      <c r="J62" s="40"/>
      <c r="K62" s="40"/>
      <c r="L62" s="40"/>
      <c r="M62" s="40"/>
      <c r="N62" s="40"/>
      <c r="O62" s="40"/>
      <c r="P62" s="40"/>
      <c r="Q62" s="40"/>
      <c r="R62" s="40"/>
      <c r="S62" s="40"/>
      <c r="T62" s="40"/>
      <c r="U62" s="40"/>
      <c r="V62" s="40"/>
      <c r="W62" s="40"/>
      <c r="X62" s="40"/>
      <c r="Y62" s="40"/>
      <c r="AD62" s="34"/>
      <c r="AE62" s="34"/>
      <c r="AF62" s="34"/>
      <c r="AG62" s="34"/>
      <c r="AH62" s="34"/>
      <c r="AI62" s="34"/>
      <c r="AJ62" s="34"/>
      <c r="AK62" s="34"/>
      <c r="AL62" s="34"/>
      <c r="AM62" s="34"/>
      <c r="AN62" s="34"/>
      <c r="AO62" s="34"/>
      <c r="AP62" s="34"/>
    </row>
    <row r="63" spans="1:42" ht="15.75" x14ac:dyDescent="0.25">
      <c r="A63" s="188" t="s">
        <v>60</v>
      </c>
      <c r="B63" s="82"/>
      <c r="C63" s="189"/>
      <c r="D63" s="189"/>
      <c r="E63" s="189"/>
      <c r="F63" s="189"/>
      <c r="G63" s="189"/>
      <c r="H63" s="189"/>
      <c r="I63" s="190"/>
      <c r="J63" s="190"/>
      <c r="K63" s="190"/>
      <c r="L63" s="190"/>
      <c r="M63" s="190"/>
      <c r="N63" s="190"/>
      <c r="O63" s="190"/>
      <c r="P63" s="190"/>
      <c r="Q63" s="190"/>
      <c r="R63" s="190"/>
      <c r="S63" s="40"/>
      <c r="T63" s="40"/>
      <c r="U63" s="40"/>
      <c r="V63" s="40"/>
      <c r="W63" s="40"/>
      <c r="X63" s="40"/>
      <c r="Y63" s="40"/>
      <c r="AD63" s="34"/>
      <c r="AE63" s="34"/>
      <c r="AF63" s="34"/>
      <c r="AG63" s="34"/>
      <c r="AH63" s="34"/>
      <c r="AI63" s="34"/>
      <c r="AJ63" s="34"/>
      <c r="AK63" s="34"/>
      <c r="AL63" s="34"/>
      <c r="AM63" s="34"/>
      <c r="AN63" s="34"/>
      <c r="AO63" s="34"/>
      <c r="AP63" s="34"/>
    </row>
    <row r="64" spans="1:42" ht="15.75" x14ac:dyDescent="0.25">
      <c r="A64" s="72"/>
      <c r="B64" s="82"/>
      <c r="C64" s="189"/>
      <c r="D64" s="189"/>
      <c r="E64" s="189"/>
      <c r="F64" s="189"/>
      <c r="G64" s="189"/>
      <c r="H64" s="189"/>
      <c r="I64" s="190"/>
      <c r="J64" s="190"/>
      <c r="K64" s="190"/>
      <c r="L64" s="190"/>
      <c r="M64" s="190"/>
      <c r="N64" s="190"/>
      <c r="O64" s="190"/>
      <c r="P64" s="190"/>
      <c r="Q64" s="190"/>
      <c r="R64" s="190"/>
      <c r="S64" s="40"/>
      <c r="T64" s="40"/>
      <c r="U64" s="40"/>
      <c r="V64" s="40"/>
      <c r="W64" s="40"/>
      <c r="X64" s="40"/>
      <c r="Y64" s="40"/>
      <c r="AD64" s="34"/>
      <c r="AE64" s="34"/>
      <c r="AF64" s="34"/>
      <c r="AG64" s="34"/>
      <c r="AH64" s="34"/>
      <c r="AI64" s="34"/>
      <c r="AJ64" s="34"/>
      <c r="AK64" s="34"/>
      <c r="AL64" s="34"/>
      <c r="AM64" s="34"/>
      <c r="AN64" s="34"/>
      <c r="AO64" s="34"/>
      <c r="AP64" s="34"/>
    </row>
    <row r="65" spans="1:42" ht="20.25" customHeight="1" x14ac:dyDescent="0.25">
      <c r="A65" s="72"/>
      <c r="B65" s="191" t="s">
        <v>103</v>
      </c>
      <c r="C65" s="239" t="s">
        <v>61</v>
      </c>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D65" s="34"/>
      <c r="AE65" s="34"/>
      <c r="AF65" s="34"/>
      <c r="AG65" s="34"/>
      <c r="AH65" s="34"/>
      <c r="AI65" s="34"/>
      <c r="AJ65" s="34"/>
      <c r="AK65" s="34"/>
      <c r="AL65" s="34"/>
      <c r="AM65" s="34"/>
      <c r="AN65" s="34"/>
      <c r="AO65" s="34"/>
      <c r="AP65" s="34"/>
    </row>
    <row r="66" spans="1:42" ht="15.75" x14ac:dyDescent="0.25">
      <c r="A66" s="72"/>
      <c r="B66" s="191">
        <v>1</v>
      </c>
      <c r="C66" s="239">
        <v>2</v>
      </c>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D66" s="34"/>
      <c r="AE66" s="34"/>
      <c r="AF66" s="34"/>
      <c r="AG66" s="34"/>
      <c r="AH66" s="34"/>
      <c r="AI66" s="34"/>
      <c r="AJ66" s="34"/>
      <c r="AK66" s="34"/>
      <c r="AL66" s="34"/>
      <c r="AM66" s="34"/>
      <c r="AN66" s="34"/>
      <c r="AO66" s="34"/>
      <c r="AP66" s="34"/>
    </row>
    <row r="67" spans="1:42" ht="34.5" customHeight="1" x14ac:dyDescent="0.25">
      <c r="A67" s="72"/>
      <c r="B67" s="220">
        <v>1</v>
      </c>
      <c r="C67" s="240" t="s">
        <v>301</v>
      </c>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D67" s="34"/>
      <c r="AE67" s="34"/>
      <c r="AF67" s="34"/>
      <c r="AG67" s="34"/>
      <c r="AH67" s="34"/>
      <c r="AI67" s="34"/>
      <c r="AJ67" s="34"/>
      <c r="AK67" s="34"/>
      <c r="AL67" s="34"/>
      <c r="AM67" s="34"/>
      <c r="AN67" s="34"/>
      <c r="AO67" s="34"/>
      <c r="AP67" s="34"/>
    </row>
    <row r="68" spans="1:42" ht="18" customHeight="1" x14ac:dyDescent="0.25">
      <c r="B68" s="25">
        <f>B67+1</f>
        <v>2</v>
      </c>
      <c r="C68" s="236" t="s">
        <v>302</v>
      </c>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D68" s="34"/>
      <c r="AE68" s="34"/>
      <c r="AF68" s="34"/>
      <c r="AG68" s="34"/>
      <c r="AH68" s="34"/>
      <c r="AI68" s="34"/>
      <c r="AJ68" s="34"/>
      <c r="AK68" s="34"/>
      <c r="AL68" s="34"/>
      <c r="AM68" s="34"/>
      <c r="AN68" s="34"/>
      <c r="AO68" s="34"/>
      <c r="AP68" s="34"/>
    </row>
    <row r="69" spans="1:42" ht="18" customHeight="1" x14ac:dyDescent="0.25">
      <c r="B69" s="25">
        <f t="shared" ref="B69:B77" si="6">B68+1</f>
        <v>3</v>
      </c>
      <c r="C69" s="236" t="s">
        <v>303</v>
      </c>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D69" s="34"/>
      <c r="AE69" s="34"/>
      <c r="AF69" s="34"/>
      <c r="AG69" s="34"/>
      <c r="AH69" s="34"/>
      <c r="AI69" s="34"/>
      <c r="AJ69" s="34"/>
      <c r="AK69" s="34"/>
      <c r="AL69" s="34"/>
      <c r="AM69" s="34"/>
      <c r="AN69" s="34"/>
      <c r="AO69" s="34"/>
      <c r="AP69" s="34"/>
    </row>
    <row r="70" spans="1:42" ht="33" customHeight="1" x14ac:dyDescent="0.25">
      <c r="B70" s="25">
        <f t="shared" si="6"/>
        <v>4</v>
      </c>
      <c r="C70" s="236" t="s">
        <v>305</v>
      </c>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D70" s="34"/>
      <c r="AE70" s="34"/>
      <c r="AF70" s="34"/>
      <c r="AG70" s="34"/>
      <c r="AH70" s="34"/>
      <c r="AI70" s="34"/>
      <c r="AJ70" s="34"/>
      <c r="AK70" s="34"/>
      <c r="AL70" s="34"/>
      <c r="AM70" s="34"/>
      <c r="AN70" s="34"/>
      <c r="AO70" s="34"/>
      <c r="AP70" s="34"/>
    </row>
    <row r="71" spans="1:42" ht="18" customHeight="1" x14ac:dyDescent="0.25">
      <c r="B71" s="25">
        <f t="shared" si="6"/>
        <v>5</v>
      </c>
      <c r="C71" s="235" t="s">
        <v>266</v>
      </c>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D71" s="34"/>
      <c r="AE71" s="34"/>
      <c r="AF71" s="34"/>
      <c r="AG71" s="34"/>
      <c r="AH71" s="34"/>
      <c r="AI71" s="34"/>
      <c r="AJ71" s="34"/>
      <c r="AK71" s="34"/>
      <c r="AL71" s="34"/>
      <c r="AM71" s="34"/>
      <c r="AN71" s="34"/>
      <c r="AO71" s="34"/>
      <c r="AP71" s="34"/>
    </row>
    <row r="72" spans="1:42" ht="18" customHeight="1" x14ac:dyDescent="0.25">
      <c r="B72" s="25">
        <f t="shared" si="6"/>
        <v>6</v>
      </c>
      <c r="C72" s="235" t="s">
        <v>265</v>
      </c>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D72" s="34"/>
      <c r="AE72" s="34"/>
      <c r="AF72" s="34"/>
      <c r="AG72" s="34"/>
      <c r="AH72" s="34"/>
      <c r="AI72" s="34"/>
      <c r="AJ72" s="34"/>
      <c r="AK72" s="34"/>
      <c r="AL72" s="34"/>
      <c r="AM72" s="34"/>
      <c r="AN72" s="34"/>
      <c r="AO72" s="34"/>
      <c r="AP72" s="34"/>
    </row>
    <row r="73" spans="1:42" ht="48" customHeight="1" x14ac:dyDescent="0.25">
      <c r="B73" s="25">
        <f t="shared" si="6"/>
        <v>7</v>
      </c>
      <c r="C73" s="240" t="s">
        <v>306</v>
      </c>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D73" s="34"/>
      <c r="AE73" s="34"/>
      <c r="AF73" s="34"/>
      <c r="AG73" s="34"/>
      <c r="AH73" s="34"/>
      <c r="AI73" s="34"/>
      <c r="AJ73" s="34"/>
      <c r="AK73" s="34"/>
      <c r="AL73" s="34"/>
      <c r="AM73" s="34"/>
      <c r="AN73" s="34"/>
      <c r="AO73" s="34"/>
      <c r="AP73" s="34"/>
    </row>
    <row r="74" spans="1:42" ht="19.5" customHeight="1" x14ac:dyDescent="0.25">
      <c r="B74" s="25">
        <f t="shared" si="6"/>
        <v>8</v>
      </c>
      <c r="C74" s="235" t="s">
        <v>307</v>
      </c>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D74" s="34"/>
      <c r="AE74" s="34"/>
      <c r="AF74" s="34"/>
      <c r="AG74" s="34"/>
      <c r="AH74" s="34"/>
      <c r="AI74" s="34"/>
      <c r="AJ74" s="34"/>
      <c r="AK74" s="34"/>
      <c r="AL74" s="34"/>
      <c r="AM74" s="34"/>
      <c r="AN74" s="34"/>
      <c r="AO74" s="34"/>
      <c r="AP74" s="34"/>
    </row>
    <row r="75" spans="1:42" ht="18" customHeight="1" x14ac:dyDescent="0.25">
      <c r="B75" s="25">
        <f t="shared" si="6"/>
        <v>9</v>
      </c>
      <c r="C75" s="235" t="s">
        <v>279</v>
      </c>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D75" s="34"/>
      <c r="AE75" s="34"/>
      <c r="AF75" s="34"/>
      <c r="AG75" s="34"/>
      <c r="AH75" s="34"/>
      <c r="AI75" s="34"/>
      <c r="AJ75" s="34"/>
      <c r="AK75" s="34"/>
      <c r="AL75" s="34"/>
      <c r="AM75" s="34"/>
      <c r="AN75" s="34"/>
      <c r="AO75" s="34"/>
      <c r="AP75" s="34"/>
    </row>
    <row r="76" spans="1:42" ht="17.25" customHeight="1" x14ac:dyDescent="0.25">
      <c r="B76" s="25">
        <f t="shared" si="6"/>
        <v>10</v>
      </c>
      <c r="C76" s="235" t="s">
        <v>308</v>
      </c>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D76" s="34"/>
      <c r="AE76" s="34"/>
      <c r="AF76" s="34"/>
      <c r="AG76" s="34"/>
      <c r="AH76" s="34"/>
      <c r="AI76" s="34"/>
      <c r="AJ76" s="34"/>
      <c r="AK76" s="34"/>
      <c r="AL76" s="34"/>
      <c r="AM76" s="34"/>
      <c r="AN76" s="34"/>
      <c r="AO76" s="34"/>
      <c r="AP76" s="34"/>
    </row>
    <row r="77" spans="1:42" ht="18" customHeight="1" x14ac:dyDescent="0.25">
      <c r="B77" s="25">
        <f t="shared" si="6"/>
        <v>11</v>
      </c>
      <c r="C77" s="236" t="s">
        <v>85</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D77" s="34"/>
      <c r="AE77" s="34"/>
      <c r="AF77" s="34"/>
      <c r="AG77" s="34"/>
      <c r="AH77" s="34"/>
      <c r="AI77" s="34"/>
      <c r="AJ77" s="34"/>
      <c r="AK77" s="34"/>
      <c r="AL77" s="34"/>
      <c r="AM77" s="34"/>
      <c r="AN77" s="34"/>
      <c r="AO77" s="34"/>
      <c r="AP77" s="34"/>
    </row>
    <row r="78" spans="1:42" x14ac:dyDescent="0.25">
      <c r="B78" s="40"/>
      <c r="C78" s="40"/>
      <c r="D78" s="40"/>
      <c r="E78" s="40"/>
      <c r="F78" s="40"/>
      <c r="G78" s="40"/>
      <c r="H78" s="40"/>
      <c r="I78" s="40"/>
      <c r="J78" s="40"/>
      <c r="K78" s="40"/>
      <c r="L78" s="40"/>
      <c r="M78" s="40"/>
      <c r="N78" s="40"/>
      <c r="O78" s="40"/>
      <c r="P78" s="40"/>
      <c r="Q78" s="40"/>
      <c r="R78" s="40"/>
      <c r="S78" s="40"/>
      <c r="T78" s="40"/>
      <c r="U78" s="40"/>
      <c r="V78" s="40"/>
      <c r="W78" s="40"/>
      <c r="X78" s="40"/>
      <c r="Y78" s="40"/>
      <c r="AD78" s="34"/>
      <c r="AE78" s="34"/>
      <c r="AF78" s="34"/>
      <c r="AG78" s="34"/>
      <c r="AH78" s="34"/>
      <c r="AI78" s="34"/>
      <c r="AJ78" s="34"/>
      <c r="AK78" s="34"/>
      <c r="AL78" s="34"/>
      <c r="AM78" s="34"/>
      <c r="AN78" s="34"/>
      <c r="AO78" s="34"/>
      <c r="AP78" s="34"/>
    </row>
    <row r="79" spans="1:42" ht="15.75" x14ac:dyDescent="0.25">
      <c r="A79" s="76" t="s">
        <v>257</v>
      </c>
      <c r="B79" s="85" t="s">
        <v>258</v>
      </c>
      <c r="AD79" s="34"/>
      <c r="AE79" s="34"/>
      <c r="AF79" s="34"/>
      <c r="AG79" s="34"/>
      <c r="AH79" s="34"/>
      <c r="AI79" s="34"/>
      <c r="AJ79" s="34"/>
      <c r="AK79" s="34"/>
      <c r="AL79" s="34"/>
      <c r="AM79" s="34"/>
      <c r="AN79" s="34"/>
      <c r="AO79" s="34"/>
      <c r="AP79" s="34"/>
    </row>
    <row r="80" spans="1:42" ht="15.75" x14ac:dyDescent="0.25">
      <c r="B80" s="32"/>
      <c r="Y80" s="58" t="s">
        <v>210</v>
      </c>
      <c r="AD80" s="34"/>
      <c r="AE80" s="34"/>
      <c r="AF80" s="34"/>
      <c r="AG80" s="34"/>
      <c r="AH80" s="34"/>
      <c r="AI80" s="34"/>
      <c r="AJ80" s="34"/>
      <c r="AK80" s="34"/>
      <c r="AL80" s="34"/>
      <c r="AM80" s="34"/>
      <c r="AN80" s="34"/>
      <c r="AO80" s="34"/>
      <c r="AP80" s="34"/>
    </row>
    <row r="81" spans="1:42" ht="30.75" customHeight="1" x14ac:dyDescent="0.25">
      <c r="A81" s="426" t="s">
        <v>103</v>
      </c>
      <c r="B81" s="445" t="s">
        <v>105</v>
      </c>
      <c r="C81" s="426"/>
      <c r="D81" s="426"/>
      <c r="E81" s="426"/>
      <c r="F81" s="25"/>
      <c r="G81" s="25"/>
      <c r="H81" s="25"/>
      <c r="I81" s="25"/>
      <c r="J81" s="25"/>
      <c r="K81" s="426" t="s">
        <v>99</v>
      </c>
      <c r="L81" s="426"/>
      <c r="M81" s="426"/>
      <c r="N81" s="25"/>
      <c r="O81" s="25"/>
      <c r="P81" s="445" t="s">
        <v>241</v>
      </c>
      <c r="Q81" s="426"/>
      <c r="R81" s="426"/>
      <c r="S81" s="426"/>
      <c r="T81" s="426"/>
      <c r="U81" s="426"/>
      <c r="V81" s="426" t="s">
        <v>100</v>
      </c>
      <c r="W81" s="426"/>
      <c r="X81" s="426"/>
      <c r="Y81" s="426"/>
      <c r="AD81" s="34"/>
      <c r="AE81" s="34"/>
      <c r="AF81" s="34"/>
      <c r="AG81" s="34"/>
      <c r="AH81" s="34"/>
      <c r="AI81" s="34"/>
      <c r="AJ81" s="34"/>
      <c r="AK81" s="34"/>
      <c r="AL81" s="34"/>
      <c r="AM81" s="34"/>
      <c r="AN81" s="34"/>
      <c r="AO81" s="34"/>
      <c r="AP81" s="34"/>
    </row>
    <row r="82" spans="1:42" ht="33" customHeight="1" x14ac:dyDescent="0.25">
      <c r="A82" s="426"/>
      <c r="B82" s="426"/>
      <c r="C82" s="426"/>
      <c r="D82" s="426"/>
      <c r="E82" s="426"/>
      <c r="F82" s="25"/>
      <c r="G82" s="25"/>
      <c r="H82" s="25"/>
      <c r="I82" s="25"/>
      <c r="J82" s="25"/>
      <c r="K82" s="25" t="s">
        <v>96</v>
      </c>
      <c r="L82" s="25" t="s">
        <v>97</v>
      </c>
      <c r="M82" s="25" t="s">
        <v>98</v>
      </c>
      <c r="N82" s="25"/>
      <c r="O82" s="25"/>
      <c r="P82" s="426" t="s">
        <v>96</v>
      </c>
      <c r="Q82" s="426"/>
      <c r="R82" s="426" t="s">
        <v>97</v>
      </c>
      <c r="S82" s="426"/>
      <c r="T82" s="426" t="s">
        <v>98</v>
      </c>
      <c r="U82" s="426"/>
      <c r="V82" s="25" t="s">
        <v>96</v>
      </c>
      <c r="W82" s="25"/>
      <c r="X82" s="25" t="s">
        <v>97</v>
      </c>
      <c r="Y82" s="25" t="s">
        <v>98</v>
      </c>
      <c r="AD82" s="34"/>
      <c r="AE82" s="34"/>
      <c r="AF82" s="34"/>
      <c r="AG82" s="34"/>
      <c r="AH82" s="34"/>
      <c r="AI82" s="34"/>
      <c r="AJ82" s="34"/>
      <c r="AK82" s="34"/>
      <c r="AL82" s="34"/>
      <c r="AM82" s="34"/>
      <c r="AN82" s="34"/>
      <c r="AO82" s="34"/>
      <c r="AP82" s="34"/>
    </row>
    <row r="83" spans="1:42" ht="18" customHeight="1" x14ac:dyDescent="0.25">
      <c r="A83" s="37">
        <v>1</v>
      </c>
      <c r="B83" s="426">
        <v>2</v>
      </c>
      <c r="C83" s="426"/>
      <c r="D83" s="426"/>
      <c r="E83" s="426"/>
      <c r="F83" s="25"/>
      <c r="G83" s="25"/>
      <c r="H83" s="25"/>
      <c r="I83" s="25"/>
      <c r="J83" s="25"/>
      <c r="K83" s="25">
        <v>3</v>
      </c>
      <c r="L83" s="25">
        <v>4</v>
      </c>
      <c r="M83" s="25">
        <v>5</v>
      </c>
      <c r="N83" s="25"/>
      <c r="O83" s="25"/>
      <c r="P83" s="426">
        <v>6</v>
      </c>
      <c r="Q83" s="426"/>
      <c r="R83" s="426">
        <v>7</v>
      </c>
      <c r="S83" s="426"/>
      <c r="T83" s="426">
        <v>8</v>
      </c>
      <c r="U83" s="426"/>
      <c r="V83" s="25">
        <v>9</v>
      </c>
      <c r="W83" s="25"/>
      <c r="X83" s="25">
        <v>10</v>
      </c>
      <c r="Y83" s="25">
        <v>11</v>
      </c>
      <c r="AD83" s="34"/>
      <c r="AE83" s="34"/>
      <c r="AF83" s="34"/>
      <c r="AG83" s="34"/>
      <c r="AH83" s="34"/>
      <c r="AI83" s="34"/>
      <c r="AJ83" s="34"/>
      <c r="AK83" s="34"/>
      <c r="AL83" s="34"/>
      <c r="AM83" s="34"/>
      <c r="AN83" s="34"/>
      <c r="AO83" s="34"/>
      <c r="AP83" s="34"/>
    </row>
    <row r="84" spans="1:42" ht="64.5" customHeight="1" x14ac:dyDescent="0.25">
      <c r="A84" s="4">
        <v>1</v>
      </c>
      <c r="B84" s="452" t="s">
        <v>277</v>
      </c>
      <c r="C84" s="452"/>
      <c r="D84" s="452"/>
      <c r="E84" s="452"/>
      <c r="F84" s="42"/>
      <c r="G84" s="42"/>
      <c r="H84" s="42"/>
      <c r="I84" s="42"/>
      <c r="J84" s="42"/>
      <c r="K84" s="337">
        <f>K61-K86</f>
        <v>274557440</v>
      </c>
      <c r="L84" s="337">
        <f>R277</f>
        <v>673500</v>
      </c>
      <c r="M84" s="337">
        <f>K84+L84</f>
        <v>275230940</v>
      </c>
      <c r="N84" s="164"/>
      <c r="O84" s="164"/>
      <c r="P84" s="328">
        <f>P61-P86</f>
        <v>259979744.19</v>
      </c>
      <c r="Q84" s="329"/>
      <c r="R84" s="328">
        <f>X277</f>
        <v>8494.8700000000008</v>
      </c>
      <c r="S84" s="329"/>
      <c r="T84" s="328">
        <f>P84+R84</f>
        <v>259988239.06</v>
      </c>
      <c r="U84" s="329"/>
      <c r="V84" s="337">
        <f>P84-K84</f>
        <v>-14577695.810000002</v>
      </c>
      <c r="W84" s="164"/>
      <c r="X84" s="337">
        <f>R84-L84</f>
        <v>-665005.13</v>
      </c>
      <c r="Y84" s="337">
        <f>V84+X84</f>
        <v>-15242700.940000003</v>
      </c>
      <c r="AD84" s="34"/>
      <c r="AE84" s="34"/>
      <c r="AF84" s="34"/>
      <c r="AG84" s="34"/>
      <c r="AH84" s="34"/>
      <c r="AI84" s="34"/>
      <c r="AJ84" s="34"/>
      <c r="AK84" s="34"/>
      <c r="AL84" s="34"/>
      <c r="AM84" s="34"/>
      <c r="AN84" s="34"/>
      <c r="AO84" s="34"/>
      <c r="AP84" s="34"/>
    </row>
    <row r="85" spans="1:42" ht="66.75" customHeight="1" x14ac:dyDescent="0.25">
      <c r="A85" s="106">
        <v>2</v>
      </c>
      <c r="B85" s="446" t="s">
        <v>242</v>
      </c>
      <c r="C85" s="446"/>
      <c r="D85" s="446"/>
      <c r="E85" s="446"/>
      <c r="F85" s="42"/>
      <c r="G85" s="42"/>
      <c r="H85" s="42"/>
      <c r="I85" s="42"/>
      <c r="J85" s="42"/>
      <c r="K85" s="338"/>
      <c r="L85" s="338"/>
      <c r="M85" s="338"/>
      <c r="N85" s="164"/>
      <c r="O85" s="164"/>
      <c r="P85" s="330"/>
      <c r="Q85" s="331"/>
      <c r="R85" s="330"/>
      <c r="S85" s="331"/>
      <c r="T85" s="330"/>
      <c r="U85" s="331"/>
      <c r="V85" s="338"/>
      <c r="W85" s="164"/>
      <c r="X85" s="338"/>
      <c r="Y85" s="338"/>
      <c r="AD85" s="34"/>
      <c r="AE85" s="34"/>
      <c r="AF85" s="107"/>
      <c r="AG85" s="107"/>
      <c r="AH85" s="107"/>
      <c r="AI85" s="107"/>
      <c r="AJ85" s="107"/>
      <c r="AK85" s="107"/>
      <c r="AL85" s="34"/>
      <c r="AM85" s="34"/>
      <c r="AN85" s="34"/>
      <c r="AO85" s="34"/>
      <c r="AP85" s="34"/>
    </row>
    <row r="86" spans="1:42" ht="81.75" customHeight="1" x14ac:dyDescent="0.25">
      <c r="A86" s="106">
        <v>3</v>
      </c>
      <c r="B86" s="446" t="s">
        <v>84</v>
      </c>
      <c r="C86" s="446"/>
      <c r="D86" s="446"/>
      <c r="E86" s="446"/>
      <c r="F86" s="42"/>
      <c r="G86" s="42"/>
      <c r="H86" s="42"/>
      <c r="I86" s="42"/>
      <c r="J86" s="42"/>
      <c r="K86" s="164">
        <f>K60</f>
        <v>7180412</v>
      </c>
      <c r="L86" s="164"/>
      <c r="M86" s="164">
        <f>K86</f>
        <v>7180412</v>
      </c>
      <c r="N86" s="164"/>
      <c r="O86" s="164"/>
      <c r="P86" s="447">
        <f>P60</f>
        <v>6057252.5300000003</v>
      </c>
      <c r="Q86" s="447"/>
      <c r="R86" s="447"/>
      <c r="S86" s="447"/>
      <c r="T86" s="447">
        <f>P86</f>
        <v>6057252.5300000003</v>
      </c>
      <c r="U86" s="447"/>
      <c r="V86" s="164">
        <f>P86-K86</f>
        <v>-1123159.4699999997</v>
      </c>
      <c r="W86" s="164"/>
      <c r="X86" s="164"/>
      <c r="Y86" s="164">
        <f>V86</f>
        <v>-1123159.4699999997</v>
      </c>
      <c r="AD86" s="34"/>
      <c r="AE86" s="34"/>
      <c r="AF86" s="107"/>
      <c r="AG86" s="107"/>
      <c r="AH86" s="107"/>
      <c r="AI86" s="107"/>
      <c r="AJ86" s="107"/>
      <c r="AK86" s="107"/>
      <c r="AL86" s="34"/>
      <c r="AM86" s="34"/>
      <c r="AN86" s="34"/>
      <c r="AO86" s="34"/>
      <c r="AP86" s="34"/>
    </row>
    <row r="87" spans="1:42" ht="21" customHeight="1" x14ac:dyDescent="0.25">
      <c r="A87" s="44"/>
      <c r="B87" s="453" t="s">
        <v>102</v>
      </c>
      <c r="C87" s="453"/>
      <c r="D87" s="453"/>
      <c r="E87" s="453"/>
      <c r="F87" s="45"/>
      <c r="G87" s="45"/>
      <c r="H87" s="45"/>
      <c r="I87" s="45"/>
      <c r="J87" s="45"/>
      <c r="K87" s="164">
        <f>K84+K85+K86</f>
        <v>281737852</v>
      </c>
      <c r="L87" s="164">
        <f>L84</f>
        <v>673500</v>
      </c>
      <c r="M87" s="164">
        <f>M84+M85+M86</f>
        <v>282411352</v>
      </c>
      <c r="N87" s="164"/>
      <c r="O87" s="164"/>
      <c r="P87" s="450">
        <f>P84+P85+P86</f>
        <v>266036996.72</v>
      </c>
      <c r="Q87" s="451"/>
      <c r="R87" s="447">
        <f>R84</f>
        <v>8494.8700000000008</v>
      </c>
      <c r="S87" s="448"/>
      <c r="T87" s="447">
        <f>T84+T85+T86</f>
        <v>266045491.59</v>
      </c>
      <c r="U87" s="448"/>
      <c r="V87" s="164">
        <f>V84+V85+V86</f>
        <v>-15700855.280000001</v>
      </c>
      <c r="W87" s="164"/>
      <c r="X87" s="164">
        <f>X84</f>
        <v>-665005.13</v>
      </c>
      <c r="Y87" s="164">
        <f>V87+X87</f>
        <v>-16365860.410000002</v>
      </c>
      <c r="AD87" s="166"/>
      <c r="AE87" s="165"/>
      <c r="AF87" s="34"/>
      <c r="AG87" s="34"/>
      <c r="AH87" s="34"/>
      <c r="AI87" s="34"/>
      <c r="AJ87" s="34"/>
      <c r="AK87" s="34"/>
      <c r="AL87" s="34"/>
      <c r="AM87" s="34"/>
      <c r="AN87" s="34"/>
      <c r="AO87" s="34"/>
      <c r="AP87" s="34"/>
    </row>
    <row r="88" spans="1:42" x14ac:dyDescent="0.25">
      <c r="AD88" s="34"/>
      <c r="AE88" s="34"/>
      <c r="AF88" s="34"/>
      <c r="AG88" s="34"/>
      <c r="AH88" s="34"/>
      <c r="AI88" s="34"/>
      <c r="AJ88" s="34"/>
      <c r="AK88" s="34"/>
      <c r="AL88" s="34"/>
      <c r="AM88" s="34"/>
      <c r="AN88" s="34"/>
      <c r="AO88" s="34"/>
      <c r="AP88" s="34"/>
    </row>
    <row r="89" spans="1:42" ht="15.75" x14ac:dyDescent="0.25">
      <c r="A89" s="76" t="s">
        <v>259</v>
      </c>
      <c r="B89" s="85" t="s">
        <v>218</v>
      </c>
      <c r="AD89" s="34"/>
      <c r="AE89" s="34"/>
      <c r="AF89" s="34"/>
      <c r="AG89" s="34"/>
      <c r="AH89" s="34"/>
      <c r="AI89" s="34"/>
      <c r="AJ89" s="34"/>
      <c r="AK89" s="34"/>
      <c r="AL89" s="34"/>
      <c r="AM89" s="34"/>
      <c r="AN89" s="34"/>
      <c r="AO89" s="34"/>
      <c r="AP89" s="34"/>
    </row>
    <row r="90" spans="1:42" ht="15.75" x14ac:dyDescent="0.25">
      <c r="A90" s="449" t="s">
        <v>62</v>
      </c>
      <c r="B90" s="449"/>
      <c r="C90" s="449"/>
      <c r="D90" s="449"/>
      <c r="E90" s="449"/>
      <c r="F90" s="449"/>
      <c r="G90" s="449"/>
      <c r="H90" s="449"/>
      <c r="I90" s="449"/>
      <c r="J90" s="449"/>
      <c r="K90" s="449"/>
      <c r="L90" s="449"/>
      <c r="M90" s="449"/>
      <c r="N90" s="449"/>
      <c r="O90" s="449"/>
      <c r="P90" s="449"/>
      <c r="Q90" s="449"/>
      <c r="R90" s="449"/>
      <c r="AD90" s="34"/>
      <c r="AE90" s="34"/>
      <c r="AF90" s="34"/>
      <c r="AG90" s="34"/>
      <c r="AH90" s="34"/>
      <c r="AI90" s="34"/>
      <c r="AJ90" s="34"/>
      <c r="AK90" s="34"/>
      <c r="AL90" s="34"/>
      <c r="AM90" s="34"/>
      <c r="AN90" s="34"/>
      <c r="AO90" s="34"/>
      <c r="AP90" s="34"/>
    </row>
    <row r="91" spans="1:42" ht="15.75" x14ac:dyDescent="0.25">
      <c r="B91" s="32"/>
      <c r="AD91" s="34"/>
      <c r="AE91" s="34"/>
      <c r="AF91" s="34"/>
      <c r="AG91" s="34"/>
      <c r="AH91" s="34"/>
      <c r="AI91" s="34"/>
      <c r="AJ91" s="34"/>
      <c r="AK91" s="34"/>
      <c r="AL91" s="34"/>
      <c r="AM91" s="34"/>
      <c r="AN91" s="34"/>
      <c r="AO91" s="34"/>
      <c r="AP91" s="34"/>
    </row>
    <row r="92" spans="1:42" ht="46.5" customHeight="1" x14ac:dyDescent="0.25">
      <c r="A92" s="426" t="s">
        <v>103</v>
      </c>
      <c r="B92" s="426" t="s">
        <v>108</v>
      </c>
      <c r="C92" s="426"/>
      <c r="D92" s="426"/>
      <c r="E92" s="426"/>
      <c r="F92" s="25"/>
      <c r="G92" s="25"/>
      <c r="H92" s="25"/>
      <c r="I92" s="25"/>
      <c r="J92" s="25"/>
      <c r="K92" s="426" t="s">
        <v>106</v>
      </c>
      <c r="L92" s="426" t="s">
        <v>107</v>
      </c>
      <c r="M92" s="426"/>
      <c r="N92" s="25"/>
      <c r="O92" s="25"/>
      <c r="P92" s="426" t="s">
        <v>99</v>
      </c>
      <c r="Q92" s="426"/>
      <c r="R92" s="426"/>
      <c r="S92" s="426"/>
      <c r="T92" s="426"/>
      <c r="U92" s="426"/>
      <c r="V92" s="445" t="s">
        <v>256</v>
      </c>
      <c r="W92" s="445"/>
      <c r="X92" s="426"/>
      <c r="Y92" s="426"/>
      <c r="Z92" s="426" t="s">
        <v>100</v>
      </c>
      <c r="AA92" s="426"/>
      <c r="AB92" s="426"/>
      <c r="AD92" s="34"/>
      <c r="AE92" s="34"/>
      <c r="AF92" s="34"/>
      <c r="AG92" s="34"/>
      <c r="AH92" s="34"/>
      <c r="AI92" s="34"/>
      <c r="AJ92" s="34"/>
      <c r="AK92" s="34"/>
      <c r="AL92" s="34"/>
      <c r="AM92" s="34"/>
      <c r="AN92" s="34"/>
      <c r="AO92" s="34"/>
      <c r="AP92" s="34"/>
    </row>
    <row r="93" spans="1:42" ht="36" customHeight="1" x14ac:dyDescent="0.25">
      <c r="A93" s="426"/>
      <c r="B93" s="426"/>
      <c r="C93" s="426"/>
      <c r="D93" s="426"/>
      <c r="E93" s="426"/>
      <c r="F93" s="25"/>
      <c r="G93" s="25"/>
      <c r="H93" s="25"/>
      <c r="I93" s="25"/>
      <c r="J93" s="25"/>
      <c r="K93" s="426"/>
      <c r="L93" s="426"/>
      <c r="M93" s="426"/>
      <c r="N93" s="25"/>
      <c r="O93" s="25"/>
      <c r="P93" s="426" t="s">
        <v>96</v>
      </c>
      <c r="Q93" s="426"/>
      <c r="R93" s="426" t="s">
        <v>97</v>
      </c>
      <c r="S93" s="426"/>
      <c r="T93" s="426" t="s">
        <v>98</v>
      </c>
      <c r="U93" s="426"/>
      <c r="V93" s="25" t="s">
        <v>96</v>
      </c>
      <c r="W93" s="25"/>
      <c r="X93" s="25" t="s">
        <v>97</v>
      </c>
      <c r="Y93" s="25" t="s">
        <v>98</v>
      </c>
      <c r="Z93" s="25" t="s">
        <v>96</v>
      </c>
      <c r="AA93" s="25" t="s">
        <v>97</v>
      </c>
      <c r="AB93" s="25" t="s">
        <v>98</v>
      </c>
      <c r="AD93" s="34"/>
      <c r="AE93" s="34"/>
      <c r="AF93" s="34"/>
      <c r="AG93" s="34"/>
      <c r="AH93" s="34"/>
      <c r="AI93" s="34"/>
      <c r="AJ93" s="34"/>
      <c r="AK93" s="34"/>
      <c r="AL93" s="34"/>
      <c r="AM93" s="34"/>
      <c r="AN93" s="34"/>
      <c r="AO93" s="34"/>
      <c r="AP93" s="34"/>
    </row>
    <row r="94" spans="1:42" ht="18.75" customHeight="1" x14ac:dyDescent="0.25">
      <c r="A94" s="25">
        <v>1</v>
      </c>
      <c r="B94" s="426">
        <v>2</v>
      </c>
      <c r="C94" s="426"/>
      <c r="D94" s="426"/>
      <c r="E94" s="426"/>
      <c r="F94" s="25"/>
      <c r="G94" s="25"/>
      <c r="H94" s="25"/>
      <c r="I94" s="25"/>
      <c r="J94" s="25"/>
      <c r="K94" s="25">
        <v>3</v>
      </c>
      <c r="L94" s="426">
        <v>4</v>
      </c>
      <c r="M94" s="426"/>
      <c r="N94" s="25"/>
      <c r="O94" s="25"/>
      <c r="P94" s="426">
        <v>5</v>
      </c>
      <c r="Q94" s="426"/>
      <c r="R94" s="426">
        <v>6</v>
      </c>
      <c r="S94" s="426"/>
      <c r="T94" s="426">
        <v>7</v>
      </c>
      <c r="U94" s="426"/>
      <c r="V94" s="25">
        <v>8</v>
      </c>
      <c r="W94" s="25"/>
      <c r="X94" s="25">
        <v>9</v>
      </c>
      <c r="Y94" s="25">
        <v>10</v>
      </c>
      <c r="Z94" s="25">
        <v>11</v>
      </c>
      <c r="AA94" s="25">
        <v>12</v>
      </c>
      <c r="AB94" s="25">
        <v>13</v>
      </c>
      <c r="AD94" s="34"/>
      <c r="AE94" s="34"/>
      <c r="AF94" s="34"/>
      <c r="AG94" s="34"/>
      <c r="AH94" s="34"/>
      <c r="AI94" s="34"/>
      <c r="AJ94" s="34"/>
      <c r="AK94" s="34"/>
      <c r="AL94" s="34"/>
      <c r="AM94" s="34"/>
      <c r="AN94" s="34"/>
      <c r="AO94" s="34"/>
      <c r="AP94" s="34"/>
    </row>
    <row r="95" spans="1:42" ht="21.75" customHeight="1" x14ac:dyDescent="0.25">
      <c r="A95" s="44"/>
      <c r="B95" s="238" t="s">
        <v>111</v>
      </c>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D95" s="34"/>
      <c r="AE95" s="34"/>
      <c r="AF95" s="34"/>
      <c r="AG95" s="34"/>
      <c r="AH95" s="34"/>
      <c r="AI95" s="34"/>
      <c r="AJ95" s="34"/>
      <c r="AK95" s="34"/>
      <c r="AL95" s="34"/>
      <c r="AM95" s="34"/>
      <c r="AN95" s="34"/>
      <c r="AO95" s="34"/>
      <c r="AP95" s="34"/>
    </row>
    <row r="96" spans="1:42" ht="20.25" customHeight="1" x14ac:dyDescent="0.25">
      <c r="A96" s="44"/>
      <c r="B96" s="314" t="s">
        <v>194</v>
      </c>
      <c r="C96" s="314"/>
      <c r="D96" s="314"/>
      <c r="E96" s="314"/>
      <c r="F96" s="46"/>
      <c r="G96" s="46"/>
      <c r="H96" s="46"/>
      <c r="I96" s="46"/>
      <c r="J96" s="46"/>
      <c r="K96" s="44"/>
      <c r="L96" s="268"/>
      <c r="M96" s="268"/>
      <c r="N96" s="37"/>
      <c r="O96" s="37"/>
      <c r="P96" s="268"/>
      <c r="Q96" s="268"/>
      <c r="R96" s="268"/>
      <c r="S96" s="268"/>
      <c r="T96" s="268"/>
      <c r="U96" s="268"/>
      <c r="V96" s="44"/>
      <c r="W96" s="44"/>
      <c r="X96" s="44"/>
      <c r="Y96" s="44"/>
      <c r="Z96" s="44"/>
      <c r="AA96" s="44"/>
      <c r="AB96" s="44"/>
      <c r="AD96" s="34"/>
      <c r="AE96" s="34"/>
      <c r="AF96" s="34"/>
      <c r="AG96" s="34"/>
      <c r="AH96" s="34"/>
      <c r="AI96" s="34"/>
      <c r="AJ96" s="34"/>
      <c r="AK96" s="34"/>
      <c r="AL96" s="34"/>
      <c r="AM96" s="34"/>
      <c r="AN96" s="34"/>
      <c r="AO96" s="34"/>
      <c r="AP96" s="34"/>
    </row>
    <row r="97" spans="1:42" ht="20.25" customHeight="1" x14ac:dyDescent="0.25">
      <c r="A97" s="47">
        <v>1</v>
      </c>
      <c r="B97" s="235" t="s">
        <v>118</v>
      </c>
      <c r="C97" s="235"/>
      <c r="D97" s="235"/>
      <c r="E97" s="235"/>
      <c r="F97" s="235"/>
      <c r="G97" s="235"/>
      <c r="H97" s="235"/>
      <c r="I97" s="235"/>
      <c r="J97" s="235"/>
      <c r="K97" s="4" t="s">
        <v>124</v>
      </c>
      <c r="L97" s="257" t="s">
        <v>122</v>
      </c>
      <c r="M97" s="257"/>
      <c r="N97" s="257"/>
      <c r="O97" s="257"/>
      <c r="P97" s="230">
        <f>SUM(P98:Q104)</f>
        <v>36247890</v>
      </c>
      <c r="Q97" s="229"/>
      <c r="R97" s="230">
        <f>R101</f>
        <v>0</v>
      </c>
      <c r="S97" s="229"/>
      <c r="T97" s="230">
        <f>P97+R97</f>
        <v>36247890</v>
      </c>
      <c r="U97" s="229"/>
      <c r="V97" s="6">
        <f>SUM(V98:V104)</f>
        <v>32274785.370000001</v>
      </c>
      <c r="W97" s="6"/>
      <c r="X97" s="6">
        <f>X101+X102</f>
        <v>0</v>
      </c>
      <c r="Y97" s="6">
        <f>V97+X97</f>
        <v>32274785.370000001</v>
      </c>
      <c r="Z97" s="6">
        <f>SUM(Z98:Z104)</f>
        <v>-3973104.6300000013</v>
      </c>
      <c r="AA97" s="6">
        <f>AA98+AA99+AA100+AA101+AA102+AA103</f>
        <v>0</v>
      </c>
      <c r="AB97" s="6">
        <f>Z97+AA97</f>
        <v>-3973104.6300000013</v>
      </c>
      <c r="AD97" s="34"/>
      <c r="AE97" s="34"/>
      <c r="AF97" s="34"/>
      <c r="AG97" s="34"/>
      <c r="AH97" s="34"/>
      <c r="AI97" s="34"/>
      <c r="AJ97" s="34"/>
      <c r="AK97" s="34"/>
      <c r="AL97" s="34"/>
      <c r="AM97" s="34"/>
      <c r="AN97" s="34"/>
      <c r="AO97" s="34"/>
      <c r="AP97" s="34"/>
    </row>
    <row r="98" spans="1:42" ht="64.5" customHeight="1" x14ac:dyDescent="0.25">
      <c r="A98" s="47">
        <v>2</v>
      </c>
      <c r="B98" s="278" t="s">
        <v>333</v>
      </c>
      <c r="C98" s="278"/>
      <c r="D98" s="278"/>
      <c r="E98" s="278"/>
      <c r="F98" s="278"/>
      <c r="G98" s="278"/>
      <c r="H98" s="278"/>
      <c r="I98" s="278"/>
      <c r="J98" s="278"/>
      <c r="K98" s="4" t="s">
        <v>124</v>
      </c>
      <c r="L98" s="257" t="s">
        <v>122</v>
      </c>
      <c r="M98" s="257"/>
      <c r="N98" s="257"/>
      <c r="O98" s="257"/>
      <c r="P98" s="360">
        <f>23290190-456740</f>
        <v>22833450</v>
      </c>
      <c r="Q98" s="361"/>
      <c r="R98" s="230"/>
      <c r="S98" s="230"/>
      <c r="T98" s="230">
        <f t="shared" ref="T98:T104" si="7">P98</f>
        <v>22833450</v>
      </c>
      <c r="U98" s="230"/>
      <c r="V98" s="6">
        <v>21166847.399999999</v>
      </c>
      <c r="W98" s="6"/>
      <c r="X98" s="6"/>
      <c r="Y98" s="6">
        <f t="shared" ref="Y98:Y104" si="8">V98</f>
        <v>21166847.399999999</v>
      </c>
      <c r="Z98" s="6">
        <f t="shared" ref="Z98:Z104" si="9">V98-P98</f>
        <v>-1666602.6000000015</v>
      </c>
      <c r="AA98" s="6"/>
      <c r="AB98" s="6">
        <f t="shared" ref="AB98:AB104" si="10">Z98</f>
        <v>-1666602.6000000015</v>
      </c>
      <c r="AD98" s="34"/>
      <c r="AE98" s="60"/>
      <c r="AF98" s="34"/>
      <c r="AG98" s="34"/>
      <c r="AH98" s="167"/>
      <c r="AI98" s="167"/>
      <c r="AJ98" s="167"/>
      <c r="AK98" s="167"/>
      <c r="AL98" s="167"/>
      <c r="AM98" s="167"/>
      <c r="AN98" s="167"/>
      <c r="AO98" s="167"/>
      <c r="AP98" s="34"/>
    </row>
    <row r="99" spans="1:42" ht="38.25" customHeight="1" x14ac:dyDescent="0.25">
      <c r="A99" s="47">
        <f t="shared" ref="A99:A104" si="11">A98+1</f>
        <v>3</v>
      </c>
      <c r="B99" s="278" t="s">
        <v>119</v>
      </c>
      <c r="C99" s="278"/>
      <c r="D99" s="278"/>
      <c r="E99" s="278"/>
      <c r="F99" s="278"/>
      <c r="G99" s="278"/>
      <c r="H99" s="278"/>
      <c r="I99" s="278"/>
      <c r="J99" s="278"/>
      <c r="K99" s="4" t="s">
        <v>124</v>
      </c>
      <c r="L99" s="257" t="s">
        <v>122</v>
      </c>
      <c r="M99" s="257"/>
      <c r="N99" s="257"/>
      <c r="O99" s="257"/>
      <c r="P99" s="360">
        <v>9704700</v>
      </c>
      <c r="Q99" s="361"/>
      <c r="R99" s="230"/>
      <c r="S99" s="230"/>
      <c r="T99" s="230">
        <f t="shared" si="7"/>
        <v>9704700</v>
      </c>
      <c r="U99" s="230"/>
      <c r="V99" s="6">
        <v>9223741.2400000002</v>
      </c>
      <c r="W99" s="6"/>
      <c r="X99" s="6"/>
      <c r="Y99" s="6">
        <f t="shared" si="8"/>
        <v>9223741.2400000002</v>
      </c>
      <c r="Z99" s="6">
        <f t="shared" si="9"/>
        <v>-480958.75999999978</v>
      </c>
      <c r="AA99" s="6"/>
      <c r="AB99" s="6">
        <f t="shared" si="10"/>
        <v>-480958.75999999978</v>
      </c>
      <c r="AD99" s="34"/>
      <c r="AE99" s="34"/>
      <c r="AF99" s="60"/>
      <c r="AG99" s="34"/>
      <c r="AH99" s="167"/>
      <c r="AI99" s="167"/>
      <c r="AJ99" s="167"/>
      <c r="AK99" s="167"/>
      <c r="AL99" s="167"/>
      <c r="AM99" s="167"/>
      <c r="AN99" s="167"/>
      <c r="AO99" s="167"/>
      <c r="AP99" s="34"/>
    </row>
    <row r="100" spans="1:42" ht="36" customHeight="1" x14ac:dyDescent="0.25">
      <c r="A100" s="47">
        <f t="shared" si="11"/>
        <v>4</v>
      </c>
      <c r="B100" s="247" t="s">
        <v>120</v>
      </c>
      <c r="C100" s="248"/>
      <c r="D100" s="248"/>
      <c r="E100" s="248"/>
      <c r="F100" s="248"/>
      <c r="G100" s="248"/>
      <c r="H100" s="248"/>
      <c r="I100" s="248"/>
      <c r="J100" s="249"/>
      <c r="K100" s="4" t="s">
        <v>124</v>
      </c>
      <c r="L100" s="257" t="s">
        <v>123</v>
      </c>
      <c r="M100" s="257"/>
      <c r="N100" s="257"/>
      <c r="O100" s="257"/>
      <c r="P100" s="459">
        <v>900000</v>
      </c>
      <c r="Q100" s="460"/>
      <c r="R100" s="230"/>
      <c r="S100" s="230"/>
      <c r="T100" s="230">
        <f t="shared" si="7"/>
        <v>900000</v>
      </c>
      <c r="U100" s="230"/>
      <c r="V100" s="6">
        <v>894171.21</v>
      </c>
      <c r="W100" s="6"/>
      <c r="X100" s="6"/>
      <c r="Y100" s="6">
        <f t="shared" si="8"/>
        <v>894171.21</v>
      </c>
      <c r="Z100" s="6">
        <f t="shared" si="9"/>
        <v>-5828.7900000000373</v>
      </c>
      <c r="AA100" s="6"/>
      <c r="AB100" s="6">
        <f t="shared" si="10"/>
        <v>-5828.7900000000373</v>
      </c>
      <c r="AD100" s="34"/>
      <c r="AE100" s="34"/>
      <c r="AF100" s="34"/>
      <c r="AG100" s="34"/>
      <c r="AH100" s="168"/>
      <c r="AI100" s="168"/>
      <c r="AJ100" s="168"/>
      <c r="AK100" s="168"/>
      <c r="AL100" s="168"/>
      <c r="AM100" s="168"/>
      <c r="AN100" s="168"/>
      <c r="AO100" s="168"/>
      <c r="AP100" s="34"/>
    </row>
    <row r="101" spans="1:42" ht="53.25" customHeight="1" x14ac:dyDescent="0.25">
      <c r="A101" s="47">
        <f t="shared" si="11"/>
        <v>5</v>
      </c>
      <c r="B101" s="247" t="s">
        <v>70</v>
      </c>
      <c r="C101" s="248"/>
      <c r="D101" s="248"/>
      <c r="E101" s="248"/>
      <c r="F101" s="248"/>
      <c r="G101" s="248"/>
      <c r="H101" s="248"/>
      <c r="I101" s="248"/>
      <c r="J101" s="249"/>
      <c r="K101" s="4" t="s">
        <v>124</v>
      </c>
      <c r="L101" s="257" t="s">
        <v>123</v>
      </c>
      <c r="M101" s="257"/>
      <c r="N101" s="257"/>
      <c r="O101" s="257"/>
      <c r="P101" s="276">
        <v>653000</v>
      </c>
      <c r="Q101" s="277"/>
      <c r="R101" s="230"/>
      <c r="S101" s="230"/>
      <c r="T101" s="230">
        <f t="shared" si="7"/>
        <v>653000</v>
      </c>
      <c r="U101" s="230"/>
      <c r="V101" s="6">
        <v>652159.06999999995</v>
      </c>
      <c r="W101" s="6"/>
      <c r="X101" s="6"/>
      <c r="Y101" s="6">
        <f t="shared" si="8"/>
        <v>652159.06999999995</v>
      </c>
      <c r="Z101" s="6">
        <f t="shared" si="9"/>
        <v>-840.93000000005122</v>
      </c>
      <c r="AA101" s="6"/>
      <c r="AB101" s="6">
        <f t="shared" si="10"/>
        <v>-840.93000000005122</v>
      </c>
      <c r="AD101" s="34"/>
      <c r="AE101" s="34"/>
      <c r="AF101" s="34"/>
      <c r="AG101" s="34"/>
      <c r="AH101" s="34"/>
      <c r="AI101" s="34"/>
      <c r="AJ101" s="34"/>
      <c r="AK101" s="34"/>
      <c r="AL101" s="34"/>
      <c r="AM101" s="34"/>
      <c r="AN101" s="34"/>
      <c r="AO101" s="34"/>
      <c r="AP101" s="34"/>
    </row>
    <row r="102" spans="1:42" ht="49.5" customHeight="1" x14ac:dyDescent="0.25">
      <c r="A102" s="47">
        <f t="shared" si="11"/>
        <v>6</v>
      </c>
      <c r="B102" s="273" t="s">
        <v>334</v>
      </c>
      <c r="C102" s="274"/>
      <c r="D102" s="274"/>
      <c r="E102" s="274"/>
      <c r="F102" s="274"/>
      <c r="G102" s="274"/>
      <c r="H102" s="274"/>
      <c r="I102" s="274"/>
      <c r="J102" s="311"/>
      <c r="K102" s="4" t="s">
        <v>124</v>
      </c>
      <c r="L102" s="390" t="s">
        <v>123</v>
      </c>
      <c r="M102" s="390"/>
      <c r="N102" s="390"/>
      <c r="O102" s="390"/>
      <c r="P102" s="360">
        <v>700000</v>
      </c>
      <c r="Q102" s="361"/>
      <c r="R102" s="281"/>
      <c r="S102" s="282"/>
      <c r="T102" s="230">
        <f t="shared" si="7"/>
        <v>700000</v>
      </c>
      <c r="U102" s="230"/>
      <c r="V102" s="6">
        <v>337866.45</v>
      </c>
      <c r="W102" s="6"/>
      <c r="X102" s="6"/>
      <c r="Y102" s="6">
        <f t="shared" si="8"/>
        <v>337866.45</v>
      </c>
      <c r="Z102" s="6">
        <f>V102-P102</f>
        <v>-362133.55</v>
      </c>
      <c r="AA102" s="6"/>
      <c r="AB102" s="6">
        <f t="shared" si="10"/>
        <v>-362133.55</v>
      </c>
      <c r="AD102" s="34"/>
      <c r="AE102" s="34"/>
      <c r="AF102" s="34"/>
      <c r="AG102" s="34"/>
      <c r="AH102" s="167"/>
      <c r="AI102" s="167"/>
      <c r="AJ102" s="167"/>
      <c r="AK102" s="167"/>
      <c r="AL102" s="167"/>
      <c r="AM102" s="167"/>
      <c r="AN102" s="167"/>
      <c r="AO102" s="167"/>
      <c r="AP102" s="34"/>
    </row>
    <row r="103" spans="1:42" ht="20.25" customHeight="1" x14ac:dyDescent="0.25">
      <c r="A103" s="47">
        <f t="shared" si="11"/>
        <v>7</v>
      </c>
      <c r="B103" s="273" t="s">
        <v>180</v>
      </c>
      <c r="C103" s="274"/>
      <c r="D103" s="274"/>
      <c r="E103" s="274"/>
      <c r="F103" s="274"/>
      <c r="G103" s="274"/>
      <c r="H103" s="274"/>
      <c r="I103" s="274"/>
      <c r="J103" s="311"/>
      <c r="K103" s="4" t="s">
        <v>124</v>
      </c>
      <c r="L103" s="390" t="s">
        <v>123</v>
      </c>
      <c r="M103" s="390"/>
      <c r="N103" s="390"/>
      <c r="O103" s="390"/>
      <c r="P103" s="422">
        <v>1000000</v>
      </c>
      <c r="Q103" s="423"/>
      <c r="R103" s="281"/>
      <c r="S103" s="282"/>
      <c r="T103" s="230">
        <f t="shared" si="7"/>
        <v>1000000</v>
      </c>
      <c r="U103" s="230"/>
      <c r="V103" s="6">
        <v>0</v>
      </c>
      <c r="W103" s="6"/>
      <c r="X103" s="6"/>
      <c r="Y103" s="6">
        <f t="shared" si="8"/>
        <v>0</v>
      </c>
      <c r="Z103" s="6">
        <f t="shared" si="9"/>
        <v>-1000000</v>
      </c>
      <c r="AA103" s="6"/>
      <c r="AB103" s="6">
        <f t="shared" si="10"/>
        <v>-1000000</v>
      </c>
      <c r="AD103" s="60"/>
      <c r="AE103" s="34"/>
      <c r="AF103" s="34"/>
      <c r="AG103" s="34"/>
      <c r="AH103" s="169"/>
      <c r="AI103" s="169"/>
      <c r="AJ103" s="169"/>
      <c r="AK103" s="169"/>
      <c r="AL103" s="169"/>
      <c r="AM103" s="169"/>
      <c r="AN103" s="169"/>
      <c r="AO103" s="169"/>
      <c r="AP103" s="34"/>
    </row>
    <row r="104" spans="1:42" ht="84.75" customHeight="1" x14ac:dyDescent="0.25">
      <c r="A104" s="47">
        <f t="shared" si="11"/>
        <v>8</v>
      </c>
      <c r="B104" s="273" t="s">
        <v>335</v>
      </c>
      <c r="C104" s="274"/>
      <c r="D104" s="274"/>
      <c r="E104" s="274"/>
      <c r="F104" s="274"/>
      <c r="G104" s="274"/>
      <c r="H104" s="274"/>
      <c r="I104" s="274"/>
      <c r="J104" s="311"/>
      <c r="K104" s="4" t="s">
        <v>124</v>
      </c>
      <c r="L104" s="257" t="s">
        <v>286</v>
      </c>
      <c r="M104" s="257"/>
      <c r="N104" s="257"/>
      <c r="O104" s="257"/>
      <c r="P104" s="360">
        <v>456740</v>
      </c>
      <c r="Q104" s="361"/>
      <c r="R104" s="281"/>
      <c r="S104" s="282"/>
      <c r="T104" s="230">
        <f t="shared" si="7"/>
        <v>456740</v>
      </c>
      <c r="U104" s="230"/>
      <c r="V104" s="6">
        <v>0</v>
      </c>
      <c r="W104" s="6"/>
      <c r="X104" s="6"/>
      <c r="Y104" s="6">
        <f t="shared" si="8"/>
        <v>0</v>
      </c>
      <c r="Z104" s="6">
        <f t="shared" si="9"/>
        <v>-456740</v>
      </c>
      <c r="AA104" s="100"/>
      <c r="AB104" s="6">
        <f t="shared" si="10"/>
        <v>-456740</v>
      </c>
      <c r="AD104" s="34"/>
      <c r="AE104" s="34"/>
      <c r="AF104" s="34"/>
      <c r="AG104" s="34"/>
      <c r="AH104" s="167"/>
      <c r="AI104" s="167"/>
      <c r="AJ104" s="167"/>
      <c r="AK104" s="167"/>
      <c r="AL104" s="167"/>
      <c r="AM104" s="167"/>
      <c r="AN104" s="167"/>
      <c r="AO104" s="167"/>
      <c r="AP104" s="34"/>
    </row>
    <row r="105" spans="1:42" ht="22.5" customHeight="1" x14ac:dyDescent="0.25">
      <c r="A105" s="47"/>
      <c r="B105" s="313" t="s">
        <v>195</v>
      </c>
      <c r="C105" s="314"/>
      <c r="D105" s="314"/>
      <c r="E105" s="314"/>
      <c r="F105" s="46"/>
      <c r="G105" s="46"/>
      <c r="H105" s="46"/>
      <c r="I105" s="46"/>
      <c r="J105" s="46"/>
      <c r="K105" s="44"/>
      <c r="L105" s="268"/>
      <c r="M105" s="268"/>
      <c r="N105" s="37"/>
      <c r="O105" s="37"/>
      <c r="P105" s="268"/>
      <c r="Q105" s="268"/>
      <c r="R105" s="268"/>
      <c r="S105" s="268"/>
      <c r="T105" s="268"/>
      <c r="U105" s="268"/>
      <c r="V105" s="44"/>
      <c r="W105" s="44"/>
      <c r="X105" s="44"/>
      <c r="Y105" s="44"/>
      <c r="Z105" s="44"/>
      <c r="AA105" s="44"/>
      <c r="AB105" s="44"/>
      <c r="AD105" s="34"/>
      <c r="AE105" s="34"/>
      <c r="AF105" s="34"/>
      <c r="AG105" s="34"/>
      <c r="AH105" s="34"/>
      <c r="AI105" s="34"/>
      <c r="AJ105" s="34"/>
      <c r="AK105" s="34"/>
      <c r="AL105" s="34"/>
      <c r="AM105" s="34"/>
      <c r="AN105" s="34"/>
      <c r="AO105" s="34"/>
      <c r="AP105" s="34"/>
    </row>
    <row r="106" spans="1:42" ht="66.75" customHeight="1" x14ac:dyDescent="0.25">
      <c r="A106" s="47">
        <v>1</v>
      </c>
      <c r="B106" s="370" t="s">
        <v>220</v>
      </c>
      <c r="C106" s="371"/>
      <c r="D106" s="371"/>
      <c r="E106" s="371"/>
      <c r="F106" s="371"/>
      <c r="G106" s="371"/>
      <c r="H106" s="371"/>
      <c r="I106" s="371"/>
      <c r="J106" s="372"/>
      <c r="K106" s="2" t="s">
        <v>125</v>
      </c>
      <c r="L106" s="257" t="s">
        <v>127</v>
      </c>
      <c r="M106" s="257"/>
      <c r="N106" s="257"/>
      <c r="O106" s="257"/>
      <c r="P106" s="373">
        <v>181.52170000000001</v>
      </c>
      <c r="Q106" s="373"/>
      <c r="R106" s="373"/>
      <c r="S106" s="373"/>
      <c r="T106" s="373">
        <f>P106</f>
        <v>181.52170000000001</v>
      </c>
      <c r="U106" s="373"/>
      <c r="V106" s="373">
        <v>181.52170000000001</v>
      </c>
      <c r="W106" s="373"/>
      <c r="X106" s="203"/>
      <c r="Y106" s="200">
        <f>V106</f>
        <v>181.52170000000001</v>
      </c>
      <c r="Z106" s="102">
        <f t="shared" ref="Z106:Z112" si="12">V106-P106</f>
        <v>0</v>
      </c>
      <c r="AA106" s="102"/>
      <c r="AB106" s="102">
        <f>Z106</f>
        <v>0</v>
      </c>
      <c r="AD106" s="34"/>
      <c r="AE106" s="34"/>
      <c r="AF106" s="34"/>
      <c r="AG106" s="34"/>
      <c r="AH106" s="34"/>
      <c r="AI106" s="34"/>
      <c r="AJ106" s="34"/>
      <c r="AK106" s="34"/>
      <c r="AL106" s="34"/>
      <c r="AM106" s="34"/>
      <c r="AN106" s="34"/>
      <c r="AO106" s="34"/>
      <c r="AP106" s="34"/>
    </row>
    <row r="107" spans="1:42" ht="66.75" customHeight="1" x14ac:dyDescent="0.25">
      <c r="A107" s="47">
        <f t="shared" ref="A107:A112" si="13">A106+1</f>
        <v>2</v>
      </c>
      <c r="B107" s="370" t="s">
        <v>221</v>
      </c>
      <c r="C107" s="371"/>
      <c r="D107" s="371"/>
      <c r="E107" s="371"/>
      <c r="F107" s="371"/>
      <c r="G107" s="371"/>
      <c r="H107" s="371"/>
      <c r="I107" s="371"/>
      <c r="J107" s="372"/>
      <c r="K107" s="2" t="s">
        <v>126</v>
      </c>
      <c r="L107" s="257" t="s">
        <v>130</v>
      </c>
      <c r="M107" s="257"/>
      <c r="N107" s="257"/>
      <c r="O107" s="257"/>
      <c r="P107" s="462">
        <v>322</v>
      </c>
      <c r="Q107" s="462"/>
      <c r="R107" s="229"/>
      <c r="S107" s="229"/>
      <c r="T107" s="288">
        <f>P107+R107</f>
        <v>322</v>
      </c>
      <c r="U107" s="288"/>
      <c r="V107" s="4">
        <v>322</v>
      </c>
      <c r="W107" s="4"/>
      <c r="X107" s="4"/>
      <c r="Y107" s="4">
        <f>V107+X107</f>
        <v>322</v>
      </c>
      <c r="Z107" s="102">
        <f>V107-P107</f>
        <v>0</v>
      </c>
      <c r="AA107" s="102"/>
      <c r="AB107" s="102">
        <f>Z107+AA107</f>
        <v>0</v>
      </c>
      <c r="AD107" s="34"/>
      <c r="AE107" s="34"/>
      <c r="AF107" s="34"/>
      <c r="AG107" s="34"/>
      <c r="AH107" s="34"/>
      <c r="AI107" s="34"/>
      <c r="AJ107" s="34"/>
      <c r="AK107" s="34"/>
      <c r="AL107" s="34"/>
      <c r="AM107" s="34"/>
      <c r="AN107" s="34"/>
      <c r="AO107" s="34"/>
      <c r="AP107" s="34"/>
    </row>
    <row r="108" spans="1:42" ht="39" customHeight="1" x14ac:dyDescent="0.25">
      <c r="A108" s="47">
        <f t="shared" si="13"/>
        <v>3</v>
      </c>
      <c r="B108" s="247" t="s">
        <v>222</v>
      </c>
      <c r="C108" s="248"/>
      <c r="D108" s="248"/>
      <c r="E108" s="248"/>
      <c r="F108" s="248"/>
      <c r="G108" s="248"/>
      <c r="H108" s="248"/>
      <c r="I108" s="248"/>
      <c r="J108" s="249"/>
      <c r="K108" s="2" t="s">
        <v>125</v>
      </c>
      <c r="L108" s="257" t="s">
        <v>129</v>
      </c>
      <c r="M108" s="257"/>
      <c r="N108" s="257"/>
      <c r="O108" s="257"/>
      <c r="P108" s="513">
        <v>15.526999999999999</v>
      </c>
      <c r="Q108" s="513"/>
      <c r="R108" s="373"/>
      <c r="S108" s="373"/>
      <c r="T108" s="373">
        <f>P108+R108</f>
        <v>15.526999999999999</v>
      </c>
      <c r="U108" s="373"/>
      <c r="V108" s="374">
        <v>12.34</v>
      </c>
      <c r="W108" s="374"/>
      <c r="X108" s="126"/>
      <c r="Y108" s="61">
        <f>V108+X108</f>
        <v>12.34</v>
      </c>
      <c r="Z108" s="61">
        <f>V108-P108</f>
        <v>-3.1869999999999994</v>
      </c>
      <c r="AA108" s="61"/>
      <c r="AB108" s="61">
        <f>Z108+AA108</f>
        <v>-3.1869999999999994</v>
      </c>
      <c r="AD108" s="60"/>
      <c r="AE108" s="60"/>
      <c r="AF108" s="60"/>
      <c r="AG108" s="34"/>
      <c r="AH108" s="34"/>
      <c r="AI108" s="34"/>
      <c r="AJ108" s="34"/>
      <c r="AK108" s="34"/>
      <c r="AL108" s="34"/>
      <c r="AM108" s="34"/>
      <c r="AN108" s="34"/>
      <c r="AO108" s="34"/>
      <c r="AP108" s="34"/>
    </row>
    <row r="109" spans="1:42" ht="49.5" customHeight="1" x14ac:dyDescent="0.25">
      <c r="A109" s="47">
        <f t="shared" si="13"/>
        <v>4</v>
      </c>
      <c r="B109" s="247" t="s">
        <v>71</v>
      </c>
      <c r="C109" s="248"/>
      <c r="D109" s="248"/>
      <c r="E109" s="248"/>
      <c r="F109" s="248"/>
      <c r="G109" s="248"/>
      <c r="H109" s="248"/>
      <c r="I109" s="248"/>
      <c r="J109" s="249"/>
      <c r="K109" s="2" t="s">
        <v>126</v>
      </c>
      <c r="L109" s="257" t="s">
        <v>72</v>
      </c>
      <c r="M109" s="257"/>
      <c r="N109" s="257"/>
      <c r="O109" s="257"/>
      <c r="P109" s="229">
        <v>715</v>
      </c>
      <c r="Q109" s="229"/>
      <c r="R109" s="512"/>
      <c r="S109" s="512"/>
      <c r="T109" s="303">
        <f>P109+R109</f>
        <v>715</v>
      </c>
      <c r="U109" s="303"/>
      <c r="V109" s="130">
        <v>623</v>
      </c>
      <c r="W109" s="130"/>
      <c r="X109" s="149"/>
      <c r="Y109" s="102">
        <f>V109+X109</f>
        <v>623</v>
      </c>
      <c r="Z109" s="61">
        <f>V109-P109</f>
        <v>-92</v>
      </c>
      <c r="AA109" s="102">
        <f>X109-R109</f>
        <v>0</v>
      </c>
      <c r="AB109" s="102">
        <f>AA109</f>
        <v>0</v>
      </c>
      <c r="AD109" s="34"/>
      <c r="AE109" s="34"/>
      <c r="AF109" s="34"/>
      <c r="AG109" s="34"/>
      <c r="AH109" s="34"/>
      <c r="AI109" s="34"/>
      <c r="AJ109" s="34"/>
      <c r="AK109" s="34"/>
      <c r="AL109" s="34"/>
      <c r="AM109" s="34"/>
      <c r="AN109" s="34"/>
      <c r="AO109" s="34"/>
      <c r="AP109" s="34"/>
    </row>
    <row r="110" spans="1:42" ht="33.75" customHeight="1" x14ac:dyDescent="0.25">
      <c r="A110" s="47">
        <f t="shared" si="13"/>
        <v>5</v>
      </c>
      <c r="B110" s="305" t="s">
        <v>181</v>
      </c>
      <c r="C110" s="306"/>
      <c r="D110" s="306"/>
      <c r="E110" s="306"/>
      <c r="F110" s="306"/>
      <c r="G110" s="306"/>
      <c r="H110" s="306"/>
      <c r="I110" s="306"/>
      <c r="J110" s="290"/>
      <c r="K110" s="2" t="s">
        <v>149</v>
      </c>
      <c r="L110" s="226" t="s">
        <v>129</v>
      </c>
      <c r="M110" s="227"/>
      <c r="N110" s="227"/>
      <c r="O110" s="275"/>
      <c r="P110" s="265">
        <v>350</v>
      </c>
      <c r="Q110" s="265"/>
      <c r="R110" s="304"/>
      <c r="S110" s="304"/>
      <c r="T110" s="303">
        <f>P110</f>
        <v>350</v>
      </c>
      <c r="U110" s="303"/>
      <c r="V110" s="265">
        <v>128</v>
      </c>
      <c r="W110" s="265"/>
      <c r="X110" s="129"/>
      <c r="Y110" s="102">
        <f>V110</f>
        <v>128</v>
      </c>
      <c r="Z110" s="99">
        <f t="shared" si="12"/>
        <v>-222</v>
      </c>
      <c r="AA110" s="99"/>
      <c r="AB110" s="99">
        <f>Z110</f>
        <v>-222</v>
      </c>
      <c r="AD110" s="34"/>
      <c r="AE110" s="34"/>
      <c r="AF110" s="34"/>
      <c r="AG110" s="34"/>
      <c r="AH110" s="34"/>
      <c r="AI110" s="34"/>
      <c r="AJ110" s="34"/>
      <c r="AK110" s="34"/>
      <c r="AL110" s="34"/>
      <c r="AM110" s="34"/>
      <c r="AN110" s="34"/>
      <c r="AO110" s="34"/>
      <c r="AP110" s="34"/>
    </row>
    <row r="111" spans="1:42" ht="34.5" customHeight="1" x14ac:dyDescent="0.25">
      <c r="A111" s="47">
        <f t="shared" si="13"/>
        <v>6</v>
      </c>
      <c r="B111" s="305" t="s">
        <v>182</v>
      </c>
      <c r="C111" s="306"/>
      <c r="D111" s="306"/>
      <c r="E111" s="306"/>
      <c r="F111" s="306"/>
      <c r="G111" s="306"/>
      <c r="H111" s="306"/>
      <c r="I111" s="306"/>
      <c r="J111" s="290"/>
      <c r="K111" s="2" t="s">
        <v>126</v>
      </c>
      <c r="L111" s="427" t="s">
        <v>128</v>
      </c>
      <c r="M111" s="428"/>
      <c r="N111" s="428"/>
      <c r="O111" s="429"/>
      <c r="P111" s="265">
        <v>250</v>
      </c>
      <c r="Q111" s="265"/>
      <c r="R111" s="461"/>
      <c r="S111" s="461"/>
      <c r="T111" s="461">
        <f>P111</f>
        <v>250</v>
      </c>
      <c r="U111" s="461"/>
      <c r="V111" s="265">
        <v>0</v>
      </c>
      <c r="W111" s="265"/>
      <c r="X111" s="129"/>
      <c r="Y111" s="4">
        <f>V111</f>
        <v>0</v>
      </c>
      <c r="Z111" s="99">
        <f t="shared" si="12"/>
        <v>-250</v>
      </c>
      <c r="AA111" s="99"/>
      <c r="AB111" s="99">
        <f>Z111</f>
        <v>-250</v>
      </c>
      <c r="AD111" s="34"/>
      <c r="AE111" s="34"/>
      <c r="AF111" s="34"/>
      <c r="AG111" s="34"/>
      <c r="AH111" s="34"/>
      <c r="AI111" s="34"/>
      <c r="AJ111" s="34"/>
      <c r="AK111" s="34"/>
      <c r="AL111" s="34"/>
      <c r="AM111" s="34"/>
      <c r="AN111" s="34"/>
      <c r="AO111" s="34"/>
      <c r="AP111" s="34"/>
    </row>
    <row r="112" spans="1:42" ht="46.5" customHeight="1" x14ac:dyDescent="0.25">
      <c r="A112" s="47">
        <f t="shared" si="13"/>
        <v>7</v>
      </c>
      <c r="B112" s="305" t="s">
        <v>183</v>
      </c>
      <c r="C112" s="306"/>
      <c r="D112" s="306"/>
      <c r="E112" s="306"/>
      <c r="F112" s="306"/>
      <c r="G112" s="306"/>
      <c r="H112" s="306"/>
      <c r="I112" s="306"/>
      <c r="J112" s="290"/>
      <c r="K112" s="2" t="s">
        <v>126</v>
      </c>
      <c r="L112" s="257" t="s">
        <v>286</v>
      </c>
      <c r="M112" s="257"/>
      <c r="N112" s="257"/>
      <c r="O112" s="257"/>
      <c r="P112" s="265">
        <v>12</v>
      </c>
      <c r="Q112" s="265"/>
      <c r="R112" s="229"/>
      <c r="S112" s="229"/>
      <c r="T112" s="288">
        <f>P112</f>
        <v>12</v>
      </c>
      <c r="U112" s="288"/>
      <c r="V112" s="129">
        <v>0</v>
      </c>
      <c r="W112" s="129"/>
      <c r="X112" s="129"/>
      <c r="Y112" s="4">
        <f>V112</f>
        <v>0</v>
      </c>
      <c r="Z112" s="99">
        <f t="shared" si="12"/>
        <v>-12</v>
      </c>
      <c r="AA112" s="99"/>
      <c r="AB112" s="99">
        <f>Z112</f>
        <v>-12</v>
      </c>
      <c r="AD112" s="60"/>
      <c r="AE112" s="34"/>
      <c r="AF112" s="34"/>
      <c r="AG112" s="34"/>
      <c r="AH112" s="34"/>
      <c r="AI112" s="34"/>
      <c r="AJ112" s="34"/>
      <c r="AK112" s="34"/>
      <c r="AL112" s="34"/>
      <c r="AM112" s="34"/>
      <c r="AN112" s="34"/>
      <c r="AO112" s="34"/>
      <c r="AP112" s="34"/>
    </row>
    <row r="113" spans="1:42" ht="19.5" customHeight="1" x14ac:dyDescent="0.25">
      <c r="A113" s="47"/>
      <c r="B113" s="376" t="s">
        <v>196</v>
      </c>
      <c r="C113" s="376"/>
      <c r="D113" s="376"/>
      <c r="E113" s="376"/>
      <c r="F113" s="21"/>
      <c r="G113" s="21"/>
      <c r="H113" s="21"/>
      <c r="I113" s="21"/>
      <c r="J113" s="21"/>
      <c r="K113" s="2"/>
      <c r="L113" s="257"/>
      <c r="M113" s="257"/>
      <c r="N113" s="3"/>
      <c r="O113" s="3"/>
      <c r="P113" s="268"/>
      <c r="Q113" s="268"/>
      <c r="R113" s="268"/>
      <c r="S113" s="268"/>
      <c r="T113" s="268"/>
      <c r="U113" s="268"/>
      <c r="V113" s="37"/>
      <c r="W113" s="37"/>
      <c r="X113" s="37"/>
      <c r="Y113" s="37"/>
      <c r="Z113" s="37"/>
      <c r="AA113" s="37"/>
      <c r="AB113" s="37"/>
      <c r="AD113" s="34"/>
      <c r="AE113" s="34"/>
      <c r="AF113" s="34"/>
      <c r="AG113" s="34"/>
      <c r="AH113" s="34"/>
      <c r="AI113" s="34"/>
      <c r="AJ113" s="34"/>
      <c r="AK113" s="34"/>
      <c r="AL113" s="34"/>
      <c r="AM113" s="34"/>
      <c r="AN113" s="34"/>
      <c r="AO113" s="34"/>
      <c r="AP113" s="34"/>
    </row>
    <row r="114" spans="1:42" ht="33.75" customHeight="1" x14ac:dyDescent="0.25">
      <c r="A114" s="47">
        <v>1</v>
      </c>
      <c r="B114" s="370" t="s">
        <v>223</v>
      </c>
      <c r="C114" s="371"/>
      <c r="D114" s="371"/>
      <c r="E114" s="371"/>
      <c r="F114" s="371"/>
      <c r="G114" s="371"/>
      <c r="H114" s="371"/>
      <c r="I114" s="371"/>
      <c r="J114" s="372"/>
      <c r="K114" s="2" t="s">
        <v>124</v>
      </c>
      <c r="L114" s="257" t="s">
        <v>131</v>
      </c>
      <c r="M114" s="257"/>
      <c r="N114" s="3"/>
      <c r="O114" s="3"/>
      <c r="P114" s="281">
        <f>((23290190-1230910-P104)+9704700)/P106</f>
        <v>172471.05993388119</v>
      </c>
      <c r="Q114" s="282" t="e">
        <f>((23290190-1230910-Q108)+9704700)/Q110</f>
        <v>#DIV/0!</v>
      </c>
      <c r="R114" s="230"/>
      <c r="S114" s="230"/>
      <c r="T114" s="230">
        <f>P114</f>
        <v>172471.05993388119</v>
      </c>
      <c r="U114" s="230"/>
      <c r="V114" s="163">
        <f>(16790949.66+7606900)/V106</f>
        <v>134407.34446625388</v>
      </c>
      <c r="W114" s="1"/>
      <c r="X114" s="140"/>
      <c r="Y114" s="6">
        <f t="shared" ref="Y114:Y120" si="14">V114</f>
        <v>134407.34446625388</v>
      </c>
      <c r="Z114" s="6">
        <f t="shared" ref="Z114:Z120" si="15">V114-P114</f>
        <v>-38063.715467627306</v>
      </c>
      <c r="AA114" s="6"/>
      <c r="AB114" s="6">
        <f t="shared" ref="AB114:AB119" si="16">Z114</f>
        <v>-38063.715467627306</v>
      </c>
      <c r="AD114" s="34"/>
      <c r="AE114" s="34"/>
      <c r="AF114" s="34"/>
      <c r="AG114" s="34"/>
      <c r="AH114" s="170"/>
      <c r="AI114" s="171"/>
      <c r="AJ114" s="34"/>
      <c r="AK114" s="34"/>
      <c r="AL114" s="34"/>
      <c r="AM114" s="34"/>
      <c r="AN114" s="34"/>
      <c r="AO114" s="34"/>
      <c r="AP114" s="34"/>
    </row>
    <row r="115" spans="1:42" ht="51" customHeight="1" x14ac:dyDescent="0.25">
      <c r="A115" s="47">
        <f t="shared" ref="A115:A120" si="17">A114+1</f>
        <v>2</v>
      </c>
      <c r="B115" s="370" t="s">
        <v>121</v>
      </c>
      <c r="C115" s="371"/>
      <c r="D115" s="371"/>
      <c r="E115" s="371"/>
      <c r="F115" s="371"/>
      <c r="G115" s="371"/>
      <c r="H115" s="371"/>
      <c r="I115" s="371"/>
      <c r="J115" s="372"/>
      <c r="K115" s="2" t="s">
        <v>124</v>
      </c>
      <c r="L115" s="257" t="s">
        <v>131</v>
      </c>
      <c r="M115" s="257"/>
      <c r="N115" s="3"/>
      <c r="O115" s="3"/>
      <c r="P115" s="253">
        <f>(1062910+84000+84000)/P107</f>
        <v>3822.7018633540374</v>
      </c>
      <c r="Q115" s="253"/>
      <c r="R115" s="230"/>
      <c r="S115" s="230"/>
      <c r="T115" s="230">
        <f t="shared" ref="T115:T120" si="18">P115+R115</f>
        <v>3822.7018633540374</v>
      </c>
      <c r="U115" s="230"/>
      <c r="V115" s="318">
        <f>1205721.1/V107</f>
        <v>3744.4754658385095</v>
      </c>
      <c r="W115" s="318"/>
      <c r="X115" s="6"/>
      <c r="Y115" s="6">
        <f t="shared" si="14"/>
        <v>3744.4754658385095</v>
      </c>
      <c r="Z115" s="6">
        <f t="shared" si="15"/>
        <v>-78.226397515527879</v>
      </c>
      <c r="AA115" s="6"/>
      <c r="AB115" s="6">
        <f t="shared" si="16"/>
        <v>-78.226397515527879</v>
      </c>
      <c r="AD115" s="34"/>
      <c r="AE115" s="34"/>
      <c r="AF115" s="34"/>
      <c r="AG115" s="34"/>
      <c r="AH115" s="34"/>
      <c r="AI115" s="34"/>
      <c r="AJ115" s="34"/>
      <c r="AK115" s="34"/>
      <c r="AL115" s="34"/>
      <c r="AM115" s="34"/>
      <c r="AN115" s="34"/>
      <c r="AO115" s="34"/>
      <c r="AP115" s="34"/>
    </row>
    <row r="116" spans="1:42" ht="33" customHeight="1" x14ac:dyDescent="0.25">
      <c r="A116" s="47">
        <f t="shared" si="17"/>
        <v>3</v>
      </c>
      <c r="B116" s="443" t="s">
        <v>224</v>
      </c>
      <c r="C116" s="395"/>
      <c r="D116" s="395"/>
      <c r="E116" s="395"/>
      <c r="F116" s="395"/>
      <c r="G116" s="395"/>
      <c r="H116" s="395"/>
      <c r="I116" s="395"/>
      <c r="J116" s="444"/>
      <c r="K116" s="2" t="s">
        <v>124</v>
      </c>
      <c r="L116" s="257" t="s">
        <v>131</v>
      </c>
      <c r="M116" s="257"/>
      <c r="N116" s="3"/>
      <c r="O116" s="3"/>
      <c r="P116" s="253">
        <f>P100/P108/4</f>
        <v>14490.886842274747</v>
      </c>
      <c r="Q116" s="253"/>
      <c r="R116" s="230"/>
      <c r="S116" s="230"/>
      <c r="T116" s="230">
        <f t="shared" si="18"/>
        <v>14490.886842274747</v>
      </c>
      <c r="U116" s="230"/>
      <c r="V116" s="1">
        <f>V100/V108/4</f>
        <v>18115.300040518639</v>
      </c>
      <c r="W116" s="1"/>
      <c r="X116" s="6"/>
      <c r="Y116" s="6">
        <f t="shared" si="14"/>
        <v>18115.300040518639</v>
      </c>
      <c r="Z116" s="6">
        <f t="shared" si="15"/>
        <v>3624.4131982438921</v>
      </c>
      <c r="AA116" s="6"/>
      <c r="AB116" s="6">
        <f t="shared" si="16"/>
        <v>3624.4131982438921</v>
      </c>
      <c r="AD116" s="34"/>
      <c r="AE116" s="34"/>
      <c r="AF116" s="34"/>
      <c r="AG116" s="34"/>
      <c r="AH116" s="34"/>
      <c r="AI116" s="34"/>
      <c r="AJ116" s="34"/>
      <c r="AK116" s="34"/>
      <c r="AL116" s="34"/>
      <c r="AM116" s="34"/>
      <c r="AN116" s="34"/>
      <c r="AO116" s="34"/>
      <c r="AP116" s="34"/>
    </row>
    <row r="117" spans="1:42" ht="35.25" customHeight="1" x14ac:dyDescent="0.25">
      <c r="A117" s="47">
        <f t="shared" si="17"/>
        <v>4</v>
      </c>
      <c r="B117" s="370" t="s">
        <v>73</v>
      </c>
      <c r="C117" s="371"/>
      <c r="D117" s="371"/>
      <c r="E117" s="371"/>
      <c r="F117" s="371"/>
      <c r="G117" s="371"/>
      <c r="H117" s="371"/>
      <c r="I117" s="371"/>
      <c r="J117" s="372"/>
      <c r="K117" s="2" t="s">
        <v>124</v>
      </c>
      <c r="L117" s="257" t="s">
        <v>131</v>
      </c>
      <c r="M117" s="257"/>
      <c r="N117" s="3"/>
      <c r="O117" s="3"/>
      <c r="P117" s="253">
        <f>P101/P109</f>
        <v>913.28671328671328</v>
      </c>
      <c r="Q117" s="253"/>
      <c r="R117" s="230"/>
      <c r="S117" s="230"/>
      <c r="T117" s="230">
        <f>P117</f>
        <v>913.28671328671328</v>
      </c>
      <c r="U117" s="230"/>
      <c r="V117" s="1">
        <f>V101/V109</f>
        <v>1046.8042857142857</v>
      </c>
      <c r="W117" s="1"/>
      <c r="X117" s="6"/>
      <c r="Y117" s="6">
        <f>V117</f>
        <v>1046.8042857142857</v>
      </c>
      <c r="Z117" s="6">
        <f t="shared" si="15"/>
        <v>133.51757242757242</v>
      </c>
      <c r="AA117" s="6"/>
      <c r="AB117" s="6">
        <f>AA117</f>
        <v>0</v>
      </c>
      <c r="AD117" s="34"/>
      <c r="AE117" s="34"/>
      <c r="AF117" s="34"/>
      <c r="AG117" s="34"/>
      <c r="AH117" s="34"/>
      <c r="AI117" s="34"/>
      <c r="AJ117" s="34"/>
      <c r="AK117" s="34"/>
      <c r="AL117" s="34"/>
      <c r="AM117" s="34"/>
      <c r="AN117" s="34"/>
      <c r="AO117" s="34"/>
      <c r="AP117" s="34"/>
    </row>
    <row r="118" spans="1:42" ht="34.5" customHeight="1" x14ac:dyDescent="0.25">
      <c r="A118" s="47">
        <f t="shared" si="17"/>
        <v>5</v>
      </c>
      <c r="B118" s="305" t="s">
        <v>185</v>
      </c>
      <c r="C118" s="306"/>
      <c r="D118" s="306"/>
      <c r="E118" s="306"/>
      <c r="F118" s="306"/>
      <c r="G118" s="306"/>
      <c r="H118" s="306"/>
      <c r="I118" s="306"/>
      <c r="J118" s="290"/>
      <c r="K118" s="2" t="s">
        <v>124</v>
      </c>
      <c r="L118" s="257" t="s">
        <v>131</v>
      </c>
      <c r="M118" s="257"/>
      <c r="N118" s="3"/>
      <c r="O118" s="3"/>
      <c r="P118" s="253">
        <f>P102/P110</f>
        <v>2000</v>
      </c>
      <c r="Q118" s="253"/>
      <c r="R118" s="230"/>
      <c r="S118" s="230"/>
      <c r="T118" s="230">
        <f t="shared" si="18"/>
        <v>2000</v>
      </c>
      <c r="U118" s="230"/>
      <c r="V118" s="1">
        <f>V102/V110</f>
        <v>2639.5816406250001</v>
      </c>
      <c r="W118" s="1"/>
      <c r="X118" s="6"/>
      <c r="Y118" s="6">
        <f t="shared" si="14"/>
        <v>2639.5816406250001</v>
      </c>
      <c r="Z118" s="6">
        <f t="shared" si="15"/>
        <v>639.58164062500009</v>
      </c>
      <c r="AA118" s="6"/>
      <c r="AB118" s="6">
        <f t="shared" si="16"/>
        <v>639.58164062500009</v>
      </c>
      <c r="AD118" s="34"/>
      <c r="AE118" s="34"/>
      <c r="AF118" s="34"/>
      <c r="AG118" s="34"/>
      <c r="AH118" s="34"/>
      <c r="AI118" s="34"/>
      <c r="AJ118" s="34"/>
      <c r="AK118" s="34"/>
      <c r="AL118" s="34"/>
      <c r="AM118" s="34"/>
      <c r="AN118" s="34"/>
      <c r="AO118" s="34"/>
      <c r="AP118" s="34"/>
    </row>
    <row r="119" spans="1:42" ht="33.75" customHeight="1" x14ac:dyDescent="0.25">
      <c r="A119" s="47">
        <f t="shared" si="17"/>
        <v>6</v>
      </c>
      <c r="B119" s="305" t="s">
        <v>186</v>
      </c>
      <c r="C119" s="306"/>
      <c r="D119" s="306"/>
      <c r="E119" s="306"/>
      <c r="F119" s="306"/>
      <c r="G119" s="306"/>
      <c r="H119" s="306"/>
      <c r="I119" s="306"/>
      <c r="J119" s="290"/>
      <c r="K119" s="2" t="s">
        <v>124</v>
      </c>
      <c r="L119" s="257" t="s">
        <v>131</v>
      </c>
      <c r="M119" s="257"/>
      <c r="N119" s="3"/>
      <c r="O119" s="3"/>
      <c r="P119" s="253">
        <f>P103/P111</f>
        <v>4000</v>
      </c>
      <c r="Q119" s="253"/>
      <c r="R119" s="230"/>
      <c r="S119" s="230"/>
      <c r="T119" s="230">
        <f t="shared" si="18"/>
        <v>4000</v>
      </c>
      <c r="U119" s="230"/>
      <c r="V119" s="1">
        <v>0</v>
      </c>
      <c r="W119" s="1"/>
      <c r="X119" s="6"/>
      <c r="Y119" s="6">
        <f t="shared" si="14"/>
        <v>0</v>
      </c>
      <c r="Z119" s="6">
        <f t="shared" si="15"/>
        <v>-4000</v>
      </c>
      <c r="AA119" s="6"/>
      <c r="AB119" s="6">
        <f t="shared" si="16"/>
        <v>-4000</v>
      </c>
      <c r="AD119" s="34"/>
      <c r="AE119" s="34"/>
      <c r="AF119" s="34"/>
      <c r="AG119" s="34"/>
      <c r="AH119" s="34"/>
      <c r="AI119" s="34"/>
      <c r="AJ119" s="34"/>
      <c r="AK119" s="34"/>
      <c r="AL119" s="34"/>
      <c r="AM119" s="34"/>
      <c r="AN119" s="34"/>
      <c r="AO119" s="34"/>
      <c r="AP119" s="34"/>
    </row>
    <row r="120" spans="1:42" ht="38.25" customHeight="1" x14ac:dyDescent="0.25">
      <c r="A120" s="47">
        <f t="shared" si="17"/>
        <v>7</v>
      </c>
      <c r="B120" s="305" t="s">
        <v>187</v>
      </c>
      <c r="C120" s="306"/>
      <c r="D120" s="306"/>
      <c r="E120" s="306"/>
      <c r="F120" s="306"/>
      <c r="G120" s="306"/>
      <c r="H120" s="306"/>
      <c r="I120" s="306"/>
      <c r="J120" s="290"/>
      <c r="K120" s="2" t="s">
        <v>124</v>
      </c>
      <c r="L120" s="257" t="s">
        <v>131</v>
      </c>
      <c r="M120" s="257"/>
      <c r="N120" s="3"/>
      <c r="O120" s="3"/>
      <c r="P120" s="276">
        <f>P104/P112</f>
        <v>38061.666666666664</v>
      </c>
      <c r="Q120" s="277"/>
      <c r="R120" s="230"/>
      <c r="S120" s="230"/>
      <c r="T120" s="230">
        <f t="shared" si="18"/>
        <v>38061.666666666664</v>
      </c>
      <c r="U120" s="230"/>
      <c r="V120" s="1">
        <v>0</v>
      </c>
      <c r="W120" s="1"/>
      <c r="X120" s="140"/>
      <c r="Y120" s="6">
        <f t="shared" si="14"/>
        <v>0</v>
      </c>
      <c r="Z120" s="6">
        <f t="shared" si="15"/>
        <v>-38061.666666666664</v>
      </c>
      <c r="AA120" s="6"/>
      <c r="AB120" s="6">
        <f>AA120</f>
        <v>0</v>
      </c>
      <c r="AD120" s="34"/>
      <c r="AE120" s="34"/>
      <c r="AF120" s="34"/>
      <c r="AG120" s="34"/>
      <c r="AH120" s="34"/>
      <c r="AI120" s="34"/>
      <c r="AJ120" s="34"/>
      <c r="AK120" s="34"/>
      <c r="AL120" s="34"/>
      <c r="AM120" s="34"/>
      <c r="AN120" s="34"/>
      <c r="AO120" s="34"/>
      <c r="AP120" s="34"/>
    </row>
    <row r="121" spans="1:42" ht="18.75" customHeight="1" x14ac:dyDescent="0.25">
      <c r="A121" s="47"/>
      <c r="B121" s="438" t="s">
        <v>197</v>
      </c>
      <c r="C121" s="438"/>
      <c r="D121" s="438"/>
      <c r="E121" s="438"/>
      <c r="F121" s="50"/>
      <c r="G121" s="50"/>
      <c r="H121" s="50"/>
      <c r="I121" s="50"/>
      <c r="J121" s="50"/>
      <c r="K121" s="51"/>
      <c r="L121" s="405"/>
      <c r="M121" s="437"/>
      <c r="N121" s="52"/>
      <c r="O121" s="52"/>
      <c r="P121" s="404"/>
      <c r="Q121" s="404"/>
      <c r="R121" s="404"/>
      <c r="S121" s="404"/>
      <c r="T121" s="404"/>
      <c r="U121" s="404"/>
      <c r="AD121" s="34"/>
      <c r="AE121" s="34"/>
      <c r="AF121" s="34"/>
      <c r="AG121" s="34"/>
      <c r="AH121" s="34"/>
      <c r="AI121" s="34"/>
      <c r="AJ121" s="34"/>
      <c r="AK121" s="34"/>
      <c r="AL121" s="34"/>
      <c r="AM121" s="34"/>
      <c r="AN121" s="34"/>
      <c r="AO121" s="34"/>
      <c r="AP121" s="34"/>
    </row>
    <row r="122" spans="1:42" ht="48.75" customHeight="1" x14ac:dyDescent="0.25">
      <c r="A122" s="47">
        <f>1</f>
        <v>1</v>
      </c>
      <c r="B122" s="443" t="s">
        <v>225</v>
      </c>
      <c r="C122" s="395"/>
      <c r="D122" s="395"/>
      <c r="E122" s="395"/>
      <c r="F122" s="395"/>
      <c r="G122" s="395"/>
      <c r="H122" s="395"/>
      <c r="I122" s="395"/>
      <c r="J122" s="444"/>
      <c r="K122" s="191" t="s">
        <v>3</v>
      </c>
      <c r="L122" s="257" t="s">
        <v>131</v>
      </c>
      <c r="M122" s="257"/>
      <c r="N122" s="3"/>
      <c r="O122" s="3"/>
      <c r="P122" s="264">
        <f>P106/181.5217*100</f>
        <v>100</v>
      </c>
      <c r="Q122" s="264"/>
      <c r="R122" s="264"/>
      <c r="S122" s="264"/>
      <c r="T122" s="264">
        <f t="shared" ref="T122:T127" si="19">P122</f>
        <v>100</v>
      </c>
      <c r="U122" s="264"/>
      <c r="V122" s="264">
        <f>V106/181.52*100</f>
        <v>100.00093653591891</v>
      </c>
      <c r="W122" s="264"/>
      <c r="X122" s="61"/>
      <c r="Y122" s="61">
        <f t="shared" ref="Y122:Y128" si="20">V122</f>
        <v>100.00093653591891</v>
      </c>
      <c r="Z122" s="61">
        <f t="shared" ref="Z122:Z128" si="21">V122-P122</f>
        <v>9.3653591891040833E-4</v>
      </c>
      <c r="AA122" s="61"/>
      <c r="AB122" s="61">
        <f t="shared" ref="AB122:AB128" si="22">Z122</f>
        <v>9.3653591891040833E-4</v>
      </c>
      <c r="AD122" s="34"/>
      <c r="AE122" s="34"/>
      <c r="AF122" s="34"/>
      <c r="AG122" s="34"/>
      <c r="AH122" s="172"/>
      <c r="AI122" s="34"/>
      <c r="AJ122" s="34"/>
      <c r="AK122" s="34"/>
      <c r="AL122" s="34"/>
      <c r="AM122" s="34"/>
      <c r="AN122" s="34"/>
      <c r="AO122" s="34"/>
      <c r="AP122" s="34"/>
    </row>
    <row r="123" spans="1:42" ht="57" customHeight="1" x14ac:dyDescent="0.25">
      <c r="A123" s="47">
        <f t="shared" ref="A123:A128" si="23">A122+1</f>
        <v>2</v>
      </c>
      <c r="B123" s="443" t="s">
        <v>226</v>
      </c>
      <c r="C123" s="395"/>
      <c r="D123" s="395"/>
      <c r="E123" s="395"/>
      <c r="F123" s="395"/>
      <c r="G123" s="395"/>
      <c r="H123" s="395"/>
      <c r="I123" s="395"/>
      <c r="J123" s="444"/>
      <c r="K123" s="191" t="s">
        <v>3</v>
      </c>
      <c r="L123" s="257" t="s">
        <v>131</v>
      </c>
      <c r="M123" s="257"/>
      <c r="N123" s="3"/>
      <c r="O123" s="3"/>
      <c r="P123" s="264">
        <f>P107/322*100</f>
        <v>100</v>
      </c>
      <c r="Q123" s="264"/>
      <c r="R123" s="264"/>
      <c r="S123" s="264"/>
      <c r="T123" s="264">
        <f>P123</f>
        <v>100</v>
      </c>
      <c r="U123" s="264"/>
      <c r="V123" s="264">
        <f>V107/322*100</f>
        <v>100</v>
      </c>
      <c r="W123" s="264"/>
      <c r="X123" s="61"/>
      <c r="Y123" s="61">
        <f>V123</f>
        <v>100</v>
      </c>
      <c r="Z123" s="61">
        <f>V123-P123</f>
        <v>0</v>
      </c>
      <c r="AA123" s="61"/>
      <c r="AB123" s="61">
        <f>Z123</f>
        <v>0</v>
      </c>
      <c r="AD123" s="34"/>
      <c r="AE123" s="34"/>
      <c r="AF123" s="34"/>
      <c r="AG123" s="34"/>
      <c r="AH123" s="172"/>
      <c r="AI123" s="34"/>
      <c r="AJ123" s="34"/>
      <c r="AK123" s="34"/>
      <c r="AL123" s="34"/>
      <c r="AM123" s="34"/>
      <c r="AN123" s="34"/>
      <c r="AO123" s="34"/>
      <c r="AP123" s="34"/>
    </row>
    <row r="124" spans="1:42" ht="48.75" customHeight="1" x14ac:dyDescent="0.25">
      <c r="A124" s="47">
        <f t="shared" si="23"/>
        <v>3</v>
      </c>
      <c r="B124" s="247" t="s">
        <v>227</v>
      </c>
      <c r="C124" s="248"/>
      <c r="D124" s="248"/>
      <c r="E124" s="248"/>
      <c r="F124" s="248"/>
      <c r="G124" s="248"/>
      <c r="H124" s="248"/>
      <c r="I124" s="248"/>
      <c r="J124" s="249"/>
      <c r="K124" s="191" t="s">
        <v>3</v>
      </c>
      <c r="L124" s="257" t="s">
        <v>131</v>
      </c>
      <c r="M124" s="257"/>
      <c r="N124" s="3"/>
      <c r="O124" s="3"/>
      <c r="P124" s="264">
        <f>P108/15.527*100</f>
        <v>100</v>
      </c>
      <c r="Q124" s="264"/>
      <c r="R124" s="264"/>
      <c r="S124" s="264"/>
      <c r="T124" s="264">
        <f>P124</f>
        <v>100</v>
      </c>
      <c r="U124" s="264"/>
      <c r="V124" s="264">
        <f>V108/15.527*100</f>
        <v>79.474463837186832</v>
      </c>
      <c r="W124" s="264"/>
      <c r="X124" s="61"/>
      <c r="Y124" s="61">
        <f>V124</f>
        <v>79.474463837186832</v>
      </c>
      <c r="Z124" s="61">
        <f>V124-P124</f>
        <v>-20.525536162813168</v>
      </c>
      <c r="AA124" s="61"/>
      <c r="AB124" s="61">
        <f>Z124</f>
        <v>-20.525536162813168</v>
      </c>
      <c r="AD124" s="34"/>
      <c r="AE124" s="34"/>
      <c r="AF124" s="34"/>
      <c r="AG124" s="34"/>
      <c r="AH124" s="172"/>
      <c r="AI124" s="34"/>
      <c r="AJ124" s="34"/>
      <c r="AK124" s="34"/>
      <c r="AL124" s="34"/>
      <c r="AM124" s="34"/>
      <c r="AN124" s="34"/>
      <c r="AO124" s="34"/>
      <c r="AP124" s="34"/>
    </row>
    <row r="125" spans="1:42" ht="81" customHeight="1" x14ac:dyDescent="0.25">
      <c r="A125" s="47">
        <f t="shared" si="23"/>
        <v>4</v>
      </c>
      <c r="B125" s="443" t="s">
        <v>74</v>
      </c>
      <c r="C125" s="395"/>
      <c r="D125" s="395"/>
      <c r="E125" s="395"/>
      <c r="F125" s="395"/>
      <c r="G125" s="395"/>
      <c r="H125" s="395"/>
      <c r="I125" s="395"/>
      <c r="J125" s="444"/>
      <c r="K125" s="191" t="s">
        <v>3</v>
      </c>
      <c r="L125" s="257" t="s">
        <v>131</v>
      </c>
      <c r="M125" s="257"/>
      <c r="N125" s="3"/>
      <c r="O125" s="3"/>
      <c r="P125" s="264">
        <f>P109/715*100</f>
        <v>100</v>
      </c>
      <c r="Q125" s="264"/>
      <c r="R125" s="264"/>
      <c r="S125" s="264"/>
      <c r="T125" s="264">
        <f>P125</f>
        <v>100</v>
      </c>
      <c r="U125" s="264"/>
      <c r="V125" s="61">
        <f>V109/P109*100</f>
        <v>87.132867132867133</v>
      </c>
      <c r="W125" s="61"/>
      <c r="X125" s="61"/>
      <c r="Y125" s="61">
        <f>V125</f>
        <v>87.132867132867133</v>
      </c>
      <c r="Z125" s="61">
        <f>V125-P125</f>
        <v>-12.867132867132867</v>
      </c>
      <c r="AA125" s="61"/>
      <c r="AB125" s="61">
        <f>Z125</f>
        <v>-12.867132867132867</v>
      </c>
      <c r="AD125" s="34"/>
      <c r="AE125" s="34"/>
      <c r="AF125" s="34"/>
      <c r="AG125" s="34"/>
      <c r="AH125" s="34"/>
      <c r="AI125" s="34"/>
      <c r="AJ125" s="34"/>
      <c r="AK125" s="34"/>
      <c r="AL125" s="34"/>
      <c r="AM125" s="34"/>
      <c r="AN125" s="34"/>
      <c r="AO125" s="34"/>
      <c r="AP125" s="34"/>
    </row>
    <row r="126" spans="1:42" ht="48" customHeight="1" x14ac:dyDescent="0.25">
      <c r="A126" s="47">
        <f t="shared" si="23"/>
        <v>5</v>
      </c>
      <c r="B126" s="432" t="s">
        <v>228</v>
      </c>
      <c r="C126" s="432"/>
      <c r="D126" s="432"/>
      <c r="E126" s="432"/>
      <c r="F126" s="432"/>
      <c r="G126" s="432"/>
      <c r="H126" s="432"/>
      <c r="I126" s="432"/>
      <c r="J126" s="432"/>
      <c r="K126" s="191" t="s">
        <v>3</v>
      </c>
      <c r="L126" s="257" t="s">
        <v>131</v>
      </c>
      <c r="M126" s="257"/>
      <c r="N126" s="3"/>
      <c r="O126" s="3"/>
      <c r="P126" s="264">
        <f>P110/350*100</f>
        <v>100</v>
      </c>
      <c r="Q126" s="264"/>
      <c r="R126" s="264"/>
      <c r="S126" s="264"/>
      <c r="T126" s="264">
        <f t="shared" si="19"/>
        <v>100</v>
      </c>
      <c r="U126" s="264"/>
      <c r="V126" s="264">
        <f>V110/350*100</f>
        <v>36.571428571428569</v>
      </c>
      <c r="W126" s="264"/>
      <c r="X126" s="61"/>
      <c r="Y126" s="61">
        <f t="shared" si="20"/>
        <v>36.571428571428569</v>
      </c>
      <c r="Z126" s="61">
        <f t="shared" si="21"/>
        <v>-63.428571428571431</v>
      </c>
      <c r="AA126" s="61"/>
      <c r="AB126" s="61">
        <f t="shared" si="22"/>
        <v>-63.428571428571431</v>
      </c>
      <c r="AD126" s="34"/>
      <c r="AE126" s="34"/>
      <c r="AF126" s="34"/>
      <c r="AG126" s="34"/>
      <c r="AH126" s="34"/>
      <c r="AI126" s="34"/>
      <c r="AJ126" s="34"/>
      <c r="AK126" s="34"/>
      <c r="AL126" s="34"/>
      <c r="AM126" s="34"/>
      <c r="AN126" s="34"/>
      <c r="AO126" s="34"/>
      <c r="AP126" s="34"/>
    </row>
    <row r="127" spans="1:42" ht="48.75" customHeight="1" x14ac:dyDescent="0.25">
      <c r="A127" s="47">
        <f t="shared" si="23"/>
        <v>6</v>
      </c>
      <c r="B127" s="432" t="s">
        <v>229</v>
      </c>
      <c r="C127" s="432"/>
      <c r="D127" s="432"/>
      <c r="E127" s="432"/>
      <c r="F127" s="432"/>
      <c r="G127" s="432"/>
      <c r="H127" s="432"/>
      <c r="I127" s="432"/>
      <c r="J127" s="432"/>
      <c r="K127" s="191" t="s">
        <v>3</v>
      </c>
      <c r="L127" s="257" t="s">
        <v>131</v>
      </c>
      <c r="M127" s="257"/>
      <c r="N127" s="3"/>
      <c r="O127" s="3"/>
      <c r="P127" s="264">
        <f>P111/250*100</f>
        <v>100</v>
      </c>
      <c r="Q127" s="264"/>
      <c r="R127" s="264"/>
      <c r="S127" s="264"/>
      <c r="T127" s="264">
        <f t="shared" si="19"/>
        <v>100</v>
      </c>
      <c r="U127" s="264"/>
      <c r="V127" s="61">
        <f>V111/182*100</f>
        <v>0</v>
      </c>
      <c r="W127" s="61"/>
      <c r="X127" s="61"/>
      <c r="Y127" s="61">
        <f t="shared" si="20"/>
        <v>0</v>
      </c>
      <c r="Z127" s="61">
        <f t="shared" si="21"/>
        <v>-100</v>
      </c>
      <c r="AA127" s="61"/>
      <c r="AB127" s="61">
        <f t="shared" si="22"/>
        <v>-100</v>
      </c>
      <c r="AD127" s="34"/>
      <c r="AE127" s="34"/>
      <c r="AF127" s="34"/>
      <c r="AG127" s="34"/>
      <c r="AH127" s="34"/>
      <c r="AI127" s="34"/>
      <c r="AJ127" s="34"/>
      <c r="AK127" s="34"/>
      <c r="AL127" s="34"/>
      <c r="AM127" s="34"/>
      <c r="AN127" s="34"/>
      <c r="AO127" s="34"/>
      <c r="AP127" s="34"/>
    </row>
    <row r="128" spans="1:42" ht="49.5" customHeight="1" x14ac:dyDescent="0.25">
      <c r="A128" s="47">
        <f t="shared" si="23"/>
        <v>7</v>
      </c>
      <c r="B128" s="432" t="s">
        <v>230</v>
      </c>
      <c r="C128" s="432"/>
      <c r="D128" s="432"/>
      <c r="E128" s="432"/>
      <c r="F128" s="432"/>
      <c r="G128" s="432"/>
      <c r="H128" s="432"/>
      <c r="I128" s="432"/>
      <c r="J128" s="432"/>
      <c r="K128" s="191" t="s">
        <v>3</v>
      </c>
      <c r="L128" s="257" t="s">
        <v>131</v>
      </c>
      <c r="M128" s="257"/>
      <c r="N128" s="3"/>
      <c r="O128" s="3"/>
      <c r="P128" s="264">
        <f>P112/12*100</f>
        <v>100</v>
      </c>
      <c r="Q128" s="264"/>
      <c r="R128" s="264"/>
      <c r="S128" s="264"/>
      <c r="T128" s="264">
        <f>P128</f>
        <v>100</v>
      </c>
      <c r="U128" s="264"/>
      <c r="V128" s="61">
        <f>V112/16*100</f>
        <v>0</v>
      </c>
      <c r="W128" s="61"/>
      <c r="X128" s="61"/>
      <c r="Y128" s="61">
        <f t="shared" si="20"/>
        <v>0</v>
      </c>
      <c r="Z128" s="61">
        <f t="shared" si="21"/>
        <v>-100</v>
      </c>
      <c r="AA128" s="61"/>
      <c r="AB128" s="61">
        <f t="shared" si="22"/>
        <v>-100</v>
      </c>
      <c r="AD128" s="34"/>
      <c r="AE128" s="34"/>
      <c r="AF128" s="34"/>
      <c r="AG128" s="34"/>
      <c r="AH128" s="34"/>
      <c r="AI128" s="34"/>
      <c r="AJ128" s="34"/>
      <c r="AK128" s="34"/>
      <c r="AL128" s="34"/>
      <c r="AM128" s="34"/>
      <c r="AN128" s="34"/>
      <c r="AO128" s="34"/>
      <c r="AP128" s="34"/>
    </row>
    <row r="129" spans="1:42" ht="20.100000000000001" customHeight="1" x14ac:dyDescent="0.25">
      <c r="A129" s="47"/>
      <c r="B129" s="262" t="s">
        <v>112</v>
      </c>
      <c r="C129" s="262"/>
      <c r="D129" s="262"/>
      <c r="E129" s="262"/>
      <c r="F129" s="262"/>
      <c r="G129" s="262"/>
      <c r="H129" s="262"/>
      <c r="I129" s="262"/>
      <c r="J129" s="262"/>
      <c r="K129" s="262"/>
      <c r="L129" s="262"/>
      <c r="M129" s="262"/>
      <c r="N129" s="441"/>
      <c r="O129" s="441"/>
      <c r="P129" s="441"/>
      <c r="Q129" s="442"/>
      <c r="R129" s="268"/>
      <c r="S129" s="268"/>
      <c r="T129" s="268"/>
      <c r="U129" s="268"/>
      <c r="V129" s="44"/>
      <c r="W129" s="44"/>
      <c r="X129" s="44"/>
      <c r="Y129" s="44"/>
      <c r="Z129" s="44"/>
      <c r="AA129" s="44"/>
      <c r="AB129" s="44"/>
      <c r="AD129" s="34"/>
      <c r="AE129" s="34"/>
      <c r="AF129" s="34"/>
      <c r="AG129" s="34"/>
      <c r="AH129" s="34"/>
      <c r="AI129" s="34"/>
      <c r="AJ129" s="34"/>
      <c r="AK129" s="34"/>
      <c r="AL129" s="34"/>
      <c r="AM129" s="34"/>
      <c r="AN129" s="34"/>
      <c r="AO129" s="34"/>
      <c r="AP129" s="34"/>
    </row>
    <row r="130" spans="1:42" ht="20.100000000000001" customHeight="1" x14ac:dyDescent="0.25">
      <c r="A130" s="47"/>
      <c r="B130" s="382" t="s">
        <v>194</v>
      </c>
      <c r="C130" s="382"/>
      <c r="D130" s="382"/>
      <c r="E130" s="382"/>
      <c r="F130" s="18"/>
      <c r="G130" s="18"/>
      <c r="H130" s="18"/>
      <c r="I130" s="18"/>
      <c r="J130" s="18"/>
      <c r="K130" s="2"/>
      <c r="L130" s="257"/>
      <c r="M130" s="257"/>
      <c r="N130" s="3"/>
      <c r="O130" s="3"/>
      <c r="P130" s="364"/>
      <c r="Q130" s="518"/>
      <c r="R130" s="486"/>
      <c r="S130" s="486"/>
      <c r="T130" s="486"/>
      <c r="U130" s="486"/>
      <c r="V130" s="53"/>
      <c r="W130" s="53"/>
      <c r="X130" s="53"/>
      <c r="Y130" s="53"/>
      <c r="Z130" s="53"/>
      <c r="AA130" s="53"/>
      <c r="AB130" s="53"/>
      <c r="AD130" s="34"/>
      <c r="AE130" s="34"/>
      <c r="AF130" s="34"/>
      <c r="AG130" s="34"/>
      <c r="AH130" s="34"/>
      <c r="AI130" s="34"/>
      <c r="AJ130" s="34"/>
      <c r="AK130" s="34"/>
      <c r="AL130" s="34"/>
      <c r="AM130" s="34"/>
      <c r="AN130" s="34"/>
      <c r="AO130" s="34"/>
      <c r="AP130" s="34"/>
    </row>
    <row r="131" spans="1:42" ht="20.100000000000001" customHeight="1" x14ac:dyDescent="0.25">
      <c r="A131" s="47">
        <v>1</v>
      </c>
      <c r="B131" s="363" t="s">
        <v>75</v>
      </c>
      <c r="C131" s="363"/>
      <c r="D131" s="363"/>
      <c r="E131" s="363"/>
      <c r="F131" s="15"/>
      <c r="G131" s="15"/>
      <c r="H131" s="15"/>
      <c r="I131" s="15"/>
      <c r="J131" s="15"/>
      <c r="K131" s="2" t="s">
        <v>124</v>
      </c>
      <c r="L131" s="257" t="s">
        <v>122</v>
      </c>
      <c r="M131" s="257"/>
      <c r="N131" s="3"/>
      <c r="O131" s="3"/>
      <c r="P131" s="253">
        <f>9914970-100000+450000-100000</f>
        <v>10164970</v>
      </c>
      <c r="Q131" s="256"/>
      <c r="R131" s="229"/>
      <c r="S131" s="229"/>
      <c r="T131" s="230">
        <f>P131</f>
        <v>10164970</v>
      </c>
      <c r="U131" s="229"/>
      <c r="V131" s="1">
        <f>7913698.47+1403384.1+236835.16+295046.07+277196.42</f>
        <v>10126160.220000001</v>
      </c>
      <c r="W131" s="1"/>
      <c r="X131" s="97"/>
      <c r="Y131" s="6">
        <f>V131</f>
        <v>10126160.220000001</v>
      </c>
      <c r="Z131" s="6">
        <f>V131-P131</f>
        <v>-38809.779999999329</v>
      </c>
      <c r="AA131" s="4"/>
      <c r="AB131" s="6">
        <f>Z131</f>
        <v>-38809.779999999329</v>
      </c>
      <c r="AD131" s="34"/>
      <c r="AE131" s="34"/>
      <c r="AF131" s="34"/>
      <c r="AG131" s="34"/>
      <c r="AH131" s="34"/>
      <c r="AI131" s="34"/>
      <c r="AJ131" s="34"/>
      <c r="AK131" s="34"/>
      <c r="AL131" s="34"/>
      <c r="AM131" s="34"/>
      <c r="AN131" s="34"/>
      <c r="AO131" s="34"/>
      <c r="AP131" s="34"/>
    </row>
    <row r="132" spans="1:42" ht="32.25" customHeight="1" x14ac:dyDescent="0.25">
      <c r="A132" s="47">
        <v>2</v>
      </c>
      <c r="B132" s="419" t="s">
        <v>76</v>
      </c>
      <c r="C132" s="363"/>
      <c r="D132" s="363"/>
      <c r="E132" s="363"/>
      <c r="F132" s="15"/>
      <c r="G132" s="15"/>
      <c r="H132" s="15"/>
      <c r="I132" s="15"/>
      <c r="J132" s="15"/>
      <c r="K132" s="2" t="s">
        <v>124</v>
      </c>
      <c r="L132" s="257" t="s">
        <v>122</v>
      </c>
      <c r="M132" s="257"/>
      <c r="N132" s="17"/>
      <c r="O132" s="17"/>
      <c r="P132" s="467">
        <f>100000+100000</f>
        <v>200000</v>
      </c>
      <c r="Q132" s="467"/>
      <c r="R132" s="229"/>
      <c r="S132" s="229"/>
      <c r="T132" s="230">
        <f>P132</f>
        <v>200000</v>
      </c>
      <c r="U132" s="229"/>
      <c r="V132" s="146">
        <v>0</v>
      </c>
      <c r="W132" s="146"/>
      <c r="X132" s="97"/>
      <c r="Y132" s="6">
        <f>V132</f>
        <v>0</v>
      </c>
      <c r="Z132" s="6">
        <f>V132-P132</f>
        <v>-200000</v>
      </c>
      <c r="AA132" s="4"/>
      <c r="AB132" s="6">
        <f>Z132</f>
        <v>-200000</v>
      </c>
      <c r="AD132" s="34"/>
      <c r="AE132" s="34"/>
      <c r="AF132" s="34"/>
      <c r="AG132" s="34"/>
      <c r="AH132" s="34"/>
      <c r="AI132" s="34"/>
      <c r="AJ132" s="34"/>
      <c r="AK132" s="34"/>
      <c r="AL132" s="34"/>
      <c r="AM132" s="34"/>
      <c r="AN132" s="34"/>
      <c r="AO132" s="34"/>
      <c r="AP132" s="34"/>
    </row>
    <row r="133" spans="1:42" ht="20.100000000000001" customHeight="1" x14ac:dyDescent="0.25">
      <c r="A133" s="47"/>
      <c r="B133" s="382" t="s">
        <v>195</v>
      </c>
      <c r="C133" s="382"/>
      <c r="D133" s="382"/>
      <c r="E133" s="382"/>
      <c r="F133" s="18"/>
      <c r="G133" s="18"/>
      <c r="H133" s="18"/>
      <c r="I133" s="18"/>
      <c r="J133" s="18"/>
      <c r="K133" s="2"/>
      <c r="L133" s="257"/>
      <c r="M133" s="257"/>
      <c r="N133" s="3"/>
      <c r="O133" s="3"/>
      <c r="P133" s="257"/>
      <c r="Q133" s="257"/>
      <c r="R133" s="229"/>
      <c r="S133" s="229"/>
      <c r="T133" s="230"/>
      <c r="U133" s="229"/>
      <c r="V133" s="4"/>
      <c r="W133" s="4"/>
      <c r="X133" s="4"/>
      <c r="Y133" s="6"/>
      <c r="Z133" s="6"/>
      <c r="AA133" s="4"/>
      <c r="AB133" s="6"/>
      <c r="AD133" s="34"/>
      <c r="AE133" s="34"/>
      <c r="AF133" s="34"/>
      <c r="AG133" s="34"/>
      <c r="AH133" s="34"/>
      <c r="AI133" s="34"/>
      <c r="AJ133" s="34"/>
      <c r="AK133" s="34"/>
      <c r="AL133" s="34"/>
      <c r="AM133" s="34"/>
      <c r="AN133" s="34"/>
      <c r="AO133" s="34"/>
      <c r="AP133" s="34"/>
    </row>
    <row r="134" spans="1:42" ht="33" customHeight="1" x14ac:dyDescent="0.25">
      <c r="A134" s="47">
        <v>1</v>
      </c>
      <c r="B134" s="363" t="s">
        <v>133</v>
      </c>
      <c r="C134" s="363"/>
      <c r="D134" s="363"/>
      <c r="E134" s="363"/>
      <c r="F134" s="15"/>
      <c r="G134" s="15"/>
      <c r="H134" s="15"/>
      <c r="I134" s="15"/>
      <c r="J134" s="15"/>
      <c r="K134" s="2" t="s">
        <v>125</v>
      </c>
      <c r="L134" s="257" t="s">
        <v>128</v>
      </c>
      <c r="M134" s="257"/>
      <c r="N134" s="3"/>
      <c r="O134" s="3"/>
      <c r="P134" s="466">
        <v>178.2</v>
      </c>
      <c r="Q134" s="466">
        <f>158+4.977</f>
        <v>162.977</v>
      </c>
      <c r="R134" s="468"/>
      <c r="S134" s="468"/>
      <c r="T134" s="468">
        <f>P134</f>
        <v>178.2</v>
      </c>
      <c r="U134" s="468"/>
      <c r="V134" s="255">
        <v>74.650000000000006</v>
      </c>
      <c r="W134" s="255">
        <f>158+4.977</f>
        <v>162.977</v>
      </c>
      <c r="X134" s="6"/>
      <c r="Y134" s="6">
        <f t="shared" ref="Y134:Y142" si="24">V134</f>
        <v>74.650000000000006</v>
      </c>
      <c r="Z134" s="6">
        <f t="shared" ref="Z134:Z142" si="25">V134-P134</f>
        <v>-103.54999999999998</v>
      </c>
      <c r="AA134" s="4"/>
      <c r="AB134" s="6">
        <f t="shared" ref="AB134:AB142" si="26">Z134</f>
        <v>-103.54999999999998</v>
      </c>
      <c r="AD134" s="173"/>
      <c r="AE134" s="173"/>
      <c r="AF134" s="173"/>
      <c r="AG134" s="173"/>
      <c r="AH134" s="173"/>
      <c r="AI134" s="173"/>
      <c r="AJ134" s="173"/>
      <c r="AK134" s="173"/>
      <c r="AL134" s="34"/>
      <c r="AM134" s="34"/>
      <c r="AN134" s="34"/>
      <c r="AO134" s="34"/>
      <c r="AP134" s="34"/>
    </row>
    <row r="135" spans="1:42" ht="33" customHeight="1" x14ac:dyDescent="0.25">
      <c r="A135" s="47">
        <v>2</v>
      </c>
      <c r="B135" s="363" t="s">
        <v>134</v>
      </c>
      <c r="C135" s="363"/>
      <c r="D135" s="363"/>
      <c r="E135" s="363"/>
      <c r="F135" s="15"/>
      <c r="G135" s="15"/>
      <c r="H135" s="15"/>
      <c r="I135" s="15"/>
      <c r="J135" s="15"/>
      <c r="K135" s="2" t="s">
        <v>125</v>
      </c>
      <c r="L135" s="257" t="s">
        <v>128</v>
      </c>
      <c r="M135" s="257"/>
      <c r="N135" s="3"/>
      <c r="O135" s="3"/>
      <c r="P135" s="466">
        <v>178.2</v>
      </c>
      <c r="Q135" s="466">
        <f>158+4.977</f>
        <v>162.977</v>
      </c>
      <c r="R135" s="468"/>
      <c r="S135" s="468"/>
      <c r="T135" s="468">
        <f>P135</f>
        <v>178.2</v>
      </c>
      <c r="U135" s="468"/>
      <c r="V135" s="255">
        <v>74.650000000000006</v>
      </c>
      <c r="W135" s="255">
        <f>158+4.977</f>
        <v>162.977</v>
      </c>
      <c r="X135" s="6"/>
      <c r="Y135" s="6">
        <f t="shared" si="24"/>
        <v>74.650000000000006</v>
      </c>
      <c r="Z135" s="6">
        <f t="shared" si="25"/>
        <v>-103.54999999999998</v>
      </c>
      <c r="AA135" s="4"/>
      <c r="AB135" s="6">
        <f t="shared" si="26"/>
        <v>-103.54999999999998</v>
      </c>
      <c r="AD135" s="34"/>
      <c r="AE135" s="34"/>
      <c r="AF135" s="34"/>
      <c r="AG135" s="34"/>
      <c r="AH135" s="34"/>
      <c r="AI135" s="34"/>
      <c r="AJ135" s="34"/>
      <c r="AK135" s="34"/>
      <c r="AL135" s="34"/>
      <c r="AM135" s="34"/>
      <c r="AN135" s="34"/>
      <c r="AO135" s="34"/>
      <c r="AP135" s="34"/>
    </row>
    <row r="136" spans="1:42" ht="50.25" customHeight="1" x14ac:dyDescent="0.25">
      <c r="A136" s="47">
        <v>3</v>
      </c>
      <c r="B136" s="419" t="s">
        <v>77</v>
      </c>
      <c r="C136" s="363"/>
      <c r="D136" s="363"/>
      <c r="E136" s="363"/>
      <c r="F136" s="15"/>
      <c r="G136" s="15"/>
      <c r="H136" s="15"/>
      <c r="I136" s="15"/>
      <c r="J136" s="15"/>
      <c r="K136" s="2" t="s">
        <v>126</v>
      </c>
      <c r="L136" s="226" t="s">
        <v>145</v>
      </c>
      <c r="M136" s="275"/>
      <c r="N136" s="3"/>
      <c r="O136" s="3"/>
      <c r="P136" s="420">
        <v>15</v>
      </c>
      <c r="Q136" s="421"/>
      <c r="R136" s="288"/>
      <c r="S136" s="288"/>
      <c r="T136" s="288">
        <f>P136</f>
        <v>15</v>
      </c>
      <c r="U136" s="288"/>
      <c r="V136" s="186">
        <v>0</v>
      </c>
      <c r="W136" s="186"/>
      <c r="X136" s="95"/>
      <c r="Y136" s="95">
        <f>V136</f>
        <v>0</v>
      </c>
      <c r="Z136" s="95">
        <f t="shared" si="25"/>
        <v>-15</v>
      </c>
      <c r="AA136" s="95"/>
      <c r="AB136" s="95">
        <f>Z136</f>
        <v>-15</v>
      </c>
      <c r="AD136" s="34"/>
      <c r="AE136" s="34"/>
      <c r="AF136" s="34"/>
      <c r="AG136" s="34"/>
      <c r="AH136" s="34"/>
      <c r="AI136" s="34"/>
      <c r="AJ136" s="34"/>
      <c r="AK136" s="34"/>
      <c r="AL136" s="34"/>
      <c r="AM136" s="34"/>
      <c r="AN136" s="34"/>
      <c r="AO136" s="34"/>
      <c r="AP136" s="34"/>
    </row>
    <row r="137" spans="1:42" ht="20.100000000000001" customHeight="1" x14ac:dyDescent="0.25">
      <c r="A137" s="47"/>
      <c r="B137" s="382" t="s">
        <v>196</v>
      </c>
      <c r="C137" s="382"/>
      <c r="D137" s="382"/>
      <c r="E137" s="382"/>
      <c r="F137" s="18"/>
      <c r="G137" s="18"/>
      <c r="H137" s="18"/>
      <c r="I137" s="18"/>
      <c r="J137" s="18"/>
      <c r="K137" s="2"/>
      <c r="L137" s="257"/>
      <c r="M137" s="257"/>
      <c r="N137" s="3"/>
      <c r="O137" s="3"/>
      <c r="P137" s="257"/>
      <c r="Q137" s="257"/>
      <c r="R137" s="229"/>
      <c r="S137" s="229"/>
      <c r="T137" s="230"/>
      <c r="U137" s="229"/>
      <c r="V137" s="4"/>
      <c r="W137" s="4"/>
      <c r="X137" s="4"/>
      <c r="Y137" s="6"/>
      <c r="Z137" s="6"/>
      <c r="AA137" s="4"/>
      <c r="AB137" s="6"/>
      <c r="AD137" s="34"/>
      <c r="AE137" s="34"/>
      <c r="AF137" s="34"/>
      <c r="AG137" s="34"/>
      <c r="AH137" s="34"/>
      <c r="AI137" s="34"/>
      <c r="AJ137" s="34"/>
      <c r="AK137" s="34"/>
      <c r="AL137" s="34"/>
      <c r="AM137" s="34"/>
      <c r="AN137" s="34"/>
      <c r="AO137" s="34"/>
      <c r="AP137" s="34"/>
    </row>
    <row r="138" spans="1:42" ht="32.25" customHeight="1" x14ac:dyDescent="0.25">
      <c r="A138" s="47">
        <v>1</v>
      </c>
      <c r="B138" s="271" t="s">
        <v>135</v>
      </c>
      <c r="C138" s="236"/>
      <c r="D138" s="236"/>
      <c r="E138" s="236"/>
      <c r="F138" s="7"/>
      <c r="G138" s="7"/>
      <c r="H138" s="7"/>
      <c r="I138" s="7"/>
      <c r="J138" s="7"/>
      <c r="K138" s="2" t="s">
        <v>124</v>
      </c>
      <c r="L138" s="226" t="s">
        <v>131</v>
      </c>
      <c r="M138" s="227"/>
      <c r="N138" s="17"/>
      <c r="O138" s="17"/>
      <c r="P138" s="276">
        <f>P131/P134</f>
        <v>57042.480359147026</v>
      </c>
      <c r="Q138" s="277"/>
      <c r="R138" s="469"/>
      <c r="S138" s="469"/>
      <c r="T138" s="469">
        <f>P138</f>
        <v>57042.480359147026</v>
      </c>
      <c r="U138" s="469"/>
      <c r="V138" s="66">
        <f>V131/V135</f>
        <v>135648.49591426659</v>
      </c>
      <c r="W138" s="66"/>
      <c r="X138" s="66"/>
      <c r="Y138" s="66">
        <f t="shared" si="24"/>
        <v>135648.49591426659</v>
      </c>
      <c r="Z138" s="6">
        <f t="shared" si="25"/>
        <v>78606.015555119564</v>
      </c>
      <c r="AA138" s="4"/>
      <c r="AB138" s="6">
        <f t="shared" si="26"/>
        <v>78606.015555119564</v>
      </c>
      <c r="AD138" s="34"/>
      <c r="AE138" s="34"/>
      <c r="AF138" s="34"/>
      <c r="AG138" s="34"/>
      <c r="AH138" s="172"/>
      <c r="AI138" s="34"/>
      <c r="AJ138" s="34"/>
      <c r="AK138" s="34"/>
      <c r="AL138" s="34"/>
      <c r="AM138" s="34"/>
      <c r="AN138" s="34"/>
      <c r="AO138" s="34"/>
      <c r="AP138" s="34"/>
    </row>
    <row r="139" spans="1:42" ht="32.25" customHeight="1" x14ac:dyDescent="0.25">
      <c r="A139" s="47">
        <v>2</v>
      </c>
      <c r="B139" s="365" t="s">
        <v>78</v>
      </c>
      <c r="C139" s="307"/>
      <c r="D139" s="307"/>
      <c r="E139" s="271"/>
      <c r="F139" s="7"/>
      <c r="G139" s="7"/>
      <c r="H139" s="7"/>
      <c r="I139" s="7"/>
      <c r="J139" s="7"/>
      <c r="K139" s="2" t="s">
        <v>124</v>
      </c>
      <c r="L139" s="226" t="s">
        <v>131</v>
      </c>
      <c r="M139" s="227"/>
      <c r="N139" s="17"/>
      <c r="O139" s="17"/>
      <c r="P139" s="276">
        <f>P132/P136</f>
        <v>13333.333333333334</v>
      </c>
      <c r="Q139" s="277"/>
      <c r="R139" s="469"/>
      <c r="S139" s="469"/>
      <c r="T139" s="469">
        <f>P139</f>
        <v>13333.333333333334</v>
      </c>
      <c r="U139" s="469"/>
      <c r="V139" s="66">
        <v>0</v>
      </c>
      <c r="W139" s="66"/>
      <c r="X139" s="66"/>
      <c r="Y139" s="66">
        <f t="shared" si="24"/>
        <v>0</v>
      </c>
      <c r="Z139" s="6">
        <f t="shared" si="25"/>
        <v>-13333.333333333334</v>
      </c>
      <c r="AA139" s="4"/>
      <c r="AB139" s="6">
        <f t="shared" si="26"/>
        <v>-13333.333333333334</v>
      </c>
      <c r="AE139" s="34"/>
      <c r="AF139" s="34"/>
      <c r="AG139" s="34"/>
      <c r="AH139" s="172"/>
      <c r="AI139" s="34"/>
      <c r="AJ139" s="34"/>
      <c r="AK139" s="34"/>
      <c r="AL139" s="34"/>
      <c r="AM139" s="34"/>
      <c r="AN139" s="34"/>
      <c r="AO139" s="34"/>
      <c r="AP139" s="34"/>
    </row>
    <row r="140" spans="1:42" ht="15.75" customHeight="1" x14ac:dyDescent="0.25">
      <c r="A140" s="47"/>
      <c r="B140" s="382" t="s">
        <v>197</v>
      </c>
      <c r="C140" s="382"/>
      <c r="D140" s="382"/>
      <c r="E140" s="382"/>
      <c r="F140" s="18"/>
      <c r="G140" s="18"/>
      <c r="H140" s="18"/>
      <c r="I140" s="18"/>
      <c r="J140" s="18"/>
      <c r="K140" s="2"/>
      <c r="L140" s="257"/>
      <c r="M140" s="257"/>
      <c r="N140" s="3"/>
      <c r="O140" s="3"/>
      <c r="P140" s="257"/>
      <c r="Q140" s="257"/>
      <c r="R140" s="229"/>
      <c r="S140" s="229"/>
      <c r="T140" s="230"/>
      <c r="U140" s="229"/>
      <c r="V140" s="4"/>
      <c r="W140" s="4"/>
      <c r="X140" s="4"/>
      <c r="Y140" s="6"/>
      <c r="Z140" s="6"/>
      <c r="AA140" s="4"/>
      <c r="AB140" s="6"/>
      <c r="AD140" s="34"/>
      <c r="AE140" s="34"/>
      <c r="AF140" s="34"/>
      <c r="AG140" s="34"/>
      <c r="AH140" s="172"/>
      <c r="AI140" s="34"/>
      <c r="AJ140" s="34"/>
      <c r="AK140" s="34"/>
      <c r="AL140" s="34"/>
      <c r="AM140" s="34"/>
      <c r="AN140" s="34"/>
      <c r="AO140" s="34"/>
      <c r="AP140" s="34"/>
    </row>
    <row r="141" spans="1:42" ht="49.5" customHeight="1" x14ac:dyDescent="0.25">
      <c r="A141" s="47">
        <v>1</v>
      </c>
      <c r="B141" s="363" t="s">
        <v>136</v>
      </c>
      <c r="C141" s="363"/>
      <c r="D141" s="363"/>
      <c r="E141" s="363"/>
      <c r="F141" s="15"/>
      <c r="G141" s="15"/>
      <c r="H141" s="15"/>
      <c r="I141" s="15"/>
      <c r="J141" s="15"/>
      <c r="K141" s="191" t="s">
        <v>3</v>
      </c>
      <c r="L141" s="226" t="s">
        <v>131</v>
      </c>
      <c r="M141" s="227"/>
      <c r="N141" s="17"/>
      <c r="O141" s="17"/>
      <c r="P141" s="228">
        <f>P135/P134*100</f>
        <v>100</v>
      </c>
      <c r="Q141" s="228"/>
      <c r="R141" s="229"/>
      <c r="S141" s="229"/>
      <c r="T141" s="230">
        <f>P141</f>
        <v>100</v>
      </c>
      <c r="U141" s="229"/>
      <c r="V141" s="61">
        <f>V135/V134*100</f>
        <v>100</v>
      </c>
      <c r="W141" s="61"/>
      <c r="X141" s="4"/>
      <c r="Y141" s="6">
        <f t="shared" si="24"/>
        <v>100</v>
      </c>
      <c r="Z141" s="6">
        <f t="shared" si="25"/>
        <v>0</v>
      </c>
      <c r="AA141" s="4"/>
      <c r="AB141" s="6">
        <f t="shared" si="26"/>
        <v>0</v>
      </c>
      <c r="AD141" s="34"/>
      <c r="AE141" s="34"/>
      <c r="AF141" s="34"/>
      <c r="AG141" s="34"/>
      <c r="AH141" s="172"/>
      <c r="AI141" s="34"/>
      <c r="AJ141" s="34"/>
      <c r="AK141" s="34"/>
      <c r="AL141" s="34"/>
      <c r="AM141" s="34"/>
      <c r="AN141" s="34"/>
      <c r="AO141" s="34"/>
      <c r="AP141" s="34"/>
    </row>
    <row r="142" spans="1:42" ht="59.25" customHeight="1" x14ac:dyDescent="0.25">
      <c r="A142" s="47">
        <v>2</v>
      </c>
      <c r="B142" s="224" t="s">
        <v>329</v>
      </c>
      <c r="C142" s="225"/>
      <c r="D142" s="225"/>
      <c r="E142" s="225"/>
      <c r="F142" s="15"/>
      <c r="G142" s="15"/>
      <c r="H142" s="15"/>
      <c r="I142" s="15"/>
      <c r="J142" s="15"/>
      <c r="K142" s="191" t="s">
        <v>3</v>
      </c>
      <c r="L142" s="226" t="s">
        <v>131</v>
      </c>
      <c r="M142" s="227"/>
      <c r="N142" s="17"/>
      <c r="O142" s="17"/>
      <c r="P142" s="228">
        <f>P136/P136*100</f>
        <v>100</v>
      </c>
      <c r="Q142" s="228"/>
      <c r="R142" s="229"/>
      <c r="S142" s="229"/>
      <c r="T142" s="230">
        <f>P142</f>
        <v>100</v>
      </c>
      <c r="U142" s="229"/>
      <c r="V142" s="61">
        <v>0</v>
      </c>
      <c r="W142" s="61"/>
      <c r="X142" s="4"/>
      <c r="Y142" s="6">
        <f t="shared" si="24"/>
        <v>0</v>
      </c>
      <c r="Z142" s="6">
        <f t="shared" si="25"/>
        <v>-100</v>
      </c>
      <c r="AA142" s="4"/>
      <c r="AB142" s="6">
        <f t="shared" si="26"/>
        <v>-100</v>
      </c>
      <c r="AD142" s="34"/>
      <c r="AE142" s="34"/>
      <c r="AF142" s="34"/>
      <c r="AG142" s="34"/>
      <c r="AH142" s="172"/>
      <c r="AI142" s="34"/>
      <c r="AJ142" s="34"/>
      <c r="AK142" s="34"/>
      <c r="AL142" s="34"/>
      <c r="AM142" s="34"/>
      <c r="AN142" s="34"/>
      <c r="AO142" s="34"/>
      <c r="AP142" s="34"/>
    </row>
    <row r="143" spans="1:42" ht="18" customHeight="1" x14ac:dyDescent="0.25">
      <c r="A143" s="47"/>
      <c r="B143" s="262" t="s">
        <v>324</v>
      </c>
      <c r="C143" s="262"/>
      <c r="D143" s="262"/>
      <c r="E143" s="262"/>
      <c r="F143" s="262"/>
      <c r="G143" s="262"/>
      <c r="H143" s="262"/>
      <c r="I143" s="262"/>
      <c r="J143" s="262"/>
      <c r="K143" s="262"/>
      <c r="L143" s="262"/>
      <c r="M143" s="262"/>
      <c r="N143" s="262"/>
      <c r="O143" s="262"/>
      <c r="P143" s="262"/>
      <c r="Q143" s="481"/>
      <c r="R143" s="268"/>
      <c r="S143" s="268"/>
      <c r="T143" s="268"/>
      <c r="U143" s="268"/>
      <c r="V143" s="44"/>
      <c r="W143" s="44"/>
      <c r="X143" s="44"/>
      <c r="Y143" s="44"/>
      <c r="Z143" s="44"/>
      <c r="AA143" s="44"/>
      <c r="AB143" s="44"/>
      <c r="AD143" s="34"/>
      <c r="AE143" s="34"/>
      <c r="AF143" s="34"/>
      <c r="AG143" s="34"/>
      <c r="AH143" s="34"/>
      <c r="AI143" s="34"/>
      <c r="AJ143" s="34"/>
      <c r="AK143" s="34"/>
      <c r="AL143" s="34"/>
      <c r="AM143" s="34"/>
      <c r="AN143" s="34"/>
      <c r="AO143" s="34"/>
      <c r="AP143" s="34"/>
    </row>
    <row r="144" spans="1:42" ht="20.100000000000001" customHeight="1" x14ac:dyDescent="0.25">
      <c r="A144" s="47"/>
      <c r="B144" s="382" t="s">
        <v>194</v>
      </c>
      <c r="C144" s="382"/>
      <c r="D144" s="382"/>
      <c r="E144" s="382"/>
      <c r="F144" s="18"/>
      <c r="G144" s="18"/>
      <c r="H144" s="18"/>
      <c r="I144" s="18"/>
      <c r="J144" s="18"/>
      <c r="K144" s="2"/>
      <c r="L144" s="257"/>
      <c r="M144" s="257"/>
      <c r="N144" s="54"/>
      <c r="O144" s="54"/>
      <c r="P144" s="439"/>
      <c r="Q144" s="440"/>
      <c r="R144" s="268"/>
      <c r="S144" s="268"/>
      <c r="T144" s="268"/>
      <c r="U144" s="268"/>
      <c r="V144" s="44"/>
      <c r="W144" s="44"/>
      <c r="X144" s="44"/>
      <c r="Y144" s="44"/>
      <c r="Z144" s="44"/>
      <c r="AA144" s="44"/>
      <c r="AB144" s="44"/>
      <c r="AD144" s="34"/>
      <c r="AE144" s="34"/>
      <c r="AF144" s="34"/>
      <c r="AG144" s="34"/>
      <c r="AH144" s="34"/>
      <c r="AI144" s="34"/>
      <c r="AJ144" s="34"/>
      <c r="AK144" s="34"/>
      <c r="AL144" s="34"/>
      <c r="AM144" s="34"/>
      <c r="AN144" s="34"/>
      <c r="AO144" s="34"/>
      <c r="AP144" s="34"/>
    </row>
    <row r="145" spans="1:42" ht="20.100000000000001" customHeight="1" x14ac:dyDescent="0.25">
      <c r="A145" s="47">
        <v>1</v>
      </c>
      <c r="B145" s="363" t="s">
        <v>118</v>
      </c>
      <c r="C145" s="363"/>
      <c r="D145" s="363"/>
      <c r="E145" s="363"/>
      <c r="F145" s="15"/>
      <c r="G145" s="15"/>
      <c r="H145" s="15"/>
      <c r="I145" s="15"/>
      <c r="J145" s="15"/>
      <c r="K145" s="2" t="s">
        <v>124</v>
      </c>
      <c r="L145" s="257" t="s">
        <v>122</v>
      </c>
      <c r="M145" s="257"/>
      <c r="N145" s="3"/>
      <c r="O145" s="3"/>
      <c r="P145" s="253">
        <f>SUM(P146:Q147)</f>
        <v>40800000</v>
      </c>
      <c r="Q145" s="256"/>
      <c r="R145" s="253">
        <f>SUM(R146:S147)</f>
        <v>0</v>
      </c>
      <c r="S145" s="256"/>
      <c r="T145" s="230">
        <f>P145+R145</f>
        <v>40800000</v>
      </c>
      <c r="U145" s="230"/>
      <c r="V145" s="6">
        <f>V146+V147</f>
        <v>37121760.120000005</v>
      </c>
      <c r="W145" s="6"/>
      <c r="X145" s="6"/>
      <c r="Y145" s="6">
        <f>V145+X145</f>
        <v>37121760.120000005</v>
      </c>
      <c r="Z145" s="6">
        <f>Z146+Z147</f>
        <v>-3678239.879999999</v>
      </c>
      <c r="AA145" s="6"/>
      <c r="AB145" s="6">
        <f>Z145+AA145</f>
        <v>-3678239.879999999</v>
      </c>
      <c r="AD145" s="34"/>
      <c r="AE145" s="34"/>
      <c r="AF145" s="34"/>
      <c r="AG145" s="34"/>
      <c r="AH145" s="34"/>
      <c r="AI145" s="34"/>
      <c r="AJ145" s="34"/>
      <c r="AK145" s="34"/>
      <c r="AL145" s="34"/>
      <c r="AM145" s="34"/>
      <c r="AN145" s="34"/>
      <c r="AO145" s="34"/>
      <c r="AP145" s="34"/>
    </row>
    <row r="146" spans="1:42" ht="48" customHeight="1" x14ac:dyDescent="0.25">
      <c r="A146" s="47">
        <v>2</v>
      </c>
      <c r="B146" s="248" t="s">
        <v>137</v>
      </c>
      <c r="C146" s="248"/>
      <c r="D146" s="248"/>
      <c r="E146" s="248"/>
      <c r="F146" s="11"/>
      <c r="G146" s="11"/>
      <c r="H146" s="11"/>
      <c r="I146" s="11"/>
      <c r="J146" s="11"/>
      <c r="K146" s="2" t="s">
        <v>124</v>
      </c>
      <c r="L146" s="257" t="s">
        <v>122</v>
      </c>
      <c r="M146" s="257"/>
      <c r="N146" s="3"/>
      <c r="O146" s="3"/>
      <c r="P146" s="339">
        <v>15800000</v>
      </c>
      <c r="Q146" s="339"/>
      <c r="R146" s="230"/>
      <c r="S146" s="230"/>
      <c r="T146" s="230">
        <f>P146+R146</f>
        <v>15800000</v>
      </c>
      <c r="U146" s="230"/>
      <c r="V146" s="6">
        <v>15800000</v>
      </c>
      <c r="W146" s="6"/>
      <c r="X146" s="6"/>
      <c r="Y146" s="6">
        <f>V146</f>
        <v>15800000</v>
      </c>
      <c r="Z146" s="6">
        <f>V146-P146</f>
        <v>0</v>
      </c>
      <c r="AA146" s="6"/>
      <c r="AB146" s="6">
        <f>Z146</f>
        <v>0</v>
      </c>
      <c r="AD146" s="34"/>
      <c r="AE146" s="34"/>
      <c r="AF146" s="34"/>
      <c r="AG146" s="34"/>
      <c r="AH146" s="34"/>
      <c r="AI146" s="34"/>
      <c r="AJ146" s="34"/>
      <c r="AK146" s="34"/>
      <c r="AL146" s="34"/>
      <c r="AM146" s="34"/>
      <c r="AN146" s="34"/>
      <c r="AO146" s="34"/>
      <c r="AP146" s="34"/>
    </row>
    <row r="147" spans="1:42" ht="20.100000000000001" customHeight="1" x14ac:dyDescent="0.25">
      <c r="A147" s="47">
        <v>3</v>
      </c>
      <c r="B147" s="248" t="s">
        <v>138</v>
      </c>
      <c r="C147" s="248"/>
      <c r="D147" s="248"/>
      <c r="E147" s="248"/>
      <c r="F147" s="11"/>
      <c r="G147" s="11"/>
      <c r="H147" s="11"/>
      <c r="I147" s="11"/>
      <c r="J147" s="11"/>
      <c r="K147" s="2" t="s">
        <v>124</v>
      </c>
      <c r="L147" s="257" t="s">
        <v>122</v>
      </c>
      <c r="M147" s="257"/>
      <c r="N147" s="3"/>
      <c r="O147" s="3"/>
      <c r="P147" s="339">
        <v>25000000</v>
      </c>
      <c r="Q147" s="339"/>
      <c r="R147" s="230"/>
      <c r="S147" s="230"/>
      <c r="T147" s="230">
        <f>P147+R147</f>
        <v>25000000</v>
      </c>
      <c r="U147" s="230"/>
      <c r="V147" s="6">
        <v>21321760.120000001</v>
      </c>
      <c r="W147" s="6"/>
      <c r="X147" s="6"/>
      <c r="Y147" s="6">
        <f>V147</f>
        <v>21321760.120000001</v>
      </c>
      <c r="Z147" s="6">
        <f>V147-P147</f>
        <v>-3678239.879999999</v>
      </c>
      <c r="AA147" s="6"/>
      <c r="AB147" s="6">
        <f>Z147</f>
        <v>-3678239.879999999</v>
      </c>
      <c r="AD147" s="34"/>
      <c r="AE147" s="34"/>
      <c r="AF147" s="34"/>
      <c r="AG147" s="34"/>
      <c r="AH147" s="34"/>
      <c r="AI147" s="34"/>
      <c r="AJ147" s="34"/>
      <c r="AK147" s="34"/>
      <c r="AL147" s="34"/>
      <c r="AM147" s="34"/>
      <c r="AN147" s="34"/>
      <c r="AO147" s="34"/>
      <c r="AP147" s="34"/>
    </row>
    <row r="148" spans="1:42" ht="20.100000000000001" customHeight="1" x14ac:dyDescent="0.25">
      <c r="A148" s="47"/>
      <c r="B148" s="382" t="s">
        <v>243</v>
      </c>
      <c r="C148" s="382"/>
      <c r="D148" s="382"/>
      <c r="E148" s="382"/>
      <c r="F148" s="18"/>
      <c r="G148" s="18"/>
      <c r="H148" s="18"/>
      <c r="I148" s="18"/>
      <c r="J148" s="18"/>
      <c r="K148" s="55"/>
      <c r="L148" s="257"/>
      <c r="M148" s="257"/>
      <c r="N148" s="3"/>
      <c r="O148" s="3"/>
      <c r="P148" s="364"/>
      <c r="Q148" s="364"/>
      <c r="R148" s="409"/>
      <c r="S148" s="409"/>
      <c r="T148" s="409"/>
      <c r="U148" s="409"/>
      <c r="V148" s="5"/>
      <c r="W148" s="5"/>
      <c r="X148" s="5"/>
      <c r="Y148" s="5"/>
      <c r="Z148" s="5"/>
      <c r="AA148" s="5"/>
      <c r="AB148" s="5"/>
      <c r="AD148" s="174"/>
      <c r="AE148" s="174"/>
      <c r="AF148" s="174"/>
      <c r="AG148" s="174"/>
      <c r="AH148" s="174"/>
      <c r="AI148" s="174"/>
      <c r="AJ148" s="174"/>
      <c r="AK148" s="174"/>
      <c r="AL148" s="34"/>
      <c r="AM148" s="34"/>
      <c r="AN148" s="34"/>
      <c r="AO148" s="34"/>
      <c r="AP148" s="34"/>
    </row>
    <row r="149" spans="1:42" ht="54.75" customHeight="1" x14ac:dyDescent="0.25">
      <c r="A149" s="47">
        <v>1</v>
      </c>
      <c r="B149" s="363" t="s">
        <v>231</v>
      </c>
      <c r="C149" s="363"/>
      <c r="D149" s="363"/>
      <c r="E149" s="363"/>
      <c r="F149" s="15"/>
      <c r="G149" s="15"/>
      <c r="H149" s="15"/>
      <c r="I149" s="15"/>
      <c r="J149" s="15"/>
      <c r="K149" s="2" t="s">
        <v>126</v>
      </c>
      <c r="L149" s="226" t="s">
        <v>139</v>
      </c>
      <c r="M149" s="227"/>
      <c r="N149" s="17"/>
      <c r="O149" s="17"/>
      <c r="P149" s="341">
        <v>18088</v>
      </c>
      <c r="Q149" s="342"/>
      <c r="R149" s="229"/>
      <c r="S149" s="229"/>
      <c r="T149" s="303">
        <f>P149</f>
        <v>18088</v>
      </c>
      <c r="U149" s="229"/>
      <c r="V149" s="214">
        <v>18474</v>
      </c>
      <c r="W149" s="101"/>
      <c r="X149" s="4"/>
      <c r="Y149" s="4">
        <f>V149</f>
        <v>18474</v>
      </c>
      <c r="Z149" s="102">
        <f>V149-P149</f>
        <v>386</v>
      </c>
      <c r="AA149" s="102"/>
      <c r="AB149" s="102">
        <f>Z149</f>
        <v>386</v>
      </c>
      <c r="AD149" s="175"/>
      <c r="AE149" s="175"/>
      <c r="AF149" s="175"/>
      <c r="AG149" s="175"/>
      <c r="AH149" s="175"/>
      <c r="AI149" s="175"/>
      <c r="AJ149" s="175"/>
      <c r="AK149" s="175"/>
      <c r="AL149" s="34"/>
      <c r="AM149" s="34"/>
      <c r="AN149" s="34"/>
      <c r="AO149" s="34"/>
      <c r="AP149" s="34"/>
    </row>
    <row r="150" spans="1:42" ht="35.25" customHeight="1" x14ac:dyDescent="0.25">
      <c r="A150" s="47">
        <v>2</v>
      </c>
      <c r="B150" s="363" t="s">
        <v>140</v>
      </c>
      <c r="C150" s="363"/>
      <c r="D150" s="363"/>
      <c r="E150" s="363"/>
      <c r="F150" s="15"/>
      <c r="G150" s="15"/>
      <c r="H150" s="15"/>
      <c r="I150" s="15"/>
      <c r="J150" s="15"/>
      <c r="K150" s="2" t="s">
        <v>260</v>
      </c>
      <c r="L150" s="257" t="s">
        <v>4</v>
      </c>
      <c r="M150" s="257"/>
      <c r="N150" s="3"/>
      <c r="O150" s="3"/>
      <c r="P150" s="417">
        <v>5500</v>
      </c>
      <c r="Q150" s="418"/>
      <c r="R150" s="229"/>
      <c r="S150" s="229"/>
      <c r="T150" s="264">
        <f>P150</f>
        <v>5500</v>
      </c>
      <c r="U150" s="264"/>
      <c r="V150" s="96">
        <v>3817.2</v>
      </c>
      <c r="W150" s="134"/>
      <c r="X150" s="96"/>
      <c r="Y150" s="61">
        <f>V150</f>
        <v>3817.2</v>
      </c>
      <c r="Z150" s="61">
        <f>V150-P150</f>
        <v>-1682.8000000000002</v>
      </c>
      <c r="AA150" s="61"/>
      <c r="AB150" s="61">
        <f>Z150</f>
        <v>-1682.8000000000002</v>
      </c>
      <c r="AD150" s="34"/>
      <c r="AE150" s="34"/>
      <c r="AF150" s="34"/>
      <c r="AG150" s="34"/>
      <c r="AH150" s="34"/>
      <c r="AI150" s="34"/>
      <c r="AJ150" s="34"/>
      <c r="AK150" s="34"/>
      <c r="AL150" s="34"/>
      <c r="AM150" s="34"/>
      <c r="AN150" s="34"/>
      <c r="AO150" s="34"/>
      <c r="AP150" s="34"/>
    </row>
    <row r="151" spans="1:42" ht="20.100000000000001" customHeight="1" x14ac:dyDescent="0.25">
      <c r="A151" s="47"/>
      <c r="B151" s="382" t="s">
        <v>196</v>
      </c>
      <c r="C151" s="382"/>
      <c r="D151" s="382"/>
      <c r="E151" s="382"/>
      <c r="F151" s="18"/>
      <c r="G151" s="18"/>
      <c r="H151" s="18"/>
      <c r="I151" s="18"/>
      <c r="J151" s="18"/>
      <c r="K151" s="2"/>
      <c r="L151" s="257"/>
      <c r="M151" s="257"/>
      <c r="N151" s="3"/>
      <c r="O151" s="3"/>
      <c r="P151" s="257" t="s">
        <v>141</v>
      </c>
      <c r="Q151" s="257"/>
      <c r="R151" s="435"/>
      <c r="S151" s="435"/>
      <c r="T151" s="435"/>
      <c r="U151" s="435"/>
      <c r="V151" s="47"/>
      <c r="W151" s="47"/>
      <c r="X151" s="47"/>
      <c r="Y151" s="47"/>
      <c r="Z151" s="47"/>
      <c r="AA151" s="47"/>
      <c r="AB151" s="47"/>
      <c r="AD151" s="34"/>
      <c r="AE151" s="34"/>
      <c r="AF151" s="60"/>
      <c r="AG151" s="34"/>
      <c r="AH151" s="34"/>
      <c r="AI151" s="34"/>
      <c r="AJ151" s="34"/>
      <c r="AK151" s="34"/>
      <c r="AL151" s="34"/>
      <c r="AM151" s="34"/>
      <c r="AN151" s="34"/>
      <c r="AO151" s="34"/>
      <c r="AP151" s="34"/>
    </row>
    <row r="152" spans="1:42" ht="44.25" customHeight="1" x14ac:dyDescent="0.25">
      <c r="A152" s="47">
        <v>1</v>
      </c>
      <c r="B152" s="395" t="s">
        <v>142</v>
      </c>
      <c r="C152" s="395"/>
      <c r="D152" s="395"/>
      <c r="E152" s="395"/>
      <c r="F152" s="56"/>
      <c r="G152" s="56"/>
      <c r="H152" s="56"/>
      <c r="I152" s="56"/>
      <c r="J152" s="56"/>
      <c r="K152" s="2" t="s">
        <v>124</v>
      </c>
      <c r="L152" s="226" t="s">
        <v>131</v>
      </c>
      <c r="M152" s="227"/>
      <c r="N152" s="17"/>
      <c r="O152" s="17"/>
      <c r="P152" s="253">
        <f>P146/P149</f>
        <v>873.50729765590449</v>
      </c>
      <c r="Q152" s="253"/>
      <c r="R152" s="230"/>
      <c r="S152" s="230"/>
      <c r="T152" s="230">
        <f>P152</f>
        <v>873.50729765590449</v>
      </c>
      <c r="U152" s="230"/>
      <c r="V152" s="6">
        <f>V146/V149</f>
        <v>855.25603550936455</v>
      </c>
      <c r="W152" s="105"/>
      <c r="X152" s="6"/>
      <c r="Y152" s="6">
        <f>V152</f>
        <v>855.25603550936455</v>
      </c>
      <c r="Z152" s="6">
        <f>V152-P152</f>
        <v>-18.251262146539943</v>
      </c>
      <c r="AA152" s="6"/>
      <c r="AB152" s="6">
        <f>Z152</f>
        <v>-18.251262146539943</v>
      </c>
      <c r="AD152" s="34"/>
      <c r="AE152" s="216"/>
      <c r="AG152" s="34"/>
      <c r="AH152" s="216"/>
      <c r="AI152" s="34"/>
      <c r="AJ152" s="34"/>
      <c r="AK152" s="34"/>
      <c r="AL152" s="34"/>
      <c r="AM152" s="34"/>
      <c r="AN152" s="34"/>
      <c r="AO152" s="34"/>
      <c r="AP152" s="34"/>
    </row>
    <row r="153" spans="1:42" ht="35.25" customHeight="1" x14ac:dyDescent="0.25">
      <c r="A153" s="47">
        <v>2</v>
      </c>
      <c r="B153" s="271" t="s">
        <v>143</v>
      </c>
      <c r="C153" s="236"/>
      <c r="D153" s="236"/>
      <c r="E153" s="236"/>
      <c r="F153" s="7"/>
      <c r="G153" s="7"/>
      <c r="H153" s="7"/>
      <c r="I153" s="7"/>
      <c r="J153" s="7"/>
      <c r="K153" s="2" t="s">
        <v>124</v>
      </c>
      <c r="L153" s="226" t="s">
        <v>4</v>
      </c>
      <c r="M153" s="227"/>
      <c r="N153" s="17"/>
      <c r="O153" s="17"/>
      <c r="P153" s="253">
        <f>3.85+1.52</f>
        <v>5.37</v>
      </c>
      <c r="Q153" s="253"/>
      <c r="R153" s="230"/>
      <c r="S153" s="230"/>
      <c r="T153" s="230">
        <f>P153</f>
        <v>5.37</v>
      </c>
      <c r="U153" s="230"/>
      <c r="V153" s="253">
        <f>V147/V150/1000</f>
        <v>5.5857068322330505</v>
      </c>
      <c r="W153" s="253"/>
      <c r="X153" s="6"/>
      <c r="Y153" s="6">
        <f>V153</f>
        <v>5.5857068322330505</v>
      </c>
      <c r="Z153" s="6">
        <f>V153-P153</f>
        <v>0.21570683223305043</v>
      </c>
      <c r="AA153" s="6"/>
      <c r="AB153" s="6">
        <f>Z153</f>
        <v>0.21570683223305043</v>
      </c>
      <c r="AD153" s="215"/>
      <c r="AE153" s="34"/>
      <c r="AF153" s="34"/>
      <c r="AG153" s="34"/>
      <c r="AH153" s="170"/>
      <c r="AI153" s="34"/>
      <c r="AJ153" s="34"/>
      <c r="AK153" s="34"/>
      <c r="AL153" s="34"/>
      <c r="AM153" s="34"/>
      <c r="AN153" s="34"/>
      <c r="AO153" s="34"/>
      <c r="AP153" s="34"/>
    </row>
    <row r="154" spans="1:42" ht="20.100000000000001" customHeight="1" x14ac:dyDescent="0.25">
      <c r="A154" s="47"/>
      <c r="B154" s="382" t="s">
        <v>197</v>
      </c>
      <c r="C154" s="382"/>
      <c r="D154" s="382"/>
      <c r="E154" s="382"/>
      <c r="F154" s="18"/>
      <c r="G154" s="18"/>
      <c r="H154" s="18"/>
      <c r="I154" s="18"/>
      <c r="J154" s="18"/>
      <c r="K154" s="2"/>
      <c r="L154" s="257"/>
      <c r="M154" s="257"/>
      <c r="N154" s="3"/>
      <c r="O154" s="3"/>
      <c r="P154" s="364"/>
      <c r="Q154" s="364"/>
      <c r="R154" s="409"/>
      <c r="S154" s="409"/>
      <c r="T154" s="409"/>
      <c r="U154" s="409"/>
      <c r="V154" s="5"/>
      <c r="W154" s="5"/>
      <c r="X154" s="5"/>
      <c r="Y154" s="5"/>
      <c r="Z154" s="5"/>
      <c r="AA154" s="5"/>
      <c r="AB154" s="5"/>
      <c r="AD154" s="34"/>
      <c r="AE154" s="34"/>
      <c r="AF154" s="34"/>
      <c r="AG154" s="34"/>
      <c r="AH154" s="170"/>
      <c r="AI154" s="34"/>
      <c r="AJ154" s="34"/>
      <c r="AK154" s="34"/>
      <c r="AL154" s="34"/>
      <c r="AM154" s="34"/>
      <c r="AN154" s="34"/>
      <c r="AO154" s="34"/>
      <c r="AP154" s="34"/>
    </row>
    <row r="155" spans="1:42" ht="64.5" customHeight="1" x14ac:dyDescent="0.25">
      <c r="A155" s="47">
        <v>1</v>
      </c>
      <c r="B155" s="363" t="s">
        <v>144</v>
      </c>
      <c r="C155" s="363"/>
      <c r="D155" s="363"/>
      <c r="E155" s="363"/>
      <c r="F155" s="15"/>
      <c r="G155" s="15"/>
      <c r="H155" s="15"/>
      <c r="I155" s="15"/>
      <c r="J155" s="15"/>
      <c r="K155" s="191" t="s">
        <v>3</v>
      </c>
      <c r="L155" s="226" t="s">
        <v>131</v>
      </c>
      <c r="M155" s="227"/>
      <c r="N155" s="17"/>
      <c r="O155" s="17"/>
      <c r="P155" s="228">
        <f>P146/13725000*100</f>
        <v>115.1183970856102</v>
      </c>
      <c r="Q155" s="228"/>
      <c r="R155" s="229"/>
      <c r="S155" s="229"/>
      <c r="T155" s="264">
        <f>P155</f>
        <v>115.1183970856102</v>
      </c>
      <c r="U155" s="229"/>
      <c r="V155" s="228">
        <f>V146/13725000*100</f>
        <v>115.1183970856102</v>
      </c>
      <c r="W155" s="228"/>
      <c r="X155" s="10"/>
      <c r="Y155" s="61">
        <f>V155</f>
        <v>115.1183970856102</v>
      </c>
      <c r="Z155" s="61">
        <f>V155-P155</f>
        <v>0</v>
      </c>
      <c r="AA155" s="4"/>
      <c r="AB155" s="61">
        <f>Z155</f>
        <v>0</v>
      </c>
      <c r="AD155" s="34"/>
      <c r="AE155" s="34"/>
      <c r="AF155" s="34"/>
      <c r="AG155" s="34"/>
      <c r="AH155" s="170"/>
      <c r="AI155" s="34"/>
      <c r="AJ155" s="34"/>
      <c r="AK155" s="34"/>
      <c r="AL155" s="34"/>
      <c r="AM155" s="34"/>
      <c r="AN155" s="34"/>
      <c r="AO155" s="34"/>
      <c r="AP155" s="34"/>
    </row>
    <row r="156" spans="1:42" ht="50.25" customHeight="1" x14ac:dyDescent="0.25">
      <c r="A156" s="47">
        <v>2</v>
      </c>
      <c r="B156" s="363" t="s">
        <v>79</v>
      </c>
      <c r="C156" s="363"/>
      <c r="D156" s="363"/>
      <c r="E156" s="363"/>
      <c r="F156" s="15"/>
      <c r="G156" s="15"/>
      <c r="H156" s="15"/>
      <c r="I156" s="15"/>
      <c r="J156" s="15"/>
      <c r="K156" s="191" t="s">
        <v>3</v>
      </c>
      <c r="L156" s="226" t="s">
        <v>131</v>
      </c>
      <c r="M156" s="227"/>
      <c r="N156" s="17"/>
      <c r="O156" s="17"/>
      <c r="P156" s="318">
        <f>P147/(P150*P153*1000)*100</f>
        <v>84.645336041984081</v>
      </c>
      <c r="Q156" s="318">
        <f>(3891.46/14397)/(3735.8/14315)*100-100</f>
        <v>3.5734161265454247</v>
      </c>
      <c r="R156" s="304"/>
      <c r="S156" s="304"/>
      <c r="T156" s="264">
        <f>P156</f>
        <v>84.645336041984081</v>
      </c>
      <c r="U156" s="264"/>
      <c r="V156" s="318">
        <f>V147/(V150*V153*1000)*100</f>
        <v>100.00000000000003</v>
      </c>
      <c r="W156" s="318">
        <f>(3891.46/14397)/(3735.8/14315)*100-100</f>
        <v>3.5734161265454247</v>
      </c>
      <c r="X156" s="10"/>
      <c r="Y156" s="61">
        <f>V156</f>
        <v>100.00000000000003</v>
      </c>
      <c r="Z156" s="61">
        <f>V156-P156</f>
        <v>15.354663958015948</v>
      </c>
      <c r="AA156" s="4"/>
      <c r="AB156" s="61">
        <f>Z156</f>
        <v>15.354663958015948</v>
      </c>
      <c r="AD156" s="34"/>
      <c r="AE156" s="34"/>
      <c r="AF156" s="34"/>
      <c r="AG156" s="34"/>
      <c r="AH156" s="34"/>
      <c r="AI156" s="34"/>
      <c r="AJ156" s="34"/>
      <c r="AK156" s="34"/>
      <c r="AL156" s="34"/>
      <c r="AM156" s="34"/>
      <c r="AN156" s="34"/>
      <c r="AO156" s="34"/>
      <c r="AP156" s="34"/>
    </row>
    <row r="157" spans="1:42" ht="21" customHeight="1" x14ac:dyDescent="0.25">
      <c r="A157" s="47"/>
      <c r="B157" s="238" t="s">
        <v>280</v>
      </c>
      <c r="C157" s="238"/>
      <c r="D157" s="238"/>
      <c r="E157" s="238"/>
      <c r="F157" s="238"/>
      <c r="G157" s="238"/>
      <c r="H157" s="238"/>
      <c r="I157" s="238"/>
      <c r="J157" s="238"/>
      <c r="K157" s="238"/>
      <c r="L157" s="238"/>
      <c r="M157" s="238"/>
      <c r="N157" s="238"/>
      <c r="O157" s="238"/>
      <c r="P157" s="238"/>
      <c r="Q157" s="238"/>
      <c r="R157" s="268"/>
      <c r="S157" s="268"/>
      <c r="T157" s="268"/>
      <c r="U157" s="268"/>
      <c r="V157" s="44"/>
      <c r="W157" s="44"/>
      <c r="X157" s="44"/>
      <c r="Y157" s="44"/>
      <c r="Z157" s="44"/>
      <c r="AA157" s="44"/>
      <c r="AB157" s="44"/>
      <c r="AD157" s="34"/>
      <c r="AE157" s="34"/>
      <c r="AF157" s="34"/>
      <c r="AG157" s="34"/>
      <c r="AH157" s="34"/>
      <c r="AI157" s="34"/>
      <c r="AJ157" s="34"/>
      <c r="AK157" s="34"/>
      <c r="AL157" s="34"/>
      <c r="AM157" s="34"/>
      <c r="AN157" s="34"/>
      <c r="AO157" s="34"/>
      <c r="AP157" s="34"/>
    </row>
    <row r="158" spans="1:42" ht="20.100000000000001" customHeight="1" x14ac:dyDescent="0.25">
      <c r="A158" s="47"/>
      <c r="B158" s="272" t="s">
        <v>194</v>
      </c>
      <c r="C158" s="272"/>
      <c r="D158" s="272"/>
      <c r="E158" s="272"/>
      <c r="F158" s="64"/>
      <c r="G158" s="64"/>
      <c r="H158" s="64"/>
      <c r="I158" s="64"/>
      <c r="J158" s="64"/>
      <c r="K158" s="3"/>
      <c r="L158" s="257"/>
      <c r="M158" s="257"/>
      <c r="N158" s="3"/>
      <c r="O158" s="3"/>
      <c r="P158" s="364"/>
      <c r="Q158" s="436"/>
      <c r="R158" s="409"/>
      <c r="S158" s="409"/>
      <c r="T158" s="409"/>
      <c r="U158" s="409"/>
      <c r="V158" s="5"/>
      <c r="W158" s="5"/>
      <c r="X158" s="5"/>
      <c r="Y158" s="5"/>
      <c r="Z158" s="5"/>
      <c r="AA158" s="5"/>
      <c r="AB158" s="5"/>
      <c r="AD158" s="34"/>
      <c r="AE158" s="34"/>
      <c r="AF158" s="34"/>
      <c r="AG158" s="34"/>
      <c r="AH158" s="34"/>
      <c r="AI158" s="34"/>
      <c r="AJ158" s="34"/>
      <c r="AK158" s="34"/>
      <c r="AL158" s="34"/>
      <c r="AM158" s="34"/>
      <c r="AN158" s="34"/>
      <c r="AO158" s="34"/>
      <c r="AP158" s="34"/>
    </row>
    <row r="159" spans="1:42" ht="20.100000000000001" customHeight="1" x14ac:dyDescent="0.25">
      <c r="A159" s="47">
        <v>1</v>
      </c>
      <c r="B159" s="273" t="s">
        <v>118</v>
      </c>
      <c r="C159" s="274"/>
      <c r="D159" s="274"/>
      <c r="E159" s="274"/>
      <c r="F159" s="274"/>
      <c r="G159" s="274"/>
      <c r="H159" s="274"/>
      <c r="I159" s="274"/>
      <c r="J159" s="274"/>
      <c r="K159" s="3" t="s">
        <v>124</v>
      </c>
      <c r="L159" s="257" t="s">
        <v>122</v>
      </c>
      <c r="M159" s="257"/>
      <c r="N159" s="3"/>
      <c r="O159" s="3"/>
      <c r="P159" s="339">
        <f>SUM(P160:Q163)</f>
        <v>6048150</v>
      </c>
      <c r="Q159" s="340"/>
      <c r="R159" s="229"/>
      <c r="S159" s="229"/>
      <c r="T159" s="230">
        <f>P159</f>
        <v>6048150</v>
      </c>
      <c r="U159" s="229"/>
      <c r="V159" s="339">
        <f>SUM(V160:W163)</f>
        <v>5273860</v>
      </c>
      <c r="W159" s="340"/>
      <c r="X159" s="6"/>
      <c r="Y159" s="6">
        <f>V159</f>
        <v>5273860</v>
      </c>
      <c r="Z159" s="6">
        <f>V159-P159</f>
        <v>-774290</v>
      </c>
      <c r="AA159" s="6"/>
      <c r="AB159" s="6">
        <f>Z159</f>
        <v>-774290</v>
      </c>
      <c r="AD159" s="34"/>
      <c r="AE159" s="34"/>
      <c r="AF159" s="34"/>
      <c r="AG159" s="34"/>
      <c r="AH159" s="34"/>
      <c r="AI159" s="34"/>
      <c r="AJ159" s="34"/>
      <c r="AK159" s="34"/>
      <c r="AL159" s="34"/>
      <c r="AM159" s="34"/>
      <c r="AN159" s="34"/>
      <c r="AO159" s="34"/>
      <c r="AP159" s="34"/>
    </row>
    <row r="160" spans="1:42" ht="20.100000000000001" customHeight="1" x14ac:dyDescent="0.25">
      <c r="A160" s="47">
        <v>2</v>
      </c>
      <c r="B160" s="433" t="s">
        <v>146</v>
      </c>
      <c r="C160" s="434"/>
      <c r="D160" s="434"/>
      <c r="E160" s="434"/>
      <c r="F160" s="434"/>
      <c r="G160" s="434"/>
      <c r="H160" s="434"/>
      <c r="I160" s="434"/>
      <c r="J160" s="434"/>
      <c r="K160" s="3" t="s">
        <v>124</v>
      </c>
      <c r="L160" s="257" t="s">
        <v>145</v>
      </c>
      <c r="M160" s="257"/>
      <c r="N160" s="3"/>
      <c r="O160" s="3"/>
      <c r="P160" s="276">
        <v>1486800</v>
      </c>
      <c r="Q160" s="277"/>
      <c r="R160" s="229"/>
      <c r="S160" s="229"/>
      <c r="T160" s="230">
        <f>P160</f>
        <v>1486800</v>
      </c>
      <c r="U160" s="229"/>
      <c r="V160" s="163">
        <v>1486786.91</v>
      </c>
      <c r="W160" s="135"/>
      <c r="X160" s="6"/>
      <c r="Y160" s="6">
        <f>V160</f>
        <v>1486786.91</v>
      </c>
      <c r="Z160" s="6">
        <f>V160-P160</f>
        <v>-13.090000000083819</v>
      </c>
      <c r="AA160" s="6"/>
      <c r="AB160" s="6">
        <f>Z160</f>
        <v>-13.090000000083819</v>
      </c>
      <c r="AD160" s="34"/>
      <c r="AE160" s="176"/>
      <c r="AF160" s="176"/>
      <c r="AG160" s="176"/>
      <c r="AH160" s="176"/>
      <c r="AI160" s="176"/>
      <c r="AJ160" s="176"/>
      <c r="AK160" s="176"/>
      <c r="AL160" s="176"/>
      <c r="AM160" s="34"/>
      <c r="AN160" s="34"/>
      <c r="AO160" s="34"/>
      <c r="AP160" s="34"/>
    </row>
    <row r="161" spans="1:66" ht="33" customHeight="1" x14ac:dyDescent="0.25">
      <c r="A161" s="47">
        <v>3</v>
      </c>
      <c r="B161" s="305" t="s">
        <v>262</v>
      </c>
      <c r="C161" s="306"/>
      <c r="D161" s="306"/>
      <c r="E161" s="306"/>
      <c r="F161" s="306"/>
      <c r="G161" s="306"/>
      <c r="H161" s="306"/>
      <c r="I161" s="306"/>
      <c r="J161" s="306"/>
      <c r="K161" s="3" t="s">
        <v>124</v>
      </c>
      <c r="L161" s="257" t="s">
        <v>145</v>
      </c>
      <c r="M161" s="257"/>
      <c r="N161" s="3"/>
      <c r="O161" s="3"/>
      <c r="P161" s="276">
        <v>3495350</v>
      </c>
      <c r="Q161" s="277"/>
      <c r="R161" s="229"/>
      <c r="S161" s="229"/>
      <c r="T161" s="230">
        <f>P161</f>
        <v>3495350</v>
      </c>
      <c r="U161" s="229"/>
      <c r="V161" s="163">
        <v>3185510.41</v>
      </c>
      <c r="W161" s="135"/>
      <c r="X161" s="6"/>
      <c r="Y161" s="6">
        <f>V161</f>
        <v>3185510.41</v>
      </c>
      <c r="Z161" s="6">
        <f>V161-P161</f>
        <v>-309839.58999999985</v>
      </c>
      <c r="AA161" s="6"/>
      <c r="AB161" s="6">
        <f>Z161</f>
        <v>-309839.58999999985</v>
      </c>
      <c r="AD161" s="34"/>
      <c r="AE161" s="34"/>
      <c r="AF161" s="34"/>
      <c r="AG161" s="34"/>
      <c r="AH161" s="34"/>
      <c r="AI161" s="34"/>
      <c r="AJ161" s="34"/>
      <c r="AK161" s="34"/>
      <c r="AL161" s="34"/>
      <c r="AM161" s="34"/>
      <c r="AN161" s="34"/>
      <c r="AO161" s="34"/>
      <c r="AP161" s="34"/>
    </row>
    <row r="162" spans="1:66" ht="49.5" customHeight="1" x14ac:dyDescent="0.25">
      <c r="A162" s="47">
        <v>4</v>
      </c>
      <c r="B162" s="305" t="s">
        <v>148</v>
      </c>
      <c r="C162" s="306"/>
      <c r="D162" s="306"/>
      <c r="E162" s="306"/>
      <c r="F162" s="306"/>
      <c r="G162" s="306"/>
      <c r="H162" s="306"/>
      <c r="I162" s="306"/>
      <c r="J162" s="306"/>
      <c r="K162" s="3" t="s">
        <v>124</v>
      </c>
      <c r="L162" s="257" t="s">
        <v>130</v>
      </c>
      <c r="M162" s="257"/>
      <c r="N162" s="3"/>
      <c r="O162" s="3"/>
      <c r="P162" s="276">
        <f>1041400</f>
        <v>1041400</v>
      </c>
      <c r="Q162" s="277"/>
      <c r="R162" s="229"/>
      <c r="S162" s="229"/>
      <c r="T162" s="230">
        <f>P162</f>
        <v>1041400</v>
      </c>
      <c r="U162" s="229"/>
      <c r="V162" s="163">
        <v>577062.68000000005</v>
      </c>
      <c r="W162" s="135"/>
      <c r="X162" s="6"/>
      <c r="Y162" s="6">
        <f>V162</f>
        <v>577062.68000000005</v>
      </c>
      <c r="Z162" s="6">
        <f>V162-P162</f>
        <v>-464337.31999999995</v>
      </c>
      <c r="AA162" s="6"/>
      <c r="AB162" s="6">
        <f>Z162</f>
        <v>-464337.31999999995</v>
      </c>
      <c r="AD162" s="34"/>
      <c r="AE162" s="34"/>
      <c r="AF162" s="34"/>
      <c r="AG162" s="34"/>
      <c r="AH162" s="34"/>
      <c r="AI162" s="34"/>
      <c r="AJ162" s="34"/>
      <c r="AK162" s="34"/>
      <c r="AL162" s="34"/>
      <c r="AM162" s="34"/>
      <c r="AN162" s="34"/>
      <c r="AO162" s="34"/>
      <c r="AP162" s="34"/>
    </row>
    <row r="163" spans="1:66" ht="37.5" customHeight="1" x14ac:dyDescent="0.25">
      <c r="A163" s="47">
        <v>5</v>
      </c>
      <c r="B163" s="305" t="s">
        <v>80</v>
      </c>
      <c r="C163" s="306"/>
      <c r="D163" s="306"/>
      <c r="E163" s="306"/>
      <c r="F163" s="306"/>
      <c r="G163" s="306"/>
      <c r="H163" s="306"/>
      <c r="I163" s="306"/>
      <c r="J163" s="290"/>
      <c r="K163" s="3" t="s">
        <v>124</v>
      </c>
      <c r="L163" s="257" t="s">
        <v>82</v>
      </c>
      <c r="M163" s="257"/>
      <c r="N163" s="3"/>
      <c r="O163" s="3"/>
      <c r="P163" s="276">
        <v>24600</v>
      </c>
      <c r="Q163" s="277"/>
      <c r="R163" s="229"/>
      <c r="S163" s="229"/>
      <c r="T163" s="230">
        <f>P163</f>
        <v>24600</v>
      </c>
      <c r="U163" s="229"/>
      <c r="V163" s="1">
        <v>24500</v>
      </c>
      <c r="W163" s="135"/>
      <c r="X163" s="6"/>
      <c r="Y163" s="6">
        <f>V163</f>
        <v>24500</v>
      </c>
      <c r="Z163" s="6">
        <f>V163-P163</f>
        <v>-100</v>
      </c>
      <c r="AA163" s="6"/>
      <c r="AB163" s="6">
        <f>Z163</f>
        <v>-100</v>
      </c>
      <c r="AD163" s="34"/>
      <c r="AE163" s="34"/>
      <c r="AF163" s="34"/>
      <c r="AG163" s="34"/>
      <c r="AH163" s="34"/>
      <c r="AI163" s="34"/>
      <c r="AJ163" s="34"/>
      <c r="AK163" s="34"/>
      <c r="AL163" s="34"/>
      <c r="AM163" s="34"/>
      <c r="AN163" s="34"/>
      <c r="AO163" s="34"/>
      <c r="AP163" s="34"/>
    </row>
    <row r="164" spans="1:66" ht="20.100000000000001" customHeight="1" x14ac:dyDescent="0.25">
      <c r="A164" s="47"/>
      <c r="B164" s="272" t="s">
        <v>243</v>
      </c>
      <c r="C164" s="272"/>
      <c r="D164" s="272"/>
      <c r="E164" s="272"/>
      <c r="F164" s="64"/>
      <c r="G164" s="64"/>
      <c r="H164" s="64"/>
      <c r="I164" s="64"/>
      <c r="J164" s="64"/>
      <c r="K164" s="3"/>
      <c r="L164" s="257"/>
      <c r="M164" s="257"/>
      <c r="N164" s="3"/>
      <c r="O164" s="3"/>
      <c r="P164" s="257"/>
      <c r="Q164" s="257"/>
      <c r="R164" s="268" t="s">
        <v>141</v>
      </c>
      <c r="S164" s="268"/>
      <c r="T164" s="268"/>
      <c r="U164" s="268"/>
      <c r="V164" s="44"/>
      <c r="W164" s="44"/>
      <c r="X164" s="44"/>
      <c r="Y164" s="44"/>
      <c r="Z164" s="44"/>
      <c r="AA164" s="44"/>
      <c r="AB164" s="44"/>
      <c r="AD164" s="34"/>
      <c r="AE164" s="34"/>
      <c r="AF164" s="34"/>
      <c r="AG164" s="34"/>
      <c r="AH164" s="34"/>
      <c r="AI164" s="34"/>
      <c r="AJ164" s="34"/>
      <c r="AK164" s="34"/>
      <c r="AL164" s="34"/>
      <c r="AM164" s="34"/>
      <c r="AN164" s="34"/>
      <c r="AO164" s="34"/>
      <c r="AP164" s="34"/>
    </row>
    <row r="165" spans="1:66" ht="20.100000000000001" customHeight="1" x14ac:dyDescent="0.25">
      <c r="A165" s="47">
        <v>1</v>
      </c>
      <c r="B165" s="236" t="s">
        <v>146</v>
      </c>
      <c r="C165" s="236"/>
      <c r="D165" s="236"/>
      <c r="E165" s="236"/>
      <c r="F165" s="9"/>
      <c r="G165" s="9"/>
      <c r="H165" s="9"/>
      <c r="I165" s="9"/>
      <c r="J165" s="9"/>
      <c r="K165" s="3" t="s">
        <v>126</v>
      </c>
      <c r="L165" s="257" t="s">
        <v>131</v>
      </c>
      <c r="M165" s="257"/>
      <c r="N165" s="3"/>
      <c r="O165" s="3"/>
      <c r="P165" s="359">
        <v>1015</v>
      </c>
      <c r="Q165" s="359"/>
      <c r="R165" s="303"/>
      <c r="S165" s="303"/>
      <c r="T165" s="303">
        <f>P165</f>
        <v>1015</v>
      </c>
      <c r="U165" s="303"/>
      <c r="V165" s="103">
        <v>1015</v>
      </c>
      <c r="W165" s="103"/>
      <c r="X165" s="102"/>
      <c r="Y165" s="102">
        <f>V165</f>
        <v>1015</v>
      </c>
      <c r="Z165" s="102">
        <f>V165-P165</f>
        <v>0</v>
      </c>
      <c r="AA165" s="102"/>
      <c r="AB165" s="102">
        <f>Z165</f>
        <v>0</v>
      </c>
      <c r="AC165" s="34"/>
      <c r="AD165" s="34"/>
      <c r="AE165" s="34"/>
      <c r="AF165" s="34"/>
      <c r="AG165" s="34"/>
      <c r="AH165" s="34"/>
      <c r="AI165" s="34"/>
      <c r="AJ165" s="34"/>
      <c r="AK165" s="34"/>
      <c r="AL165" s="34"/>
      <c r="AM165" s="34"/>
      <c r="AN165" s="34"/>
      <c r="AO165" s="34"/>
      <c r="AP165" s="34"/>
    </row>
    <row r="166" spans="1:66" ht="34.5" customHeight="1" x14ac:dyDescent="0.25">
      <c r="A166" s="47">
        <v>2</v>
      </c>
      <c r="B166" s="236" t="s">
        <v>147</v>
      </c>
      <c r="C166" s="236"/>
      <c r="D166" s="236"/>
      <c r="E166" s="236"/>
      <c r="F166" s="9"/>
      <c r="G166" s="9"/>
      <c r="H166" s="9"/>
      <c r="I166" s="9"/>
      <c r="J166" s="9"/>
      <c r="K166" s="3" t="s">
        <v>126</v>
      </c>
      <c r="L166" s="257" t="s">
        <v>131</v>
      </c>
      <c r="M166" s="257"/>
      <c r="N166" s="3"/>
      <c r="O166" s="3"/>
      <c r="P166" s="359">
        <v>150</v>
      </c>
      <c r="Q166" s="359"/>
      <c r="R166" s="229"/>
      <c r="S166" s="229"/>
      <c r="T166" s="303">
        <f>P166</f>
        <v>150</v>
      </c>
      <c r="U166" s="303"/>
      <c r="V166" s="104">
        <v>156</v>
      </c>
      <c r="W166" s="104"/>
      <c r="X166" s="4"/>
      <c r="Y166" s="4">
        <f>V166</f>
        <v>156</v>
      </c>
      <c r="Z166" s="102">
        <f>V166-P166</f>
        <v>6</v>
      </c>
      <c r="AA166" s="102"/>
      <c r="AB166" s="102">
        <f>Z166</f>
        <v>6</v>
      </c>
      <c r="AC166" s="60"/>
      <c r="AD166" s="34"/>
      <c r="AE166" s="34"/>
      <c r="AF166" s="34"/>
      <c r="AG166" s="34"/>
      <c r="AH166" s="34"/>
      <c r="AI166" s="34"/>
      <c r="AJ166" s="34"/>
      <c r="AK166" s="34"/>
      <c r="AL166" s="34"/>
      <c r="AM166" s="34"/>
      <c r="AN166" s="34"/>
      <c r="AO166" s="34"/>
      <c r="AP166" s="34"/>
    </row>
    <row r="167" spans="1:66" ht="36.75" customHeight="1" x14ac:dyDescent="0.25">
      <c r="A167" s="47">
        <f>A166+1</f>
        <v>3</v>
      </c>
      <c r="B167" s="432" t="s">
        <v>150</v>
      </c>
      <c r="C167" s="432"/>
      <c r="D167" s="432"/>
      <c r="E167" s="432"/>
      <c r="F167" s="128"/>
      <c r="G167" s="128"/>
      <c r="H167" s="128"/>
      <c r="I167" s="128"/>
      <c r="J167" s="128"/>
      <c r="K167" s="3" t="s">
        <v>151</v>
      </c>
      <c r="L167" s="257" t="s">
        <v>152</v>
      </c>
      <c r="M167" s="257"/>
      <c r="N167" s="3"/>
      <c r="O167" s="3"/>
      <c r="P167" s="359">
        <v>10</v>
      </c>
      <c r="Q167" s="359"/>
      <c r="R167" s="303"/>
      <c r="S167" s="303"/>
      <c r="T167" s="303">
        <f>P167</f>
        <v>10</v>
      </c>
      <c r="U167" s="303"/>
      <c r="V167" s="104">
        <v>9.1</v>
      </c>
      <c r="W167" s="104"/>
      <c r="X167" s="4"/>
      <c r="Y167" s="4">
        <f>V167</f>
        <v>9.1</v>
      </c>
      <c r="Z167" s="102">
        <f>V167-P167</f>
        <v>-0.90000000000000036</v>
      </c>
      <c r="AA167" s="102"/>
      <c r="AB167" s="102">
        <f>Z167</f>
        <v>-0.90000000000000036</v>
      </c>
      <c r="AC167" s="60"/>
      <c r="AD167" s="34"/>
      <c r="AE167" s="34"/>
      <c r="AF167" s="34"/>
      <c r="AG167" s="34"/>
      <c r="AH167" s="34"/>
      <c r="AI167" s="34"/>
      <c r="AJ167" s="34"/>
      <c r="AK167" s="60"/>
      <c r="AL167" s="34"/>
      <c r="AM167" s="34"/>
      <c r="AN167" s="34"/>
      <c r="AO167" s="34"/>
      <c r="AP167" s="34"/>
    </row>
    <row r="168" spans="1:66" ht="36" customHeight="1" x14ac:dyDescent="0.25">
      <c r="A168" s="47">
        <f>A167+1</f>
        <v>4</v>
      </c>
      <c r="B168" s="273" t="s">
        <v>81</v>
      </c>
      <c r="C168" s="274"/>
      <c r="D168" s="274"/>
      <c r="E168" s="274"/>
      <c r="F168" s="274"/>
      <c r="G168" s="274"/>
      <c r="H168" s="274"/>
      <c r="I168" s="274"/>
      <c r="J168" s="274"/>
      <c r="K168" s="3" t="s">
        <v>126</v>
      </c>
      <c r="L168" s="226" t="s">
        <v>184</v>
      </c>
      <c r="M168" s="275"/>
      <c r="N168" s="3"/>
      <c r="O168" s="3"/>
      <c r="P168" s="359">
        <v>6</v>
      </c>
      <c r="Q168" s="359"/>
      <c r="R168" s="303"/>
      <c r="S168" s="303"/>
      <c r="T168" s="303">
        <f>P168</f>
        <v>6</v>
      </c>
      <c r="U168" s="303"/>
      <c r="V168" s="104">
        <v>6</v>
      </c>
      <c r="W168" s="104"/>
      <c r="X168" s="4"/>
      <c r="Y168" s="4">
        <f>V168</f>
        <v>6</v>
      </c>
      <c r="Z168" s="102">
        <f>V168-P168</f>
        <v>0</v>
      </c>
      <c r="AA168" s="102"/>
      <c r="AB168" s="102">
        <f>Z168</f>
        <v>0</v>
      </c>
      <c r="AC168" s="60"/>
      <c r="AD168" s="34"/>
      <c r="AE168" s="34"/>
      <c r="AF168" s="34"/>
      <c r="AG168" s="34"/>
      <c r="AH168" s="34"/>
      <c r="AI168" s="34"/>
      <c r="AJ168" s="34"/>
      <c r="AK168" s="60"/>
      <c r="AL168" s="34"/>
      <c r="AM168" s="34"/>
      <c r="AN168" s="34"/>
      <c r="AO168" s="34"/>
      <c r="AP168" s="34"/>
    </row>
    <row r="169" spans="1:66" ht="20.100000000000001" customHeight="1" x14ac:dyDescent="0.25">
      <c r="A169" s="47"/>
      <c r="B169" s="272" t="s">
        <v>246</v>
      </c>
      <c r="C169" s="272"/>
      <c r="D169" s="272"/>
      <c r="E169" s="272"/>
      <c r="F169" s="64"/>
      <c r="G169" s="64"/>
      <c r="H169" s="64"/>
      <c r="I169" s="64"/>
      <c r="J169" s="64"/>
      <c r="K169" s="3"/>
      <c r="L169" s="257"/>
      <c r="M169" s="257"/>
      <c r="N169" s="3"/>
      <c r="O169" s="3"/>
      <c r="P169" s="257"/>
      <c r="Q169" s="257"/>
      <c r="R169" s="268"/>
      <c r="S169" s="268"/>
      <c r="T169" s="268"/>
      <c r="U169" s="268"/>
      <c r="V169" s="44"/>
      <c r="W169" s="44"/>
      <c r="X169" s="44"/>
      <c r="Y169" s="44"/>
      <c r="Z169" s="44"/>
      <c r="AA169" s="44"/>
      <c r="AB169" s="44"/>
      <c r="AC169" s="58"/>
      <c r="AD169" s="34"/>
      <c r="AE169" s="34"/>
      <c r="AF169" s="34"/>
      <c r="AG169" s="34"/>
      <c r="AH169" s="34"/>
      <c r="AI169" s="34"/>
      <c r="AJ169" s="34"/>
      <c r="AK169" s="34"/>
      <c r="AL169" s="34"/>
      <c r="AM169" s="34"/>
      <c r="AN169" s="34"/>
      <c r="AO169" s="34"/>
      <c r="AP169" s="34"/>
    </row>
    <row r="170" spans="1:66" ht="35.25" customHeight="1" x14ac:dyDescent="0.25">
      <c r="A170" s="47">
        <v>1</v>
      </c>
      <c r="B170" s="305" t="s">
        <v>153</v>
      </c>
      <c r="C170" s="306"/>
      <c r="D170" s="306"/>
      <c r="E170" s="306"/>
      <c r="F170" s="306"/>
      <c r="G170" s="306"/>
      <c r="H170" s="306"/>
      <c r="I170" s="306"/>
      <c r="J170" s="306"/>
      <c r="K170" s="3" t="s">
        <v>124</v>
      </c>
      <c r="L170" s="257" t="s">
        <v>131</v>
      </c>
      <c r="M170" s="257"/>
      <c r="N170" s="3"/>
      <c r="O170" s="3"/>
      <c r="P170" s="276">
        <f>P160/P165</f>
        <v>1464.8275862068965</v>
      </c>
      <c r="Q170" s="277"/>
      <c r="R170" s="230"/>
      <c r="S170" s="230"/>
      <c r="T170" s="230">
        <f>P170</f>
        <v>1464.8275862068965</v>
      </c>
      <c r="U170" s="230"/>
      <c r="V170" s="276">
        <f>V160/V165</f>
        <v>1464.8146896551723</v>
      </c>
      <c r="W170" s="277"/>
      <c r="X170" s="6"/>
      <c r="Y170" s="6">
        <f>V170</f>
        <v>1464.8146896551723</v>
      </c>
      <c r="Z170" s="6">
        <f>V170-P170</f>
        <v>-1.2896551724224992E-2</v>
      </c>
      <c r="AA170" s="6"/>
      <c r="AB170" s="6">
        <f>Z170</f>
        <v>-1.2896551724224992E-2</v>
      </c>
      <c r="AD170" s="34"/>
      <c r="AE170" s="34"/>
      <c r="AF170" s="34"/>
      <c r="AG170" s="171"/>
      <c r="AH170" s="171"/>
      <c r="AI170" s="34"/>
      <c r="AJ170" s="34"/>
      <c r="AK170" s="34"/>
      <c r="AL170" s="34"/>
      <c r="AM170" s="34"/>
      <c r="AN170" s="34"/>
      <c r="AO170" s="34"/>
      <c r="AP170" s="34"/>
    </row>
    <row r="171" spans="1:66" ht="34.5" customHeight="1" x14ac:dyDescent="0.25">
      <c r="A171" s="47">
        <v>2</v>
      </c>
      <c r="B171" s="305" t="s">
        <v>154</v>
      </c>
      <c r="C171" s="306"/>
      <c r="D171" s="306"/>
      <c r="E171" s="306"/>
      <c r="F171" s="306"/>
      <c r="G171" s="306"/>
      <c r="H171" s="306"/>
      <c r="I171" s="306"/>
      <c r="J171" s="306"/>
      <c r="K171" s="3" t="s">
        <v>124</v>
      </c>
      <c r="L171" s="257" t="s">
        <v>131</v>
      </c>
      <c r="M171" s="257"/>
      <c r="N171" s="3"/>
      <c r="O171" s="3"/>
      <c r="P171" s="276">
        <f>P161/12</f>
        <v>291279.16666666669</v>
      </c>
      <c r="Q171" s="277"/>
      <c r="R171" s="230"/>
      <c r="S171" s="230"/>
      <c r="T171" s="230">
        <f>P171</f>
        <v>291279.16666666669</v>
      </c>
      <c r="U171" s="230"/>
      <c r="V171" s="276">
        <f>V161/12</f>
        <v>265459.20083333337</v>
      </c>
      <c r="W171" s="277"/>
      <c r="X171" s="6"/>
      <c r="Y171" s="6">
        <f>V171</f>
        <v>265459.20083333337</v>
      </c>
      <c r="Z171" s="6">
        <f>V171-P171</f>
        <v>-25819.965833333321</v>
      </c>
      <c r="AA171" s="6"/>
      <c r="AB171" s="6">
        <f>Z171</f>
        <v>-25819.965833333321</v>
      </c>
      <c r="AD171" s="34"/>
      <c r="AE171" s="34"/>
      <c r="AF171" s="34"/>
      <c r="AG171" s="171"/>
      <c r="AH171" s="171"/>
      <c r="AI171" s="34"/>
      <c r="AJ171" s="34"/>
      <c r="AK171" s="34"/>
      <c r="AL171" s="34"/>
      <c r="AM171" s="34"/>
      <c r="AN171" s="34"/>
      <c r="AO171" s="34"/>
      <c r="AP171" s="34"/>
    </row>
    <row r="172" spans="1:66" ht="51.75" customHeight="1" x14ac:dyDescent="0.25">
      <c r="A172" s="47">
        <v>3</v>
      </c>
      <c r="B172" s="305" t="s">
        <v>155</v>
      </c>
      <c r="C172" s="306"/>
      <c r="D172" s="306"/>
      <c r="E172" s="306"/>
      <c r="F172" s="306"/>
      <c r="G172" s="306"/>
      <c r="H172" s="306"/>
      <c r="I172" s="306"/>
      <c r="J172" s="306"/>
      <c r="K172" s="3" t="s">
        <v>124</v>
      </c>
      <c r="L172" s="257" t="s">
        <v>131</v>
      </c>
      <c r="M172" s="257"/>
      <c r="N172" s="3"/>
      <c r="O172" s="3"/>
      <c r="P172" s="276">
        <f>P162/P167</f>
        <v>104140</v>
      </c>
      <c r="Q172" s="277"/>
      <c r="R172" s="230"/>
      <c r="S172" s="230"/>
      <c r="T172" s="230">
        <f>P172</f>
        <v>104140</v>
      </c>
      <c r="U172" s="230"/>
      <c r="V172" s="276">
        <f>V162/V167</f>
        <v>63413.481318681326</v>
      </c>
      <c r="W172" s="277"/>
      <c r="X172" s="6"/>
      <c r="Y172" s="6">
        <f>V172</f>
        <v>63413.481318681326</v>
      </c>
      <c r="Z172" s="6">
        <f>V172-P172</f>
        <v>-40726.518681318674</v>
      </c>
      <c r="AA172" s="6"/>
      <c r="AB172" s="6">
        <f>Z172</f>
        <v>-40726.518681318674</v>
      </c>
      <c r="AD172" s="34"/>
      <c r="AE172" s="34"/>
      <c r="AF172" s="34"/>
      <c r="AG172" s="171"/>
      <c r="AH172" s="171"/>
      <c r="AI172" s="34"/>
      <c r="AJ172" s="34"/>
      <c r="AK172" s="34"/>
      <c r="AL172" s="34"/>
      <c r="AM172" s="34"/>
      <c r="AN172" s="34"/>
      <c r="AO172" s="34"/>
      <c r="AP172" s="34"/>
    </row>
    <row r="173" spans="1:66" ht="24" customHeight="1" x14ac:dyDescent="0.25">
      <c r="A173" s="47">
        <f>A172+1</f>
        <v>4</v>
      </c>
      <c r="B173" s="305" t="s">
        <v>83</v>
      </c>
      <c r="C173" s="306"/>
      <c r="D173" s="306"/>
      <c r="E173" s="306"/>
      <c r="F173" s="306"/>
      <c r="G173" s="306"/>
      <c r="H173" s="306"/>
      <c r="I173" s="306"/>
      <c r="J173" s="306"/>
      <c r="K173" s="3" t="s">
        <v>124</v>
      </c>
      <c r="L173" s="257" t="s">
        <v>131</v>
      </c>
      <c r="M173" s="257"/>
      <c r="N173" s="3"/>
      <c r="O173" s="3"/>
      <c r="P173" s="276">
        <f>P163/P168</f>
        <v>4100</v>
      </c>
      <c r="Q173" s="277"/>
      <c r="R173" s="230"/>
      <c r="S173" s="230"/>
      <c r="T173" s="230">
        <f>P173</f>
        <v>4100</v>
      </c>
      <c r="U173" s="230"/>
      <c r="V173" s="276">
        <f>V163/V168</f>
        <v>4083.3333333333335</v>
      </c>
      <c r="W173" s="277"/>
      <c r="X173" s="6"/>
      <c r="Y173" s="6">
        <f>V173</f>
        <v>4083.3333333333335</v>
      </c>
      <c r="Z173" s="6">
        <f>V173-P173</f>
        <v>-16.666666666666515</v>
      </c>
      <c r="AA173" s="6"/>
      <c r="AB173" s="6">
        <f>Z173</f>
        <v>-16.666666666666515</v>
      </c>
      <c r="AD173" s="34"/>
      <c r="AE173" s="34"/>
      <c r="AF173" s="34"/>
      <c r="AG173" s="171"/>
      <c r="AH173" s="171"/>
      <c r="AI173" s="34"/>
      <c r="AJ173" s="34"/>
      <c r="AK173" s="34"/>
      <c r="AL173" s="34"/>
      <c r="AM173" s="34"/>
      <c r="AN173" s="34"/>
      <c r="AO173" s="34"/>
      <c r="AP173" s="34"/>
    </row>
    <row r="174" spans="1:66" ht="20.100000000000001" customHeight="1" x14ac:dyDescent="0.25">
      <c r="A174" s="47"/>
      <c r="B174" s="272" t="s">
        <v>244</v>
      </c>
      <c r="C174" s="272"/>
      <c r="D174" s="272"/>
      <c r="E174" s="272"/>
      <c r="F174" s="64"/>
      <c r="G174" s="64"/>
      <c r="H174" s="64"/>
      <c r="I174" s="64"/>
      <c r="J174" s="64"/>
      <c r="K174" s="3"/>
      <c r="L174" s="257"/>
      <c r="M174" s="257"/>
      <c r="N174" s="3"/>
      <c r="O174" s="3"/>
      <c r="P174" s="364"/>
      <c r="Q174" s="364"/>
      <c r="R174" s="409"/>
      <c r="S174" s="409"/>
      <c r="T174" s="409"/>
      <c r="U174" s="409"/>
      <c r="V174" s="5"/>
      <c r="W174" s="5"/>
      <c r="X174" s="5"/>
      <c r="Y174" s="5"/>
      <c r="Z174" s="5"/>
      <c r="AA174" s="5"/>
      <c r="AB174" s="5"/>
      <c r="AD174" s="34"/>
      <c r="AE174" s="34"/>
      <c r="AF174" s="34"/>
      <c r="AG174" s="171"/>
      <c r="AH174" s="171"/>
      <c r="AI174" s="34"/>
      <c r="AJ174" s="34"/>
      <c r="AK174" s="34"/>
      <c r="AL174" s="34"/>
      <c r="AM174" s="34"/>
      <c r="AN174" s="34"/>
      <c r="AO174" s="34"/>
      <c r="AP174" s="34"/>
    </row>
    <row r="175" spans="1:66" ht="63.75" customHeight="1" x14ac:dyDescent="0.25">
      <c r="A175" s="47">
        <v>1</v>
      </c>
      <c r="B175" s="235" t="s">
        <v>156</v>
      </c>
      <c r="C175" s="235"/>
      <c r="D175" s="235"/>
      <c r="E175" s="235"/>
      <c r="F175" s="12"/>
      <c r="G175" s="12"/>
      <c r="H175" s="12"/>
      <c r="I175" s="12"/>
      <c r="J175" s="12"/>
      <c r="K175" s="191" t="s">
        <v>3</v>
      </c>
      <c r="L175" s="257" t="s">
        <v>131</v>
      </c>
      <c r="M175" s="257"/>
      <c r="N175" s="3"/>
      <c r="O175" s="3"/>
      <c r="P175" s="228">
        <f>P171/235435.58*100</f>
        <v>123.71926395605402</v>
      </c>
      <c r="Q175" s="228"/>
      <c r="R175" s="229"/>
      <c r="S175" s="229"/>
      <c r="T175" s="264">
        <f>P175</f>
        <v>123.71926395605402</v>
      </c>
      <c r="U175" s="229"/>
      <c r="V175" s="228">
        <f>V171/235435.58*100</f>
        <v>112.75237193687266</v>
      </c>
      <c r="W175" s="228"/>
      <c r="X175" s="10"/>
      <c r="Y175" s="61">
        <f>V175</f>
        <v>112.75237193687266</v>
      </c>
      <c r="Z175" s="61">
        <f>V175-P175</f>
        <v>-10.966892019181358</v>
      </c>
      <c r="AA175" s="4"/>
      <c r="AB175" s="61">
        <f>Z175</f>
        <v>-10.966892019181358</v>
      </c>
      <c r="AD175" s="34"/>
      <c r="AE175" s="34"/>
      <c r="AF175" s="34"/>
      <c r="AG175" s="171"/>
      <c r="AH175" s="170"/>
      <c r="AI175" s="34"/>
      <c r="AJ175" s="34"/>
      <c r="AK175" s="34"/>
      <c r="AL175" s="34"/>
      <c r="AM175" s="34"/>
      <c r="AN175" s="34"/>
      <c r="AO175" s="34"/>
      <c r="AP175" s="34"/>
    </row>
    <row r="176" spans="1:66" ht="68.25" customHeight="1" x14ac:dyDescent="0.25">
      <c r="A176" s="47">
        <v>2</v>
      </c>
      <c r="B176" s="235" t="s">
        <v>6</v>
      </c>
      <c r="C176" s="235"/>
      <c r="D176" s="235"/>
      <c r="E176" s="235"/>
      <c r="F176" s="12"/>
      <c r="G176" s="12"/>
      <c r="H176" s="12"/>
      <c r="I176" s="12"/>
      <c r="J176" s="12"/>
      <c r="K176" s="191" t="s">
        <v>3</v>
      </c>
      <c r="L176" s="257" t="s">
        <v>131</v>
      </c>
      <c r="M176" s="257"/>
      <c r="N176" s="3"/>
      <c r="O176" s="3"/>
      <c r="P176" s="228">
        <f>P162/834505.76*100</f>
        <v>124.79242803548773</v>
      </c>
      <c r="Q176" s="228"/>
      <c r="R176" s="229"/>
      <c r="S176" s="229"/>
      <c r="T176" s="264">
        <f>P176</f>
        <v>124.79242803548773</v>
      </c>
      <c r="U176" s="229"/>
      <c r="V176" s="228">
        <f>V162/834505.76*100</f>
        <v>69.150233306957645</v>
      </c>
      <c r="W176" s="228"/>
      <c r="X176" s="10"/>
      <c r="Y176" s="61">
        <f>V176</f>
        <v>69.150233306957645</v>
      </c>
      <c r="Z176" s="61">
        <f>V176-P176</f>
        <v>-55.642194728530086</v>
      </c>
      <c r="AA176" s="4"/>
      <c r="AB176" s="61">
        <f>Z176</f>
        <v>-55.642194728530086</v>
      </c>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row>
    <row r="177" spans="1:66" ht="24" customHeight="1" x14ac:dyDescent="0.25">
      <c r="A177" s="47"/>
      <c r="B177" s="508" t="s">
        <v>114</v>
      </c>
      <c r="C177" s="508"/>
      <c r="D177" s="508"/>
      <c r="E177" s="508"/>
      <c r="F177" s="508"/>
      <c r="G177" s="508"/>
      <c r="H177" s="508"/>
      <c r="I177" s="508"/>
      <c r="J177" s="508"/>
      <c r="K177" s="508"/>
      <c r="L177" s="508"/>
      <c r="M177" s="508"/>
      <c r="N177" s="508"/>
      <c r="O177" s="508"/>
      <c r="P177" s="508"/>
      <c r="Q177" s="508"/>
      <c r="R177" s="508"/>
      <c r="S177" s="508"/>
      <c r="T177" s="508"/>
      <c r="U177" s="508"/>
      <c r="V177" s="508"/>
      <c r="W177" s="508"/>
      <c r="X177" s="508"/>
      <c r="Y177" s="508"/>
      <c r="Z177" s="508"/>
      <c r="AA177" s="508"/>
      <c r="AB177" s="508"/>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row>
    <row r="178" spans="1:66" ht="20.100000000000001" customHeight="1" x14ac:dyDescent="0.25">
      <c r="A178" s="47"/>
      <c r="B178" s="375" t="s">
        <v>245</v>
      </c>
      <c r="C178" s="376"/>
      <c r="D178" s="376"/>
      <c r="E178" s="376"/>
      <c r="F178" s="18"/>
      <c r="G178" s="18"/>
      <c r="H178" s="18"/>
      <c r="I178" s="18"/>
      <c r="J178" s="18"/>
      <c r="K178" s="2"/>
      <c r="L178" s="257"/>
      <c r="M178" s="257"/>
      <c r="N178" s="3"/>
      <c r="O178" s="3"/>
      <c r="P178" s="364"/>
      <c r="Q178" s="436"/>
      <c r="R178" s="409"/>
      <c r="S178" s="409"/>
      <c r="T178" s="409"/>
      <c r="U178" s="409"/>
      <c r="V178" s="5"/>
      <c r="W178" s="5"/>
      <c r="X178" s="5"/>
      <c r="Y178" s="5"/>
      <c r="Z178" s="5"/>
      <c r="AA178" s="5"/>
      <c r="AB178" s="5"/>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row>
    <row r="179" spans="1:66" ht="20.100000000000001" customHeight="1" x14ac:dyDescent="0.25">
      <c r="A179" s="47"/>
      <c r="B179" s="247" t="s">
        <v>118</v>
      </c>
      <c r="C179" s="248"/>
      <c r="D179" s="248"/>
      <c r="E179" s="248"/>
      <c r="F179" s="18"/>
      <c r="G179" s="18"/>
      <c r="H179" s="18"/>
      <c r="I179" s="18"/>
      <c r="J179" s="18"/>
      <c r="K179" s="2" t="s">
        <v>124</v>
      </c>
      <c r="L179" s="257" t="s">
        <v>122</v>
      </c>
      <c r="M179" s="257"/>
      <c r="N179" s="3"/>
      <c r="O179" s="3"/>
      <c r="P179" s="276">
        <f>SUM(P180:Q185)</f>
        <v>174367150.00000003</v>
      </c>
      <c r="Q179" s="275"/>
      <c r="R179" s="294"/>
      <c r="S179" s="295"/>
      <c r="T179" s="281">
        <f t="shared" ref="T179:T185" si="27">P179</f>
        <v>174367150.00000003</v>
      </c>
      <c r="U179" s="295"/>
      <c r="V179" s="6">
        <f>SUM(V180:W185)</f>
        <v>170517752.19999999</v>
      </c>
      <c r="W179" s="6"/>
      <c r="X179" s="4"/>
      <c r="Y179" s="6">
        <f>V179</f>
        <v>170517752.19999999</v>
      </c>
      <c r="Z179" s="6">
        <f>V179-P179</f>
        <v>-3849397.8000000417</v>
      </c>
      <c r="AA179" s="4"/>
      <c r="AB179" s="6">
        <f>Z179</f>
        <v>-3849397.8000000417</v>
      </c>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row>
    <row r="180" spans="1:66" ht="34.5" customHeight="1" x14ac:dyDescent="0.25">
      <c r="A180" s="47">
        <v>1</v>
      </c>
      <c r="B180" s="247" t="s">
        <v>284</v>
      </c>
      <c r="C180" s="248"/>
      <c r="D180" s="248"/>
      <c r="E180" s="248"/>
      <c r="F180" s="248"/>
      <c r="G180" s="248"/>
      <c r="H180" s="248"/>
      <c r="I180" s="248"/>
      <c r="J180" s="249"/>
      <c r="K180" s="2" t="s">
        <v>124</v>
      </c>
      <c r="L180" s="257" t="s">
        <v>145</v>
      </c>
      <c r="M180" s="257"/>
      <c r="N180" s="3"/>
      <c r="O180" s="3"/>
      <c r="P180" s="318">
        <f>((61.48+580.14+36.1+69.06+410.57+178.56+5926.23+51225-573.5+92.26+573.5)+274.65+2111.51+36.27+487+33719.56+2476.57+19.5+65.46+199.12+116.27+204.73+156.84+2998.71+600+230+23390-300+2876.3-408.56+10240.6-26388.71+300+945.58-3622.03-300+2797.44-316.58)*1000</f>
        <v>111489630.00000003</v>
      </c>
      <c r="Q180" s="318"/>
      <c r="R180" s="230"/>
      <c r="S180" s="230"/>
      <c r="T180" s="281">
        <f>P180</f>
        <v>111489630.00000003</v>
      </c>
      <c r="U180" s="295"/>
      <c r="V180" s="148">
        <f>(61.43975+271.27712+35.86606+69.05863+3541.38083+6945.47102+56781.48993+90.94621+251.43442+1330.1813+65.42411+451.48186+35839.08869+2497.63727+14.36248+37.77776+94.64853+158.37858-42.39306+204.72351+156.8375+283.41586)*1000</f>
        <v>109139928.35999998</v>
      </c>
      <c r="W180" s="136"/>
      <c r="X180" s="6"/>
      <c r="Y180" s="6">
        <f t="shared" ref="Y180:Y190" si="28">V180</f>
        <v>109139928.35999998</v>
      </c>
      <c r="Z180" s="105">
        <f t="shared" ref="Z180:Z211" si="29">V180-P180</f>
        <v>-2349701.6400000453</v>
      </c>
      <c r="AA180" s="6"/>
      <c r="AB180" s="6">
        <f t="shared" ref="AB180:AB211" si="30">Z180</f>
        <v>-2349701.6400000453</v>
      </c>
      <c r="AE180" s="177"/>
      <c r="AF180" s="177"/>
      <c r="AG180" s="177"/>
      <c r="AH180" s="177"/>
      <c r="AI180" s="177"/>
      <c r="AJ180" s="177"/>
      <c r="AK180" s="177"/>
      <c r="AL180" s="34"/>
      <c r="AM180" s="34"/>
      <c r="AN180" s="34"/>
      <c r="AO180" s="34"/>
      <c r="AP180" s="34"/>
    </row>
    <row r="181" spans="1:66" ht="34.5" customHeight="1" x14ac:dyDescent="0.25">
      <c r="A181" s="47">
        <v>2</v>
      </c>
      <c r="B181" s="247" t="s">
        <v>157</v>
      </c>
      <c r="C181" s="248"/>
      <c r="D181" s="248"/>
      <c r="E181" s="248"/>
      <c r="F181" s="248"/>
      <c r="G181" s="248"/>
      <c r="H181" s="248"/>
      <c r="I181" s="248"/>
      <c r="J181" s="249"/>
      <c r="K181" s="2" t="s">
        <v>124</v>
      </c>
      <c r="L181" s="226" t="s">
        <v>145</v>
      </c>
      <c r="M181" s="275"/>
      <c r="N181" s="17"/>
      <c r="O181" s="17"/>
      <c r="P181" s="415">
        <f>(3919.2+1549.91+695.44+6896.91+408.56+1851.5+3007.1-910.51)*1000</f>
        <v>17418110</v>
      </c>
      <c r="Q181" s="416"/>
      <c r="R181" s="281"/>
      <c r="S181" s="282"/>
      <c r="T181" s="281">
        <f>P181</f>
        <v>17418110</v>
      </c>
      <c r="U181" s="295"/>
      <c r="V181" s="148">
        <f>(5581.41116+1466.25885+1049.69071+8993.49441)*1000</f>
        <v>17090855.129999999</v>
      </c>
      <c r="W181" s="136"/>
      <c r="X181" s="6"/>
      <c r="Y181" s="6">
        <f>V181</f>
        <v>17090855.129999999</v>
      </c>
      <c r="Z181" s="105">
        <f t="shared" si="29"/>
        <v>-327254.87000000104</v>
      </c>
      <c r="AA181" s="6"/>
      <c r="AB181" s="6">
        <f>Z181</f>
        <v>-327254.87000000104</v>
      </c>
      <c r="AE181" s="177"/>
      <c r="AF181" s="177"/>
      <c r="AG181" s="177"/>
      <c r="AH181" s="177"/>
      <c r="AI181" s="177"/>
      <c r="AJ181" s="177"/>
      <c r="AK181" s="177"/>
      <c r="AL181" s="34"/>
      <c r="AM181" s="34"/>
      <c r="AN181" s="34"/>
      <c r="AO181" s="34"/>
      <c r="AP181" s="34"/>
    </row>
    <row r="182" spans="1:66" ht="48" customHeight="1" x14ac:dyDescent="0.25">
      <c r="A182" s="116">
        <v>3</v>
      </c>
      <c r="B182" s="319" t="s">
        <v>8</v>
      </c>
      <c r="C182" s="320"/>
      <c r="D182" s="320"/>
      <c r="E182" s="320"/>
      <c r="F182" s="120"/>
      <c r="G182" s="120"/>
      <c r="H182" s="120"/>
      <c r="I182" s="120"/>
      <c r="J182" s="120"/>
      <c r="K182" s="104" t="s">
        <v>124</v>
      </c>
      <c r="L182" s="257" t="s">
        <v>122</v>
      </c>
      <c r="M182" s="257"/>
      <c r="N182" s="104"/>
      <c r="O182" s="104"/>
      <c r="P182" s="318">
        <v>80000</v>
      </c>
      <c r="Q182" s="318"/>
      <c r="R182" s="377"/>
      <c r="S182" s="377"/>
      <c r="T182" s="377">
        <f t="shared" si="27"/>
        <v>80000</v>
      </c>
      <c r="U182" s="377"/>
      <c r="V182" s="196">
        <v>79130.009999999995</v>
      </c>
      <c r="W182" s="196"/>
      <c r="X182" s="105"/>
      <c r="Y182" s="105">
        <f t="shared" si="28"/>
        <v>79130.009999999995</v>
      </c>
      <c r="Z182" s="105">
        <f t="shared" si="29"/>
        <v>-869.99000000000524</v>
      </c>
      <c r="AA182" s="105"/>
      <c r="AB182" s="105">
        <f t="shared" si="30"/>
        <v>-869.99000000000524</v>
      </c>
      <c r="AC182" s="122"/>
      <c r="AD182" s="177"/>
      <c r="AE182" s="177"/>
      <c r="AF182" s="177"/>
      <c r="AG182" s="177"/>
      <c r="AH182" s="177"/>
      <c r="AI182" s="177"/>
      <c r="AJ182" s="177"/>
      <c r="AK182" s="177"/>
      <c r="AL182" s="34"/>
      <c r="AM182" s="34"/>
      <c r="AN182" s="34"/>
      <c r="AO182" s="34"/>
      <c r="AP182" s="34"/>
    </row>
    <row r="183" spans="1:66" ht="66.75" customHeight="1" x14ac:dyDescent="0.25">
      <c r="A183" s="116">
        <v>4</v>
      </c>
      <c r="B183" s="319" t="s">
        <v>36</v>
      </c>
      <c r="C183" s="320"/>
      <c r="D183" s="320"/>
      <c r="E183" s="320"/>
      <c r="F183" s="120"/>
      <c r="G183" s="120"/>
      <c r="H183" s="120"/>
      <c r="I183" s="120"/>
      <c r="J183" s="120"/>
      <c r="K183" s="104" t="s">
        <v>124</v>
      </c>
      <c r="L183" s="321" t="s">
        <v>82</v>
      </c>
      <c r="M183" s="321"/>
      <c r="N183" s="104"/>
      <c r="O183" s="104"/>
      <c r="P183" s="318">
        <v>300000</v>
      </c>
      <c r="Q183" s="318"/>
      <c r="R183" s="377"/>
      <c r="S183" s="377"/>
      <c r="T183" s="377">
        <f t="shared" si="27"/>
        <v>300000</v>
      </c>
      <c r="U183" s="377"/>
      <c r="V183" s="196">
        <v>0</v>
      </c>
      <c r="W183" s="196"/>
      <c r="X183" s="105"/>
      <c r="Y183" s="105">
        <f t="shared" si="28"/>
        <v>0</v>
      </c>
      <c r="Z183" s="105">
        <f t="shared" si="29"/>
        <v>-300000</v>
      </c>
      <c r="AA183" s="105"/>
      <c r="AB183" s="105">
        <f t="shared" si="30"/>
        <v>-300000</v>
      </c>
      <c r="AC183" s="122"/>
      <c r="AD183" s="177"/>
      <c r="AE183" s="177"/>
      <c r="AF183" s="177"/>
      <c r="AG183" s="177"/>
      <c r="AH183" s="177"/>
      <c r="AI183" s="177"/>
      <c r="AJ183" s="177"/>
      <c r="AK183" s="177"/>
      <c r="AL183" s="34"/>
      <c r="AM183" s="34"/>
      <c r="AN183" s="34"/>
      <c r="AO183" s="34"/>
      <c r="AP183" s="34"/>
    </row>
    <row r="184" spans="1:66" ht="50.25" customHeight="1" x14ac:dyDescent="0.25">
      <c r="A184" s="116">
        <v>5</v>
      </c>
      <c r="B184" s="319" t="s">
        <v>37</v>
      </c>
      <c r="C184" s="320"/>
      <c r="D184" s="320"/>
      <c r="E184" s="320"/>
      <c r="F184" s="120"/>
      <c r="G184" s="120"/>
      <c r="H184" s="120"/>
      <c r="I184" s="120"/>
      <c r="J184" s="120"/>
      <c r="K184" s="104" t="s">
        <v>124</v>
      </c>
      <c r="L184" s="321" t="s">
        <v>82</v>
      </c>
      <c r="M184" s="321"/>
      <c r="N184" s="104"/>
      <c r="O184" s="104"/>
      <c r="P184" s="318">
        <v>50000</v>
      </c>
      <c r="Q184" s="318"/>
      <c r="R184" s="377"/>
      <c r="S184" s="377"/>
      <c r="T184" s="377">
        <f t="shared" si="27"/>
        <v>50000</v>
      </c>
      <c r="U184" s="377"/>
      <c r="V184" s="196">
        <v>42393.06</v>
      </c>
      <c r="W184" s="196"/>
      <c r="X184" s="105"/>
      <c r="Y184" s="105">
        <f t="shared" si="28"/>
        <v>42393.06</v>
      </c>
      <c r="Z184" s="105">
        <f t="shared" si="29"/>
        <v>-7606.9400000000023</v>
      </c>
      <c r="AA184" s="105"/>
      <c r="AB184" s="105">
        <f t="shared" si="30"/>
        <v>-7606.9400000000023</v>
      </c>
      <c r="AC184" s="122"/>
      <c r="AD184" s="177"/>
      <c r="AE184" s="177"/>
      <c r="AF184" s="177"/>
      <c r="AG184" s="177"/>
      <c r="AH184" s="177"/>
      <c r="AI184" s="177"/>
      <c r="AJ184" s="177"/>
      <c r="AK184" s="177"/>
      <c r="AL184" s="34"/>
      <c r="AM184" s="34"/>
      <c r="AN184" s="34"/>
      <c r="AO184" s="34"/>
      <c r="AP184" s="34"/>
    </row>
    <row r="185" spans="1:66" ht="36.75" customHeight="1" x14ac:dyDescent="0.25">
      <c r="A185" s="116">
        <v>6</v>
      </c>
      <c r="B185" s="319" t="s">
        <v>38</v>
      </c>
      <c r="C185" s="320"/>
      <c r="D185" s="320"/>
      <c r="E185" s="320"/>
      <c r="F185" s="120"/>
      <c r="G185" s="120"/>
      <c r="H185" s="120"/>
      <c r="I185" s="120"/>
      <c r="J185" s="120"/>
      <c r="K185" s="104" t="s">
        <v>124</v>
      </c>
      <c r="L185" s="257" t="s">
        <v>122</v>
      </c>
      <c r="M185" s="257"/>
      <c r="N185" s="104"/>
      <c r="O185" s="104"/>
      <c r="P185" s="318">
        <f>45029410</f>
        <v>45029410</v>
      </c>
      <c r="Q185" s="318"/>
      <c r="R185" s="377"/>
      <c r="S185" s="377"/>
      <c r="T185" s="377">
        <f t="shared" si="27"/>
        <v>45029410</v>
      </c>
      <c r="U185" s="377"/>
      <c r="V185" s="196">
        <v>44165445.640000001</v>
      </c>
      <c r="W185" s="196"/>
      <c r="X185" s="105"/>
      <c r="Y185" s="105">
        <f t="shared" si="28"/>
        <v>44165445.640000001</v>
      </c>
      <c r="Z185" s="105">
        <f t="shared" si="29"/>
        <v>-863964.3599999994</v>
      </c>
      <c r="AA185" s="105"/>
      <c r="AB185" s="105">
        <f t="shared" si="30"/>
        <v>-863964.3599999994</v>
      </c>
      <c r="AC185" s="122"/>
      <c r="AD185" s="177"/>
      <c r="AE185" s="177"/>
      <c r="AF185" s="177"/>
      <c r="AG185" s="177"/>
      <c r="AH185" s="177"/>
      <c r="AI185" s="177"/>
      <c r="AJ185" s="177"/>
      <c r="AK185" s="177"/>
      <c r="AL185" s="34"/>
      <c r="AM185" s="34"/>
      <c r="AN185" s="34"/>
      <c r="AO185" s="34"/>
      <c r="AP185" s="34"/>
    </row>
    <row r="186" spans="1:66" ht="20.100000000000001" customHeight="1" x14ac:dyDescent="0.25">
      <c r="A186" s="47"/>
      <c r="B186" s="375" t="s">
        <v>243</v>
      </c>
      <c r="C186" s="376"/>
      <c r="D186" s="376"/>
      <c r="E186" s="376"/>
      <c r="F186" s="18"/>
      <c r="G186" s="18"/>
      <c r="H186" s="18"/>
      <c r="I186" s="18"/>
      <c r="J186" s="18"/>
      <c r="K186" s="2"/>
      <c r="L186" s="257"/>
      <c r="M186" s="257"/>
      <c r="N186" s="3"/>
      <c r="O186" s="3"/>
      <c r="P186" s="509"/>
      <c r="Q186" s="509"/>
      <c r="R186" s="409"/>
      <c r="S186" s="409"/>
      <c r="T186" s="487"/>
      <c r="U186" s="409"/>
      <c r="V186" s="5"/>
      <c r="W186" s="5"/>
      <c r="X186" s="5"/>
      <c r="Y186" s="5"/>
      <c r="Z186" s="49"/>
      <c r="AA186" s="5"/>
      <c r="AB186" s="49"/>
      <c r="AD186" s="34"/>
      <c r="AE186" s="34"/>
      <c r="AF186" s="34"/>
      <c r="AG186" s="34"/>
      <c r="AH186" s="34"/>
      <c r="AI186" s="34"/>
      <c r="AJ186" s="34"/>
      <c r="AK186" s="34"/>
      <c r="AL186" s="34"/>
      <c r="AM186" s="34"/>
      <c r="AN186" s="34"/>
      <c r="AO186" s="34"/>
      <c r="AP186" s="34"/>
    </row>
    <row r="187" spans="1:66" ht="63" customHeight="1" x14ac:dyDescent="0.25">
      <c r="A187" s="116">
        <v>1</v>
      </c>
      <c r="B187" s="378" t="s">
        <v>39</v>
      </c>
      <c r="C187" s="378"/>
      <c r="D187" s="378"/>
      <c r="E187" s="378"/>
      <c r="F187" s="117"/>
      <c r="G187" s="117"/>
      <c r="H187" s="117"/>
      <c r="I187" s="117"/>
      <c r="J187" s="117"/>
      <c r="K187" s="118" t="s">
        <v>158</v>
      </c>
      <c r="L187" s="321" t="s">
        <v>145</v>
      </c>
      <c r="M187" s="321"/>
      <c r="N187" s="104"/>
      <c r="O187" s="104"/>
      <c r="P187" s="413">
        <v>108.47</v>
      </c>
      <c r="Q187" s="414"/>
      <c r="R187" s="485"/>
      <c r="S187" s="485"/>
      <c r="T187" s="485">
        <f t="shared" ref="T187:T194" si="31">P187</f>
        <v>108.47</v>
      </c>
      <c r="U187" s="485"/>
      <c r="V187" s="254">
        <v>127.29</v>
      </c>
      <c r="W187" s="254"/>
      <c r="X187" s="160"/>
      <c r="Y187" s="123">
        <f t="shared" si="28"/>
        <v>127.29</v>
      </c>
      <c r="Z187" s="123">
        <f t="shared" si="29"/>
        <v>18.820000000000007</v>
      </c>
      <c r="AA187" s="123"/>
      <c r="AB187" s="123">
        <f t="shared" si="30"/>
        <v>18.820000000000007</v>
      </c>
      <c r="AD187" s="178"/>
      <c r="AE187" s="179"/>
      <c r="AF187" s="179"/>
      <c r="AG187" s="179"/>
      <c r="AH187" s="179"/>
      <c r="AI187" s="179"/>
      <c r="AJ187" s="179"/>
      <c r="AK187" s="179"/>
      <c r="AL187" s="34"/>
      <c r="AM187" s="34"/>
      <c r="AN187" s="34"/>
      <c r="AO187" s="34"/>
      <c r="AP187" s="34"/>
    </row>
    <row r="188" spans="1:66" ht="66.75" customHeight="1" x14ac:dyDescent="0.25">
      <c r="A188" s="116">
        <v>2</v>
      </c>
      <c r="B188" s="378" t="s">
        <v>40</v>
      </c>
      <c r="C188" s="412"/>
      <c r="D188" s="412"/>
      <c r="E188" s="412"/>
      <c r="F188" s="114"/>
      <c r="G188" s="114"/>
      <c r="H188" s="114"/>
      <c r="I188" s="114"/>
      <c r="J188" s="114"/>
      <c r="K188" s="118" t="s">
        <v>158</v>
      </c>
      <c r="L188" s="321" t="s">
        <v>145</v>
      </c>
      <c r="M188" s="321"/>
      <c r="N188" s="104"/>
      <c r="O188" s="104"/>
      <c r="P188" s="413">
        <v>138000</v>
      </c>
      <c r="Q188" s="414"/>
      <c r="R188" s="485"/>
      <c r="S188" s="485"/>
      <c r="T188" s="485">
        <f t="shared" si="31"/>
        <v>138000</v>
      </c>
      <c r="U188" s="485"/>
      <c r="V188" s="254">
        <v>421574.76</v>
      </c>
      <c r="W188" s="254"/>
      <c r="X188" s="160"/>
      <c r="Y188" s="123">
        <f t="shared" si="28"/>
        <v>421574.76</v>
      </c>
      <c r="Z188" s="123">
        <f t="shared" si="29"/>
        <v>283574.76</v>
      </c>
      <c r="AA188" s="123"/>
      <c r="AB188" s="123">
        <f t="shared" si="30"/>
        <v>283574.76</v>
      </c>
      <c r="AD188" s="180"/>
      <c r="AE188" s="180"/>
      <c r="AF188" s="180"/>
      <c r="AG188" s="180"/>
      <c r="AH188" s="180"/>
      <c r="AI188" s="180"/>
      <c r="AJ188" s="180"/>
      <c r="AK188" s="180"/>
      <c r="AL188" s="34"/>
      <c r="AM188" s="34"/>
      <c r="AN188" s="34"/>
      <c r="AO188" s="34"/>
      <c r="AP188" s="34"/>
    </row>
    <row r="189" spans="1:66" ht="35.25" customHeight="1" x14ac:dyDescent="0.25">
      <c r="A189" s="116">
        <v>3</v>
      </c>
      <c r="B189" s="378" t="s">
        <v>159</v>
      </c>
      <c r="C189" s="378"/>
      <c r="D189" s="378"/>
      <c r="E189" s="378"/>
      <c r="F189" s="117"/>
      <c r="G189" s="117"/>
      <c r="H189" s="117"/>
      <c r="I189" s="117"/>
      <c r="J189" s="117"/>
      <c r="K189" s="118" t="s">
        <v>160</v>
      </c>
      <c r="L189" s="321" t="s">
        <v>145</v>
      </c>
      <c r="M189" s="321"/>
      <c r="N189" s="104"/>
      <c r="O189" s="104"/>
      <c r="P189" s="326">
        <v>125</v>
      </c>
      <c r="Q189" s="327"/>
      <c r="R189" s="379"/>
      <c r="S189" s="379"/>
      <c r="T189" s="379">
        <f t="shared" si="31"/>
        <v>125</v>
      </c>
      <c r="U189" s="379"/>
      <c r="V189" s="149">
        <v>125</v>
      </c>
      <c r="W189" s="149"/>
      <c r="X189" s="153"/>
      <c r="Y189" s="152">
        <f t="shared" si="28"/>
        <v>125</v>
      </c>
      <c r="Z189" s="115">
        <f t="shared" si="29"/>
        <v>0</v>
      </c>
      <c r="AA189" s="115"/>
      <c r="AB189" s="115">
        <f t="shared" si="30"/>
        <v>0</v>
      </c>
      <c r="AD189" s="181"/>
      <c r="AE189" s="181"/>
      <c r="AF189" s="181"/>
      <c r="AG189" s="181"/>
      <c r="AH189" s="181"/>
      <c r="AI189" s="181"/>
      <c r="AJ189" s="181"/>
      <c r="AK189" s="181"/>
      <c r="AL189" s="34"/>
      <c r="AM189" s="34"/>
      <c r="AN189" s="34"/>
      <c r="AO189" s="34"/>
      <c r="AP189" s="34"/>
    </row>
    <row r="190" spans="1:66" ht="33.75" customHeight="1" x14ac:dyDescent="0.25">
      <c r="A190" s="116">
        <v>4</v>
      </c>
      <c r="B190" s="378" t="s">
        <v>161</v>
      </c>
      <c r="C190" s="378"/>
      <c r="D190" s="378"/>
      <c r="E190" s="378"/>
      <c r="F190" s="117"/>
      <c r="G190" s="117"/>
      <c r="H190" s="117"/>
      <c r="I190" s="117"/>
      <c r="J190" s="117"/>
      <c r="K190" s="118" t="s">
        <v>158</v>
      </c>
      <c r="L190" s="321" t="s">
        <v>145</v>
      </c>
      <c r="M190" s="321"/>
      <c r="N190" s="104"/>
      <c r="O190" s="104"/>
      <c r="P190" s="392">
        <v>37.840000000000003</v>
      </c>
      <c r="Q190" s="393"/>
      <c r="R190" s="485"/>
      <c r="S190" s="485"/>
      <c r="T190" s="485">
        <f t="shared" si="31"/>
        <v>37.840000000000003</v>
      </c>
      <c r="U190" s="485"/>
      <c r="V190" s="161">
        <v>37.840000000000003</v>
      </c>
      <c r="W190" s="161"/>
      <c r="X190" s="162"/>
      <c r="Y190" s="123">
        <f t="shared" si="28"/>
        <v>37.840000000000003</v>
      </c>
      <c r="Z190" s="156">
        <f t="shared" si="29"/>
        <v>0</v>
      </c>
      <c r="AA190" s="156"/>
      <c r="AB190" s="156">
        <f t="shared" si="30"/>
        <v>0</v>
      </c>
      <c r="AD190" s="182"/>
      <c r="AE190" s="182"/>
      <c r="AF190" s="182"/>
      <c r="AG190" s="182"/>
      <c r="AH190" s="182"/>
      <c r="AI190" s="182"/>
      <c r="AJ190" s="182"/>
      <c r="AK190" s="182"/>
      <c r="AL190" s="34"/>
      <c r="AM190" s="34"/>
      <c r="AN190" s="34"/>
      <c r="AO190" s="34"/>
      <c r="AP190" s="34"/>
    </row>
    <row r="191" spans="1:66" ht="36.75" customHeight="1" x14ac:dyDescent="0.25">
      <c r="A191" s="116">
        <v>5</v>
      </c>
      <c r="B191" s="319" t="s">
        <v>51</v>
      </c>
      <c r="C191" s="320"/>
      <c r="D191" s="320"/>
      <c r="E191" s="320"/>
      <c r="F191" s="117"/>
      <c r="G191" s="117"/>
      <c r="H191" s="117"/>
      <c r="I191" s="117"/>
      <c r="J191" s="117"/>
      <c r="K191" s="118" t="s">
        <v>9</v>
      </c>
      <c r="L191" s="308" t="s">
        <v>123</v>
      </c>
      <c r="M191" s="309"/>
      <c r="N191" s="104"/>
      <c r="O191" s="104"/>
      <c r="P191" s="410">
        <v>80.8</v>
      </c>
      <c r="Q191" s="411"/>
      <c r="R191" s="379"/>
      <c r="S191" s="379"/>
      <c r="T191" s="379">
        <f t="shared" si="31"/>
        <v>80.8</v>
      </c>
      <c r="U191" s="379"/>
      <c r="V191" s="208">
        <f>34.2</f>
        <v>34.200000000000003</v>
      </c>
      <c r="W191" s="209"/>
      <c r="X191" s="210"/>
      <c r="Y191" s="211">
        <f>V191</f>
        <v>34.200000000000003</v>
      </c>
      <c r="Z191" s="123">
        <f t="shared" si="29"/>
        <v>-46.599999999999994</v>
      </c>
      <c r="AA191" s="123"/>
      <c r="AB191" s="123">
        <f t="shared" si="30"/>
        <v>-46.599999999999994</v>
      </c>
      <c r="AD191" s="34"/>
      <c r="AE191" s="34"/>
      <c r="AF191" s="34"/>
      <c r="AG191" s="34"/>
      <c r="AH191" s="34"/>
      <c r="AI191" s="34"/>
      <c r="AJ191" s="34"/>
      <c r="AK191" s="34"/>
      <c r="AL191" s="34"/>
      <c r="AM191" s="34"/>
      <c r="AN191" s="34"/>
      <c r="AO191" s="34"/>
      <c r="AP191" s="34"/>
    </row>
    <row r="192" spans="1:66" ht="33.75" customHeight="1" x14ac:dyDescent="0.25">
      <c r="A192" s="116">
        <v>6</v>
      </c>
      <c r="B192" s="380" t="s">
        <v>52</v>
      </c>
      <c r="C192" s="380"/>
      <c r="D192" s="380"/>
      <c r="E192" s="380"/>
      <c r="F192" s="187"/>
      <c r="G192" s="187"/>
      <c r="H192" s="187"/>
      <c r="I192" s="187"/>
      <c r="J192" s="187"/>
      <c r="K192" s="104" t="s">
        <v>126</v>
      </c>
      <c r="L192" s="321" t="s">
        <v>145</v>
      </c>
      <c r="M192" s="321"/>
      <c r="N192" s="104"/>
      <c r="O192" s="104"/>
      <c r="P192" s="332">
        <v>16</v>
      </c>
      <c r="Q192" s="333"/>
      <c r="R192" s="379"/>
      <c r="S192" s="379"/>
      <c r="T192" s="379">
        <f t="shared" si="31"/>
        <v>16</v>
      </c>
      <c r="U192" s="379"/>
      <c r="V192" s="139">
        <v>0</v>
      </c>
      <c r="W192" s="145"/>
      <c r="X192" s="119"/>
      <c r="Y192" s="115">
        <f>V192</f>
        <v>0</v>
      </c>
      <c r="Z192" s="123">
        <f t="shared" si="29"/>
        <v>-16</v>
      </c>
      <c r="AA192" s="123"/>
      <c r="AB192" s="123">
        <f t="shared" si="30"/>
        <v>-16</v>
      </c>
      <c r="AD192" s="34"/>
      <c r="AE192" s="34"/>
      <c r="AF192" s="34"/>
      <c r="AG192" s="34"/>
      <c r="AH192" s="34"/>
      <c r="AI192" s="34"/>
      <c r="AJ192" s="34"/>
      <c r="AK192" s="34"/>
      <c r="AL192" s="34"/>
      <c r="AM192" s="34"/>
      <c r="AN192" s="34"/>
      <c r="AO192" s="34"/>
      <c r="AP192" s="34"/>
    </row>
    <row r="193" spans="1:42" ht="33.75" customHeight="1" x14ac:dyDescent="0.25">
      <c r="A193" s="116">
        <v>7</v>
      </c>
      <c r="B193" s="380" t="s">
        <v>53</v>
      </c>
      <c r="C193" s="380"/>
      <c r="D193" s="380"/>
      <c r="E193" s="380"/>
      <c r="F193" s="187"/>
      <c r="G193" s="187"/>
      <c r="H193" s="187"/>
      <c r="I193" s="187"/>
      <c r="J193" s="187"/>
      <c r="K193" s="104" t="s">
        <v>126</v>
      </c>
      <c r="L193" s="321" t="s">
        <v>145</v>
      </c>
      <c r="M193" s="321"/>
      <c r="N193" s="104"/>
      <c r="O193" s="104"/>
      <c r="P193" s="332">
        <v>1</v>
      </c>
      <c r="Q193" s="333"/>
      <c r="R193" s="379"/>
      <c r="S193" s="379"/>
      <c r="T193" s="379">
        <f t="shared" si="31"/>
        <v>1</v>
      </c>
      <c r="U193" s="379"/>
      <c r="V193" s="139">
        <v>1</v>
      </c>
      <c r="W193" s="145"/>
      <c r="X193" s="119"/>
      <c r="Y193" s="115">
        <f>V193</f>
        <v>1</v>
      </c>
      <c r="Z193" s="123">
        <f t="shared" si="29"/>
        <v>0</v>
      </c>
      <c r="AA193" s="123"/>
      <c r="AB193" s="123">
        <f t="shared" si="30"/>
        <v>0</v>
      </c>
      <c r="AD193" s="34"/>
      <c r="AE193" s="34"/>
      <c r="AF193" s="34"/>
      <c r="AG193" s="34"/>
      <c r="AH193" s="34"/>
      <c r="AI193" s="34"/>
      <c r="AJ193" s="34"/>
      <c r="AK193" s="34"/>
      <c r="AL193" s="34"/>
      <c r="AM193" s="34"/>
      <c r="AN193" s="34"/>
      <c r="AO193" s="34"/>
      <c r="AP193" s="34"/>
    </row>
    <row r="194" spans="1:42" ht="36.75" customHeight="1" x14ac:dyDescent="0.25">
      <c r="A194" s="116">
        <v>8</v>
      </c>
      <c r="B194" s="380" t="s">
        <v>54</v>
      </c>
      <c r="C194" s="380"/>
      <c r="D194" s="380"/>
      <c r="E194" s="380"/>
      <c r="F194" s="187"/>
      <c r="G194" s="187"/>
      <c r="H194" s="187"/>
      <c r="I194" s="187"/>
      <c r="J194" s="187"/>
      <c r="K194" s="104" t="s">
        <v>151</v>
      </c>
      <c r="L194" s="321" t="s">
        <v>130</v>
      </c>
      <c r="M194" s="321"/>
      <c r="N194" s="104"/>
      <c r="O194" s="104"/>
      <c r="P194" s="332">
        <v>14099.43</v>
      </c>
      <c r="Q194" s="333"/>
      <c r="R194" s="379"/>
      <c r="S194" s="379"/>
      <c r="T194" s="379">
        <f t="shared" si="31"/>
        <v>14099.43</v>
      </c>
      <c r="U194" s="379"/>
      <c r="V194" s="139">
        <v>13449.07</v>
      </c>
      <c r="W194" s="145"/>
      <c r="X194" s="119"/>
      <c r="Y194" s="115">
        <f>V194</f>
        <v>13449.07</v>
      </c>
      <c r="Z194" s="123">
        <f t="shared" si="29"/>
        <v>-650.36000000000058</v>
      </c>
      <c r="AA194" s="123"/>
      <c r="AB194" s="123">
        <f t="shared" si="30"/>
        <v>-650.36000000000058</v>
      </c>
      <c r="AD194" s="34"/>
      <c r="AE194" s="34"/>
      <c r="AF194" s="34"/>
      <c r="AG194" s="34"/>
      <c r="AH194" s="34"/>
      <c r="AI194" s="34"/>
      <c r="AJ194" s="34"/>
      <c r="AK194" s="34"/>
      <c r="AL194" s="34"/>
      <c r="AM194" s="34"/>
      <c r="AN194" s="34"/>
      <c r="AO194" s="34"/>
      <c r="AP194" s="34"/>
    </row>
    <row r="195" spans="1:42" ht="20.100000000000001" customHeight="1" x14ac:dyDescent="0.25">
      <c r="A195" s="47"/>
      <c r="B195" s="375" t="s">
        <v>246</v>
      </c>
      <c r="C195" s="376"/>
      <c r="D195" s="376"/>
      <c r="E195" s="376"/>
      <c r="F195" s="18"/>
      <c r="G195" s="18"/>
      <c r="H195" s="18"/>
      <c r="I195" s="18"/>
      <c r="J195" s="18"/>
      <c r="K195" s="2"/>
      <c r="L195" s="226"/>
      <c r="M195" s="275"/>
      <c r="N195" s="3"/>
      <c r="O195" s="3"/>
      <c r="P195" s="226"/>
      <c r="Q195" s="275"/>
      <c r="R195" s="294"/>
      <c r="S195" s="295"/>
      <c r="T195" s="281"/>
      <c r="U195" s="282"/>
      <c r="V195" s="101"/>
      <c r="W195" s="101"/>
      <c r="X195" s="4"/>
      <c r="Y195" s="4"/>
      <c r="Z195" s="6"/>
      <c r="AA195" s="4"/>
      <c r="AB195" s="6"/>
      <c r="AD195" s="34"/>
      <c r="AE195" s="34"/>
      <c r="AF195" s="34"/>
      <c r="AG195" s="34"/>
      <c r="AH195" s="34"/>
      <c r="AI195" s="34"/>
      <c r="AJ195" s="34"/>
      <c r="AK195" s="34"/>
      <c r="AL195" s="34"/>
      <c r="AM195" s="34"/>
      <c r="AN195" s="34"/>
      <c r="AO195" s="34"/>
      <c r="AP195" s="34"/>
    </row>
    <row r="196" spans="1:42" ht="48" customHeight="1" x14ac:dyDescent="0.25">
      <c r="A196" s="47">
        <v>1</v>
      </c>
      <c r="B196" s="363" t="s">
        <v>10</v>
      </c>
      <c r="C196" s="363"/>
      <c r="D196" s="363"/>
      <c r="E196" s="363"/>
      <c r="F196" s="15"/>
      <c r="G196" s="15"/>
      <c r="H196" s="15"/>
      <c r="I196" s="15"/>
      <c r="J196" s="15"/>
      <c r="K196" s="2" t="s">
        <v>162</v>
      </c>
      <c r="L196" s="257" t="s">
        <v>131</v>
      </c>
      <c r="M196" s="257"/>
      <c r="N196" s="3"/>
      <c r="O196" s="3"/>
      <c r="P196" s="253">
        <f>(40000+10651.5+10240.6-3622.03)/P187</f>
        <v>527.98073199963119</v>
      </c>
      <c r="Q196" s="253" t="e">
        <f>(40000+10651.5+10240.6-3622.03)/Q187</f>
        <v>#DIV/0!</v>
      </c>
      <c r="R196" s="229"/>
      <c r="S196" s="229"/>
      <c r="T196" s="230">
        <f t="shared" ref="T196:T201" si="32">P196</f>
        <v>527.98073199963119</v>
      </c>
      <c r="U196" s="229"/>
      <c r="V196" s="148">
        <f>56781489.93/1000/V187</f>
        <v>446.07973862832898</v>
      </c>
      <c r="W196" s="148"/>
      <c r="X196" s="6"/>
      <c r="Y196" s="6">
        <f t="shared" ref="Y196:Y204" si="33">V196</f>
        <v>446.07973862832898</v>
      </c>
      <c r="Z196" s="6">
        <f t="shared" si="29"/>
        <v>-81.900993371302206</v>
      </c>
      <c r="AA196" s="4"/>
      <c r="AB196" s="6">
        <f t="shared" si="30"/>
        <v>-81.900993371302206</v>
      </c>
      <c r="AD196" s="34"/>
      <c r="AE196" s="34"/>
      <c r="AF196" s="34"/>
      <c r="AG196" s="34"/>
      <c r="AH196" s="183"/>
      <c r="AI196" s="171"/>
      <c r="AJ196" s="34"/>
      <c r="AK196" s="34"/>
      <c r="AL196" s="34"/>
      <c r="AM196" s="34"/>
      <c r="AN196" s="34"/>
      <c r="AO196" s="34"/>
      <c r="AP196" s="34"/>
    </row>
    <row r="197" spans="1:42" ht="35.25" customHeight="1" x14ac:dyDescent="0.25">
      <c r="A197" s="47">
        <v>2</v>
      </c>
      <c r="B197" s="307" t="s">
        <v>264</v>
      </c>
      <c r="C197" s="307"/>
      <c r="D197" s="307"/>
      <c r="E197" s="307"/>
      <c r="F197" s="8"/>
      <c r="G197" s="8"/>
      <c r="H197" s="8"/>
      <c r="I197" s="8"/>
      <c r="J197" s="8"/>
      <c r="K197" s="2" t="s">
        <v>124</v>
      </c>
      <c r="L197" s="257" t="s">
        <v>131</v>
      </c>
      <c r="M197" s="257"/>
      <c r="N197" s="3"/>
      <c r="O197" s="3"/>
      <c r="P197" s="253">
        <f>(((33719.56+2476.57+19.5+65.45+199.12+204.73+156.84)*1000*0.5429+2797440)/((P188*1000)*0.6533))*100</f>
        <v>25.288376440013575</v>
      </c>
      <c r="Q197" s="253" t="e">
        <f>(((33719.56+2476.57+19.5+65.45+199.12+204.73+156.84)*1000*0.5429+2797440)/((Q188*1000)*0.6533))*100</f>
        <v>#DIV/0!</v>
      </c>
      <c r="R197" s="229"/>
      <c r="S197" s="229"/>
      <c r="T197" s="230">
        <f t="shared" si="32"/>
        <v>25.288376440013575</v>
      </c>
      <c r="U197" s="229"/>
      <c r="V197" s="1">
        <v>5.5</v>
      </c>
      <c r="W197" s="1"/>
      <c r="X197" s="1"/>
      <c r="Y197" s="6">
        <f t="shared" si="33"/>
        <v>5.5</v>
      </c>
      <c r="Z197" s="6">
        <f t="shared" si="29"/>
        <v>-19.788376440013575</v>
      </c>
      <c r="AA197" s="4"/>
      <c r="AB197" s="6">
        <f t="shared" si="30"/>
        <v>-19.788376440013575</v>
      </c>
      <c r="AD197" s="34"/>
      <c r="AE197" s="34"/>
      <c r="AF197" s="34"/>
      <c r="AG197" s="34"/>
      <c r="AH197" s="171"/>
      <c r="AI197" s="171"/>
      <c r="AJ197" s="34"/>
      <c r="AK197" s="34"/>
      <c r="AL197" s="34"/>
      <c r="AM197" s="34"/>
      <c r="AN197" s="34"/>
      <c r="AO197" s="34"/>
      <c r="AP197" s="34"/>
    </row>
    <row r="198" spans="1:42" ht="35.25" customHeight="1" x14ac:dyDescent="0.25">
      <c r="A198" s="47">
        <v>3</v>
      </c>
      <c r="B198" s="307" t="s">
        <v>163</v>
      </c>
      <c r="C198" s="307"/>
      <c r="D198" s="307"/>
      <c r="E198" s="307"/>
      <c r="F198" s="8"/>
      <c r="G198" s="8"/>
      <c r="H198" s="8"/>
      <c r="I198" s="8"/>
      <c r="J198" s="8"/>
      <c r="K198" s="2" t="s">
        <v>124</v>
      </c>
      <c r="L198" s="257" t="s">
        <v>131</v>
      </c>
      <c r="M198" s="257"/>
      <c r="N198" s="3"/>
      <c r="O198" s="3"/>
      <c r="P198" s="253">
        <f>((33719.56+2476.57+19.5+65.45+199.12+204.73+156.84)*1000*0.4571/((P188*1000)*0.3467)*100)</f>
        <v>35.198064289386892</v>
      </c>
      <c r="Q198" s="253" t="e">
        <f>((33719.56+2476.57+19.5+65.45+199.12+204.73+156.84)*1000*0.4571/((Q188*1000)*0.3467)*100)</f>
        <v>#DIV/0!</v>
      </c>
      <c r="R198" s="229"/>
      <c r="S198" s="229"/>
      <c r="T198" s="230">
        <f t="shared" si="32"/>
        <v>35.198064289386892</v>
      </c>
      <c r="U198" s="229"/>
      <c r="V198" s="1">
        <v>38.119999999999997</v>
      </c>
      <c r="W198" s="1"/>
      <c r="X198" s="1"/>
      <c r="Y198" s="6">
        <f t="shared" si="33"/>
        <v>38.119999999999997</v>
      </c>
      <c r="Z198" s="6">
        <f t="shared" si="29"/>
        <v>2.9219357106131056</v>
      </c>
      <c r="AA198" s="4"/>
      <c r="AB198" s="6">
        <f t="shared" si="30"/>
        <v>2.9219357106131056</v>
      </c>
      <c r="AD198" s="34"/>
      <c r="AE198" s="34"/>
      <c r="AF198" s="34"/>
      <c r="AG198" s="34"/>
      <c r="AH198" s="171"/>
      <c r="AI198" s="171"/>
      <c r="AJ198" s="34"/>
      <c r="AK198" s="34"/>
      <c r="AL198" s="34"/>
      <c r="AM198" s="34"/>
      <c r="AN198" s="34"/>
      <c r="AO198" s="34"/>
      <c r="AP198" s="34"/>
    </row>
    <row r="199" spans="1:42" ht="48.75" customHeight="1" x14ac:dyDescent="0.25">
      <c r="A199" s="47">
        <v>4</v>
      </c>
      <c r="B199" s="363" t="s">
        <v>11</v>
      </c>
      <c r="C199" s="363"/>
      <c r="D199" s="363"/>
      <c r="E199" s="363"/>
      <c r="F199" s="15"/>
      <c r="G199" s="15"/>
      <c r="H199" s="15"/>
      <c r="I199" s="15"/>
      <c r="J199" s="15"/>
      <c r="K199" s="2" t="s">
        <v>124</v>
      </c>
      <c r="L199" s="226" t="s">
        <v>131</v>
      </c>
      <c r="M199" s="227"/>
      <c r="N199" s="17"/>
      <c r="O199" s="17"/>
      <c r="P199" s="255">
        <f>(3919.2+1851.5)/P189/12*1000</f>
        <v>3847.1333333333332</v>
      </c>
      <c r="Q199" s="255" t="e">
        <f>(3919.2+1851.5)/Q189/12*1000</f>
        <v>#DIV/0!</v>
      </c>
      <c r="R199" s="229"/>
      <c r="S199" s="229"/>
      <c r="T199" s="230">
        <f t="shared" si="32"/>
        <v>3847.1333333333332</v>
      </c>
      <c r="U199" s="229"/>
      <c r="V199" s="148">
        <f>5581.41116/V189/12*1000</f>
        <v>3720.9407733333337</v>
      </c>
      <c r="W199" s="148"/>
      <c r="X199" s="6"/>
      <c r="Y199" s="6">
        <f t="shared" si="33"/>
        <v>3720.9407733333337</v>
      </c>
      <c r="Z199" s="6">
        <f t="shared" si="29"/>
        <v>-126.1925599999995</v>
      </c>
      <c r="AA199" s="4"/>
      <c r="AB199" s="6">
        <f t="shared" si="30"/>
        <v>-126.1925599999995</v>
      </c>
      <c r="AD199" s="34"/>
      <c r="AE199" s="34"/>
      <c r="AF199" s="34"/>
      <c r="AG199" s="34"/>
      <c r="AH199" s="171"/>
      <c r="AI199" s="171"/>
      <c r="AJ199" s="34"/>
      <c r="AK199" s="34"/>
      <c r="AL199" s="34"/>
      <c r="AM199" s="34"/>
      <c r="AN199" s="34"/>
      <c r="AO199" s="34"/>
      <c r="AP199" s="34"/>
    </row>
    <row r="200" spans="1:42" ht="35.1" customHeight="1" x14ac:dyDescent="0.25">
      <c r="A200" s="116">
        <v>5</v>
      </c>
      <c r="B200" s="475" t="s">
        <v>164</v>
      </c>
      <c r="C200" s="476"/>
      <c r="D200" s="476"/>
      <c r="E200" s="476"/>
      <c r="F200" s="124"/>
      <c r="G200" s="124"/>
      <c r="H200" s="124"/>
      <c r="I200" s="124"/>
      <c r="J200" s="124"/>
      <c r="K200" s="118" t="s">
        <v>124</v>
      </c>
      <c r="L200" s="308" t="s">
        <v>131</v>
      </c>
      <c r="M200" s="309"/>
      <c r="N200" s="104"/>
      <c r="O200" s="104"/>
      <c r="P200" s="417">
        <f>(6896.91+3007.1-910.51)/P190</f>
        <v>237.67177589852005</v>
      </c>
      <c r="Q200" s="474" t="e">
        <f>(6896.91+3007.1-910.51)/Q190</f>
        <v>#DIV/0!</v>
      </c>
      <c r="R200" s="471"/>
      <c r="S200" s="472"/>
      <c r="T200" s="473">
        <f t="shared" si="32"/>
        <v>237.67177589852005</v>
      </c>
      <c r="U200" s="474"/>
      <c r="V200" s="196">
        <f>8993.49441/(V190)</f>
        <v>237.67162817124731</v>
      </c>
      <c r="W200" s="196"/>
      <c r="X200" s="105"/>
      <c r="Y200" s="105">
        <f t="shared" si="33"/>
        <v>237.67162817124731</v>
      </c>
      <c r="Z200" s="105">
        <f t="shared" si="29"/>
        <v>-1.4772727274703357E-4</v>
      </c>
      <c r="AA200" s="101"/>
      <c r="AB200" s="105">
        <f t="shared" si="30"/>
        <v>-1.4772727274703357E-4</v>
      </c>
      <c r="AD200" s="34"/>
      <c r="AE200" s="34"/>
      <c r="AF200" s="34"/>
      <c r="AG200" s="34"/>
      <c r="AH200" s="171"/>
      <c r="AI200" s="171"/>
      <c r="AJ200" s="34"/>
      <c r="AK200" s="34"/>
      <c r="AL200" s="34"/>
      <c r="AM200" s="34"/>
      <c r="AN200" s="34"/>
      <c r="AO200" s="34"/>
      <c r="AP200" s="34"/>
    </row>
    <row r="201" spans="1:42" ht="36.75" customHeight="1" x14ac:dyDescent="0.25">
      <c r="A201" s="116">
        <v>6</v>
      </c>
      <c r="B201" s="407" t="s">
        <v>55</v>
      </c>
      <c r="C201" s="408"/>
      <c r="D201" s="408"/>
      <c r="E201" s="408"/>
      <c r="F201" s="124"/>
      <c r="G201" s="124"/>
      <c r="H201" s="124"/>
      <c r="I201" s="124"/>
      <c r="J201" s="124"/>
      <c r="K201" s="118" t="s">
        <v>124</v>
      </c>
      <c r="L201" s="308" t="s">
        <v>131</v>
      </c>
      <c r="M201" s="309"/>
      <c r="N201" s="121"/>
      <c r="O201" s="121"/>
      <c r="P201" s="417">
        <f>P182/P191</f>
        <v>990.09900990099015</v>
      </c>
      <c r="Q201" s="474" t="e">
        <f>Q187/#REF!</f>
        <v>#REF!</v>
      </c>
      <c r="R201" s="471"/>
      <c r="S201" s="472"/>
      <c r="T201" s="473">
        <f t="shared" si="32"/>
        <v>990.09900990099015</v>
      </c>
      <c r="U201" s="474"/>
      <c r="V201" s="148">
        <f>V182/V191</f>
        <v>2313.74298245614</v>
      </c>
      <c r="W201" s="217"/>
      <c r="X201" s="218"/>
      <c r="Y201" s="105">
        <f t="shared" si="33"/>
        <v>2313.74298245614</v>
      </c>
      <c r="Z201" s="105">
        <f t="shared" si="29"/>
        <v>1323.64397255515</v>
      </c>
      <c r="AA201" s="125"/>
      <c r="AB201" s="105">
        <f t="shared" si="30"/>
        <v>1323.64397255515</v>
      </c>
      <c r="AD201" s="60"/>
      <c r="AE201" s="34"/>
      <c r="AF201" s="34"/>
      <c r="AG201" s="34"/>
      <c r="AH201" s="171"/>
      <c r="AI201" s="171"/>
      <c r="AJ201" s="34"/>
      <c r="AK201" s="34"/>
      <c r="AL201" s="34"/>
      <c r="AM201" s="34"/>
      <c r="AN201" s="34"/>
      <c r="AO201" s="34"/>
      <c r="AP201" s="34"/>
    </row>
    <row r="202" spans="1:42" ht="36.75" customHeight="1" x14ac:dyDescent="0.25">
      <c r="A202" s="116">
        <v>7</v>
      </c>
      <c r="B202" s="475" t="s">
        <v>56</v>
      </c>
      <c r="C202" s="476"/>
      <c r="D202" s="476"/>
      <c r="E202" s="476"/>
      <c r="F202" s="124"/>
      <c r="G202" s="124"/>
      <c r="H202" s="124"/>
      <c r="I202" s="124"/>
      <c r="J202" s="124"/>
      <c r="K202" s="118" t="s">
        <v>124</v>
      </c>
      <c r="L202" s="308" t="s">
        <v>131</v>
      </c>
      <c r="M202" s="309"/>
      <c r="N202" s="121"/>
      <c r="O202" s="121"/>
      <c r="P202" s="517">
        <f>P183/P192</f>
        <v>18750</v>
      </c>
      <c r="Q202" s="517"/>
      <c r="R202" s="471"/>
      <c r="S202" s="472"/>
      <c r="T202" s="473">
        <f>P202</f>
        <v>18750</v>
      </c>
      <c r="U202" s="474"/>
      <c r="V202" s="148">
        <v>0</v>
      </c>
      <c r="W202" s="217"/>
      <c r="X202" s="218"/>
      <c r="Y202" s="105">
        <f t="shared" si="33"/>
        <v>0</v>
      </c>
      <c r="Z202" s="105">
        <f t="shared" si="29"/>
        <v>-18750</v>
      </c>
      <c r="AA202" s="125"/>
      <c r="AB202" s="105">
        <f t="shared" si="30"/>
        <v>-18750</v>
      </c>
      <c r="AD202" s="34"/>
      <c r="AE202" s="34"/>
      <c r="AF202" s="34"/>
      <c r="AG202" s="34"/>
      <c r="AH202" s="171"/>
      <c r="AI202" s="171"/>
      <c r="AJ202" s="34"/>
      <c r="AK202" s="34"/>
      <c r="AL202" s="34"/>
      <c r="AM202" s="34"/>
      <c r="AN202" s="34"/>
      <c r="AO202" s="34"/>
      <c r="AP202" s="34"/>
    </row>
    <row r="203" spans="1:42" ht="36.75" customHeight="1" x14ac:dyDescent="0.25">
      <c r="A203" s="116">
        <v>8</v>
      </c>
      <c r="B203" s="475" t="s">
        <v>57</v>
      </c>
      <c r="C203" s="476"/>
      <c r="D203" s="476"/>
      <c r="E203" s="476"/>
      <c r="F203" s="124"/>
      <c r="G203" s="124"/>
      <c r="H203" s="124"/>
      <c r="I203" s="124"/>
      <c r="J203" s="124"/>
      <c r="K203" s="118" t="s">
        <v>124</v>
      </c>
      <c r="L203" s="308" t="s">
        <v>131</v>
      </c>
      <c r="M203" s="309"/>
      <c r="N203" s="121"/>
      <c r="O203" s="121"/>
      <c r="P203" s="517">
        <f>P184/P193</f>
        <v>50000</v>
      </c>
      <c r="Q203" s="517"/>
      <c r="R203" s="471"/>
      <c r="S203" s="472"/>
      <c r="T203" s="473">
        <f>P203</f>
        <v>50000</v>
      </c>
      <c r="U203" s="474"/>
      <c r="V203" s="148">
        <f>V184/V193</f>
        <v>42393.06</v>
      </c>
      <c r="W203" s="217"/>
      <c r="X203" s="218"/>
      <c r="Y203" s="105">
        <f t="shared" si="33"/>
        <v>42393.06</v>
      </c>
      <c r="Z203" s="105">
        <f t="shared" si="29"/>
        <v>-7606.9400000000023</v>
      </c>
      <c r="AA203" s="125"/>
      <c r="AB203" s="105">
        <f t="shared" si="30"/>
        <v>-7606.9400000000023</v>
      </c>
      <c r="AD203" s="34"/>
      <c r="AE203" s="34"/>
      <c r="AF203" s="34"/>
      <c r="AG203" s="34"/>
      <c r="AH203" s="171"/>
      <c r="AI203" s="171"/>
      <c r="AJ203" s="34"/>
      <c r="AK203" s="34"/>
      <c r="AL203" s="34"/>
      <c r="AM203" s="34"/>
      <c r="AN203" s="34"/>
      <c r="AO203" s="34"/>
      <c r="AP203" s="34"/>
    </row>
    <row r="204" spans="1:42" ht="36.75" customHeight="1" x14ac:dyDescent="0.25">
      <c r="A204" s="116">
        <v>9</v>
      </c>
      <c r="B204" s="475" t="s">
        <v>58</v>
      </c>
      <c r="C204" s="476"/>
      <c r="D204" s="476"/>
      <c r="E204" s="476"/>
      <c r="F204" s="124"/>
      <c r="G204" s="124"/>
      <c r="H204" s="124"/>
      <c r="I204" s="124"/>
      <c r="J204" s="124"/>
      <c r="K204" s="118" t="s">
        <v>124</v>
      </c>
      <c r="L204" s="308" t="s">
        <v>131</v>
      </c>
      <c r="M204" s="309"/>
      <c r="N204" s="121"/>
      <c r="O204" s="121"/>
      <c r="P204" s="517">
        <f>P185/P194</f>
        <v>3193.7042844994444</v>
      </c>
      <c r="Q204" s="517"/>
      <c r="R204" s="471"/>
      <c r="S204" s="472"/>
      <c r="T204" s="473">
        <f>P204</f>
        <v>3193.7042844994444</v>
      </c>
      <c r="U204" s="474"/>
      <c r="V204" s="148">
        <f>V185/V194</f>
        <v>3283.9033211961869</v>
      </c>
      <c r="W204" s="217"/>
      <c r="X204" s="218"/>
      <c r="Y204" s="105">
        <f t="shared" si="33"/>
        <v>3283.9033211961869</v>
      </c>
      <c r="Z204" s="105">
        <f t="shared" si="29"/>
        <v>90.199036696742496</v>
      </c>
      <c r="AA204" s="125"/>
      <c r="AB204" s="105">
        <f t="shared" si="30"/>
        <v>90.199036696742496</v>
      </c>
      <c r="AD204" s="34"/>
      <c r="AE204" s="34"/>
      <c r="AF204" s="34"/>
      <c r="AG204" s="34"/>
      <c r="AH204" s="171"/>
      <c r="AI204" s="171"/>
      <c r="AJ204" s="34"/>
      <c r="AK204" s="34"/>
      <c r="AL204" s="34"/>
      <c r="AM204" s="34"/>
      <c r="AN204" s="34"/>
      <c r="AO204" s="34"/>
      <c r="AP204" s="34"/>
    </row>
    <row r="205" spans="1:42" ht="20.100000000000001" customHeight="1" x14ac:dyDescent="0.25">
      <c r="A205" s="47"/>
      <c r="B205" s="375" t="s">
        <v>244</v>
      </c>
      <c r="C205" s="376"/>
      <c r="D205" s="376"/>
      <c r="E205" s="376"/>
      <c r="F205" s="18"/>
      <c r="G205" s="18"/>
      <c r="H205" s="18"/>
      <c r="I205" s="18"/>
      <c r="J205" s="18"/>
      <c r="K205" s="2"/>
      <c r="L205" s="257"/>
      <c r="M205" s="257"/>
      <c r="N205" s="3"/>
      <c r="O205" s="3"/>
      <c r="P205" s="364"/>
      <c r="Q205" s="364"/>
      <c r="R205" s="409"/>
      <c r="S205" s="409"/>
      <c r="T205" s="409"/>
      <c r="U205" s="409"/>
      <c r="V205" s="5"/>
      <c r="W205" s="5"/>
      <c r="X205" s="5"/>
      <c r="Y205" s="5"/>
      <c r="Z205" s="49"/>
      <c r="AA205" s="5"/>
      <c r="AB205" s="49"/>
      <c r="AD205" s="34"/>
      <c r="AE205" s="34"/>
      <c r="AF205" s="34"/>
      <c r="AG205" s="34"/>
      <c r="AH205" s="171"/>
      <c r="AI205" s="171"/>
      <c r="AJ205" s="34"/>
      <c r="AK205" s="34"/>
      <c r="AL205" s="34"/>
      <c r="AM205" s="34"/>
      <c r="AN205" s="34"/>
      <c r="AO205" s="34"/>
      <c r="AP205" s="34"/>
    </row>
    <row r="206" spans="1:42" ht="81.75" customHeight="1" x14ac:dyDescent="0.25">
      <c r="A206" s="47">
        <v>1</v>
      </c>
      <c r="B206" s="363" t="s">
        <v>287</v>
      </c>
      <c r="C206" s="363"/>
      <c r="D206" s="363"/>
      <c r="E206" s="363"/>
      <c r="F206" s="15"/>
      <c r="G206" s="15"/>
      <c r="H206" s="15"/>
      <c r="I206" s="15"/>
      <c r="J206" s="15"/>
      <c r="K206" s="191" t="s">
        <v>3</v>
      </c>
      <c r="L206" s="257" t="s">
        <v>131</v>
      </c>
      <c r="M206" s="257"/>
      <c r="N206" s="3"/>
      <c r="O206" s="3"/>
      <c r="P206" s="253">
        <f>P196/477.5*100</f>
        <v>110.57188104704319</v>
      </c>
      <c r="Q206" s="253"/>
      <c r="R206" s="229"/>
      <c r="S206" s="229"/>
      <c r="T206" s="230">
        <f t="shared" ref="T206:T211" si="34">P206</f>
        <v>110.57188104704319</v>
      </c>
      <c r="U206" s="229"/>
      <c r="V206" s="253">
        <f>V196/477.5*100</f>
        <v>93.419840550435381</v>
      </c>
      <c r="W206" s="253"/>
      <c r="X206" s="1"/>
      <c r="Y206" s="61">
        <f t="shared" ref="Y206:Y211" si="35">V206</f>
        <v>93.419840550435381</v>
      </c>
      <c r="Z206" s="6">
        <f t="shared" si="29"/>
        <v>-17.15204049660781</v>
      </c>
      <c r="AA206" s="4"/>
      <c r="AB206" s="6">
        <f t="shared" si="30"/>
        <v>-17.15204049660781</v>
      </c>
      <c r="AD206" s="34"/>
      <c r="AE206" s="34"/>
      <c r="AF206" s="34"/>
      <c r="AG206" s="34"/>
      <c r="AH206" s="170"/>
      <c r="AI206" s="171"/>
      <c r="AJ206" s="34"/>
      <c r="AK206" s="34"/>
      <c r="AL206" s="34"/>
      <c r="AM206" s="34"/>
      <c r="AN206" s="34"/>
      <c r="AO206" s="34"/>
      <c r="AP206" s="34"/>
    </row>
    <row r="207" spans="1:42" ht="67.5" customHeight="1" x14ac:dyDescent="0.25">
      <c r="A207" s="47">
        <v>2</v>
      </c>
      <c r="B207" s="363" t="s">
        <v>288</v>
      </c>
      <c r="C207" s="470"/>
      <c r="D207" s="470"/>
      <c r="E207" s="470"/>
      <c r="F207" s="16"/>
      <c r="G207" s="16"/>
      <c r="H207" s="16"/>
      <c r="I207" s="16"/>
      <c r="J207" s="16"/>
      <c r="K207" s="191" t="s">
        <v>3</v>
      </c>
      <c r="L207" s="257" t="s">
        <v>131</v>
      </c>
      <c r="M207" s="257"/>
      <c r="N207" s="3"/>
      <c r="O207" s="3"/>
      <c r="P207" s="253">
        <f>P197/20.3*100</f>
        <v>124.57328295573188</v>
      </c>
      <c r="Q207" s="253"/>
      <c r="R207" s="229"/>
      <c r="S207" s="229"/>
      <c r="T207" s="230">
        <f t="shared" si="34"/>
        <v>124.57328295573188</v>
      </c>
      <c r="U207" s="229"/>
      <c r="V207" s="253">
        <f>V197/20.3*100</f>
        <v>27.093596059113302</v>
      </c>
      <c r="W207" s="253"/>
      <c r="X207" s="1"/>
      <c r="Y207" s="61">
        <f t="shared" si="35"/>
        <v>27.093596059113302</v>
      </c>
      <c r="Z207" s="6">
        <f t="shared" si="29"/>
        <v>-97.479686896618574</v>
      </c>
      <c r="AA207" s="4"/>
      <c r="AB207" s="6">
        <f t="shared" si="30"/>
        <v>-97.479686896618574</v>
      </c>
      <c r="AD207" s="34"/>
      <c r="AE207" s="34"/>
      <c r="AF207" s="34"/>
      <c r="AG207" s="34"/>
      <c r="AH207" s="34"/>
      <c r="AI207" s="34"/>
      <c r="AJ207" s="34"/>
      <c r="AK207" s="34"/>
      <c r="AL207" s="34"/>
      <c r="AM207" s="34"/>
      <c r="AN207" s="34"/>
      <c r="AO207" s="34"/>
      <c r="AP207" s="34"/>
    </row>
    <row r="208" spans="1:42" ht="69" customHeight="1" x14ac:dyDescent="0.25">
      <c r="A208" s="47">
        <v>3</v>
      </c>
      <c r="B208" s="363" t="s">
        <v>269</v>
      </c>
      <c r="C208" s="470"/>
      <c r="D208" s="470"/>
      <c r="E208" s="470"/>
      <c r="F208" s="16"/>
      <c r="G208" s="16"/>
      <c r="H208" s="16"/>
      <c r="I208" s="16"/>
      <c r="J208" s="16"/>
      <c r="K208" s="191" t="s">
        <v>3</v>
      </c>
      <c r="L208" s="257" t="s">
        <v>131</v>
      </c>
      <c r="M208" s="257"/>
      <c r="N208" s="3"/>
      <c r="O208" s="3"/>
      <c r="P208" s="253">
        <f>P198/30.695*100</f>
        <v>114.67035116268738</v>
      </c>
      <c r="Q208" s="488"/>
      <c r="R208" s="229"/>
      <c r="S208" s="229"/>
      <c r="T208" s="230">
        <f t="shared" si="34"/>
        <v>114.67035116268738</v>
      </c>
      <c r="U208" s="229"/>
      <c r="V208" s="253">
        <f>V198/30.695*100</f>
        <v>124.18960742791984</v>
      </c>
      <c r="W208" s="488"/>
      <c r="X208" s="131"/>
      <c r="Y208" s="61">
        <f t="shared" si="35"/>
        <v>124.18960742791984</v>
      </c>
      <c r="Z208" s="6">
        <f t="shared" si="29"/>
        <v>9.5192562652324568</v>
      </c>
      <c r="AA208" s="4"/>
      <c r="AB208" s="6">
        <f t="shared" si="30"/>
        <v>9.5192562652324568</v>
      </c>
      <c r="AD208" s="34"/>
      <c r="AE208" s="34"/>
      <c r="AF208" s="34"/>
      <c r="AG208" s="34"/>
      <c r="AH208" s="34"/>
      <c r="AI208" s="34"/>
      <c r="AJ208" s="34"/>
      <c r="AK208" s="34"/>
      <c r="AL208" s="34"/>
      <c r="AM208" s="34"/>
      <c r="AN208" s="34"/>
      <c r="AO208" s="34"/>
      <c r="AP208" s="34"/>
    </row>
    <row r="209" spans="1:42" ht="51.75" customHeight="1" x14ac:dyDescent="0.25">
      <c r="A209" s="47">
        <v>4</v>
      </c>
      <c r="B209" s="363" t="s">
        <v>12</v>
      </c>
      <c r="C209" s="363"/>
      <c r="D209" s="363"/>
      <c r="E209" s="363"/>
      <c r="F209" s="15"/>
      <c r="G209" s="15"/>
      <c r="H209" s="15"/>
      <c r="I209" s="15"/>
      <c r="J209" s="15"/>
      <c r="K209" s="191" t="s">
        <v>3</v>
      </c>
      <c r="L209" s="257" t="s">
        <v>131</v>
      </c>
      <c r="M209" s="257"/>
      <c r="N209" s="3"/>
      <c r="O209" s="3"/>
      <c r="P209" s="255">
        <f>P199/2627.38*100</f>
        <v>146.42470192105188</v>
      </c>
      <c r="Q209" s="260"/>
      <c r="R209" s="229"/>
      <c r="S209" s="229"/>
      <c r="T209" s="230">
        <f t="shared" si="34"/>
        <v>146.42470192105188</v>
      </c>
      <c r="U209" s="229"/>
      <c r="V209" s="255">
        <f>V199/2627.38*100</f>
        <v>141.62172100470178</v>
      </c>
      <c r="W209" s="260"/>
      <c r="X209" s="132"/>
      <c r="Y209" s="61">
        <f t="shared" si="35"/>
        <v>141.62172100470178</v>
      </c>
      <c r="Z209" s="6">
        <f t="shared" si="29"/>
        <v>-4.8029809163500943</v>
      </c>
      <c r="AA209" s="4"/>
      <c r="AB209" s="6">
        <f t="shared" si="30"/>
        <v>-4.8029809163500943</v>
      </c>
      <c r="AD209" s="34"/>
      <c r="AE209" s="34"/>
      <c r="AF209" s="34"/>
      <c r="AG209" s="34"/>
      <c r="AH209" s="34"/>
      <c r="AI209" s="34"/>
      <c r="AJ209" s="34"/>
      <c r="AK209" s="34"/>
      <c r="AL209" s="34"/>
      <c r="AM209" s="34"/>
      <c r="AN209" s="34"/>
      <c r="AO209" s="34"/>
      <c r="AP209" s="34"/>
    </row>
    <row r="210" spans="1:42" ht="50.1" customHeight="1" x14ac:dyDescent="0.25">
      <c r="A210" s="47">
        <v>5</v>
      </c>
      <c r="B210" s="263" t="s">
        <v>13</v>
      </c>
      <c r="C210" s="235"/>
      <c r="D210" s="235"/>
      <c r="E210" s="235"/>
      <c r="F210" s="19"/>
      <c r="G210" s="19"/>
      <c r="H210" s="19"/>
      <c r="I210" s="19"/>
      <c r="J210" s="19"/>
      <c r="K210" s="191" t="s">
        <v>3</v>
      </c>
      <c r="L210" s="257" t="s">
        <v>131</v>
      </c>
      <c r="M210" s="257"/>
      <c r="N210" s="3"/>
      <c r="O210" s="3"/>
      <c r="P210" s="255">
        <f>P200/135.39*100</f>
        <v>175.54603434413184</v>
      </c>
      <c r="Q210" s="256"/>
      <c r="R210" s="229"/>
      <c r="S210" s="229"/>
      <c r="T210" s="230">
        <f t="shared" si="34"/>
        <v>175.54603434413184</v>
      </c>
      <c r="U210" s="229"/>
      <c r="V210" s="255">
        <f>V200/135.39*100</f>
        <v>175.54592523173596</v>
      </c>
      <c r="W210" s="256"/>
      <c r="X210" s="97"/>
      <c r="Y210" s="61">
        <f t="shared" si="35"/>
        <v>175.54592523173596</v>
      </c>
      <c r="Z210" s="6">
        <f t="shared" si="29"/>
        <v>-1.0911239587585442E-4</v>
      </c>
      <c r="AA210" s="4"/>
      <c r="AB210" s="6">
        <f t="shared" si="30"/>
        <v>-1.0911239587585442E-4</v>
      </c>
      <c r="AD210" s="34"/>
      <c r="AE210" s="34"/>
      <c r="AF210" s="34"/>
      <c r="AG210" s="34"/>
      <c r="AH210" s="34"/>
      <c r="AI210" s="34"/>
      <c r="AJ210" s="34"/>
      <c r="AK210" s="34"/>
      <c r="AL210" s="34"/>
      <c r="AM210" s="34"/>
      <c r="AN210" s="34"/>
      <c r="AO210" s="34"/>
      <c r="AP210" s="34"/>
    </row>
    <row r="211" spans="1:42" ht="67.5" customHeight="1" x14ac:dyDescent="0.25">
      <c r="A211" s="47">
        <v>6</v>
      </c>
      <c r="B211" s="247" t="s">
        <v>59</v>
      </c>
      <c r="C211" s="248"/>
      <c r="D211" s="248"/>
      <c r="E211" s="248"/>
      <c r="F211" s="15"/>
      <c r="G211" s="15"/>
      <c r="H211" s="15"/>
      <c r="I211" s="15"/>
      <c r="J211" s="15"/>
      <c r="K211" s="191" t="s">
        <v>3</v>
      </c>
      <c r="L211" s="257" t="s">
        <v>131</v>
      </c>
      <c r="M211" s="257"/>
      <c r="N211" s="17"/>
      <c r="O211" s="17"/>
      <c r="P211" s="255">
        <f>P191/1000/18.218*100</f>
        <v>0.44351740037325715</v>
      </c>
      <c r="Q211" s="256"/>
      <c r="R211" s="229"/>
      <c r="S211" s="229"/>
      <c r="T211" s="230">
        <f t="shared" si="34"/>
        <v>0.44351740037325715</v>
      </c>
      <c r="U211" s="229"/>
      <c r="V211" s="255">
        <f>V191/1000/18.218*100</f>
        <v>0.18772642441541335</v>
      </c>
      <c r="W211" s="256"/>
      <c r="X211" s="97"/>
      <c r="Y211" s="61">
        <f t="shared" si="35"/>
        <v>0.18772642441541335</v>
      </c>
      <c r="Z211" s="6">
        <f t="shared" si="29"/>
        <v>-0.25579097595784384</v>
      </c>
      <c r="AA211" s="127"/>
      <c r="AB211" s="6">
        <f t="shared" si="30"/>
        <v>-0.25579097595784384</v>
      </c>
      <c r="AD211" s="34"/>
      <c r="AE211" s="34"/>
      <c r="AF211" s="34"/>
      <c r="AG211" s="34"/>
      <c r="AH211" s="34"/>
      <c r="AI211" s="34"/>
      <c r="AJ211" s="34"/>
      <c r="AK211" s="34"/>
      <c r="AL211" s="34"/>
      <c r="AM211" s="34"/>
      <c r="AN211" s="34"/>
      <c r="AO211" s="34"/>
      <c r="AP211" s="34"/>
    </row>
    <row r="212" spans="1:42" ht="20.100000000000001" customHeight="1" x14ac:dyDescent="0.25">
      <c r="A212" s="47"/>
      <c r="B212" s="261" t="s">
        <v>115</v>
      </c>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D212" s="34"/>
      <c r="AE212" s="34"/>
      <c r="AF212" s="34"/>
      <c r="AG212" s="34"/>
      <c r="AH212" s="34"/>
      <c r="AI212" s="34"/>
      <c r="AJ212" s="34"/>
      <c r="AK212" s="34"/>
      <c r="AL212" s="34"/>
      <c r="AM212" s="34"/>
      <c r="AN212" s="34"/>
      <c r="AO212" s="34"/>
      <c r="AP212" s="34"/>
    </row>
    <row r="213" spans="1:42" ht="20.100000000000001" customHeight="1" x14ac:dyDescent="0.25">
      <c r="A213" s="47"/>
      <c r="B213" s="489" t="s">
        <v>245</v>
      </c>
      <c r="C213" s="489"/>
      <c r="D213" s="489"/>
      <c r="E213" s="489"/>
      <c r="F213" s="57"/>
      <c r="G213" s="57"/>
      <c r="H213" s="57"/>
      <c r="I213" s="57"/>
      <c r="J213" s="57"/>
      <c r="K213" s="51"/>
      <c r="L213" s="346"/>
      <c r="M213" s="347"/>
      <c r="N213" s="52"/>
      <c r="O213" s="52"/>
      <c r="P213" s="405"/>
      <c r="Q213" s="406"/>
      <c r="R213" s="404"/>
      <c r="S213" s="404"/>
      <c r="T213" s="404"/>
      <c r="U213" s="404"/>
      <c r="AD213" s="34"/>
      <c r="AE213" s="34"/>
      <c r="AF213" s="34"/>
      <c r="AG213" s="34"/>
      <c r="AH213" s="34"/>
      <c r="AI213" s="34"/>
      <c r="AJ213" s="34"/>
      <c r="AK213" s="34"/>
      <c r="AL213" s="34"/>
      <c r="AM213" s="34"/>
      <c r="AN213" s="34"/>
      <c r="AO213" s="34"/>
      <c r="AP213" s="34"/>
    </row>
    <row r="214" spans="1:42" ht="53.25" customHeight="1" x14ac:dyDescent="0.25">
      <c r="A214" s="47">
        <v>1</v>
      </c>
      <c r="B214" s="248" t="s">
        <v>234</v>
      </c>
      <c r="C214" s="248"/>
      <c r="D214" s="248"/>
      <c r="E214" s="248"/>
      <c r="F214" s="11"/>
      <c r="G214" s="11"/>
      <c r="H214" s="11"/>
      <c r="I214" s="11"/>
      <c r="J214" s="11"/>
      <c r="K214" s="2" t="s">
        <v>124</v>
      </c>
      <c r="L214" s="257" t="s">
        <v>122</v>
      </c>
      <c r="M214" s="257"/>
      <c r="N214" s="3"/>
      <c r="O214" s="3"/>
      <c r="P214" s="253">
        <v>10000</v>
      </c>
      <c r="Q214" s="253"/>
      <c r="R214" s="229"/>
      <c r="S214" s="229"/>
      <c r="T214" s="397">
        <f>P214</f>
        <v>10000</v>
      </c>
      <c r="U214" s="229"/>
      <c r="V214" s="6">
        <v>580.28</v>
      </c>
      <c r="W214" s="6"/>
      <c r="X214" s="6"/>
      <c r="Y214" s="6">
        <f>V214</f>
        <v>580.28</v>
      </c>
      <c r="Z214" s="6">
        <f>V214-P214</f>
        <v>-9419.7199999999993</v>
      </c>
      <c r="AA214" s="6"/>
      <c r="AB214" s="6">
        <f>Z214</f>
        <v>-9419.7199999999993</v>
      </c>
      <c r="AD214" s="34"/>
      <c r="AE214" s="34"/>
      <c r="AF214" s="34"/>
      <c r="AG214" s="34"/>
      <c r="AH214" s="34"/>
      <c r="AI214" s="34"/>
      <c r="AJ214" s="34"/>
      <c r="AK214" s="34"/>
      <c r="AL214" s="34"/>
      <c r="AM214" s="34"/>
      <c r="AN214" s="34"/>
      <c r="AO214" s="34"/>
      <c r="AP214" s="34"/>
    </row>
    <row r="215" spans="1:42" ht="20.100000000000001" customHeight="1" x14ac:dyDescent="0.25">
      <c r="A215" s="47"/>
      <c r="B215" s="382" t="s">
        <v>243</v>
      </c>
      <c r="C215" s="382"/>
      <c r="D215" s="382"/>
      <c r="E215" s="382"/>
      <c r="F215" s="18"/>
      <c r="G215" s="18"/>
      <c r="H215" s="18"/>
      <c r="I215" s="18"/>
      <c r="J215" s="18"/>
      <c r="K215" s="2"/>
      <c r="L215" s="226"/>
      <c r="M215" s="227"/>
      <c r="N215" s="17"/>
      <c r="O215" s="17"/>
      <c r="P215" s="257"/>
      <c r="Q215" s="257"/>
      <c r="R215" s="229"/>
      <c r="S215" s="229"/>
      <c r="T215" s="397"/>
      <c r="U215" s="229"/>
      <c r="V215" s="4"/>
      <c r="W215" s="4"/>
      <c r="X215" s="4"/>
      <c r="Y215" s="4"/>
      <c r="Z215" s="4"/>
      <c r="AA215" s="4"/>
      <c r="AB215" s="4"/>
      <c r="AD215" s="34"/>
      <c r="AE215" s="34"/>
      <c r="AF215" s="34"/>
      <c r="AG215" s="34"/>
      <c r="AH215" s="34"/>
      <c r="AI215" s="34"/>
      <c r="AJ215" s="34"/>
      <c r="AK215" s="34"/>
      <c r="AL215" s="34"/>
      <c r="AM215" s="34"/>
      <c r="AN215" s="34"/>
      <c r="AO215" s="34"/>
      <c r="AP215" s="34"/>
    </row>
    <row r="216" spans="1:42" ht="49.5" customHeight="1" x14ac:dyDescent="0.25">
      <c r="A216" s="47">
        <v>1</v>
      </c>
      <c r="B216" s="271" t="s">
        <v>271</v>
      </c>
      <c r="C216" s="236"/>
      <c r="D216" s="236"/>
      <c r="E216" s="236"/>
      <c r="F216" s="9"/>
      <c r="G216" s="9"/>
      <c r="H216" s="9"/>
      <c r="I216" s="9"/>
      <c r="J216" s="9"/>
      <c r="K216" s="3" t="s">
        <v>165</v>
      </c>
      <c r="L216" s="257" t="s">
        <v>131</v>
      </c>
      <c r="M216" s="257"/>
      <c r="N216" s="3"/>
      <c r="O216" s="3"/>
      <c r="P216" s="258">
        <f>P214/P218/1000</f>
        <v>0.15227653418608192</v>
      </c>
      <c r="Q216" s="259"/>
      <c r="R216" s="264"/>
      <c r="S216" s="264"/>
      <c r="T216" s="264">
        <f>P216</f>
        <v>0.15227653418608192</v>
      </c>
      <c r="U216" s="264"/>
      <c r="V216" s="258"/>
      <c r="W216" s="259"/>
      <c r="X216" s="61"/>
      <c r="Y216" s="61">
        <f>V216</f>
        <v>0</v>
      </c>
      <c r="Z216" s="61">
        <f>V216-P216</f>
        <v>-0.15227653418608192</v>
      </c>
      <c r="AA216" s="61"/>
      <c r="AB216" s="61">
        <f>Z216</f>
        <v>-0.15227653418608192</v>
      </c>
      <c r="AD216" s="34"/>
      <c r="AE216" s="184"/>
      <c r="AF216" s="184"/>
      <c r="AG216" s="184"/>
      <c r="AH216" s="184"/>
      <c r="AI216" s="184"/>
      <c r="AJ216" s="184"/>
      <c r="AK216" s="184"/>
      <c r="AL216" s="34"/>
      <c r="AM216" s="34"/>
      <c r="AN216" s="34"/>
      <c r="AO216" s="34"/>
      <c r="AP216" s="34"/>
    </row>
    <row r="217" spans="1:42" ht="20.100000000000001" customHeight="1" x14ac:dyDescent="0.25">
      <c r="A217" s="47"/>
      <c r="B217" s="382" t="s">
        <v>246</v>
      </c>
      <c r="C217" s="382"/>
      <c r="D217" s="382"/>
      <c r="E217" s="382"/>
      <c r="F217" s="18"/>
      <c r="G217" s="18"/>
      <c r="H217" s="18"/>
      <c r="I217" s="18"/>
      <c r="J217" s="18"/>
      <c r="K217" s="2"/>
      <c r="L217" s="226"/>
      <c r="M217" s="227"/>
      <c r="N217" s="17"/>
      <c r="O217" s="17"/>
      <c r="P217" s="257"/>
      <c r="Q217" s="257"/>
      <c r="R217" s="229"/>
      <c r="S217" s="229"/>
      <c r="T217" s="397"/>
      <c r="U217" s="229"/>
      <c r="V217" s="4"/>
      <c r="W217" s="4"/>
      <c r="X217" s="4"/>
      <c r="Y217" s="4"/>
      <c r="Z217" s="4"/>
      <c r="AA217" s="4"/>
      <c r="AB217" s="4"/>
      <c r="AD217" s="34"/>
      <c r="AE217" s="34"/>
      <c r="AF217" s="34"/>
      <c r="AG217" s="34"/>
      <c r="AH217" s="34"/>
      <c r="AI217" s="34"/>
      <c r="AJ217" s="34"/>
      <c r="AK217" s="34"/>
      <c r="AL217" s="34"/>
      <c r="AM217" s="34"/>
      <c r="AN217" s="34"/>
      <c r="AO217" s="34"/>
      <c r="AP217" s="34"/>
    </row>
    <row r="218" spans="1:42" ht="50.25" customHeight="1" x14ac:dyDescent="0.25">
      <c r="A218" s="47">
        <v>1</v>
      </c>
      <c r="B218" s="307" t="s">
        <v>272</v>
      </c>
      <c r="C218" s="307"/>
      <c r="D218" s="307"/>
      <c r="E218" s="307"/>
      <c r="F218" s="8"/>
      <c r="G218" s="8"/>
      <c r="H218" s="8"/>
      <c r="I218" s="8"/>
      <c r="J218" s="8"/>
      <c r="K218" s="2" t="s">
        <v>124</v>
      </c>
      <c r="L218" s="226" t="s">
        <v>4</v>
      </c>
      <c r="M218" s="227"/>
      <c r="N218" s="17"/>
      <c r="O218" s="17"/>
      <c r="P218" s="253">
        <v>65.67</v>
      </c>
      <c r="Q218" s="253"/>
      <c r="R218" s="264"/>
      <c r="S218" s="264"/>
      <c r="T218" s="264">
        <f>P218</f>
        <v>65.67</v>
      </c>
      <c r="U218" s="264"/>
      <c r="V218" s="253"/>
      <c r="W218" s="253"/>
      <c r="X218" s="61"/>
      <c r="Y218" s="61">
        <f>V218</f>
        <v>0</v>
      </c>
      <c r="Z218" s="61">
        <f>V218-P218</f>
        <v>-65.67</v>
      </c>
      <c r="AA218" s="4"/>
      <c r="AB218" s="61">
        <f>Z218</f>
        <v>-65.67</v>
      </c>
      <c r="AD218" s="34"/>
      <c r="AE218" s="34"/>
      <c r="AF218" s="34"/>
      <c r="AG218" s="34"/>
      <c r="AH218" s="172"/>
      <c r="AI218" s="171"/>
      <c r="AJ218" s="34"/>
      <c r="AK218" s="34"/>
      <c r="AL218" s="34"/>
      <c r="AM218" s="34"/>
      <c r="AN218" s="34"/>
      <c r="AO218" s="34"/>
      <c r="AP218" s="34"/>
    </row>
    <row r="219" spans="1:42" ht="20.100000000000001" customHeight="1" x14ac:dyDescent="0.25">
      <c r="A219" s="47"/>
      <c r="B219" s="382" t="s">
        <v>197</v>
      </c>
      <c r="C219" s="382"/>
      <c r="D219" s="382"/>
      <c r="E219" s="382"/>
      <c r="F219" s="18"/>
      <c r="G219" s="18"/>
      <c r="H219" s="18"/>
      <c r="I219" s="18"/>
      <c r="J219" s="18"/>
      <c r="K219" s="2"/>
      <c r="L219" s="257"/>
      <c r="M219" s="257"/>
      <c r="N219" s="3"/>
      <c r="O219" s="3"/>
      <c r="P219" s="257"/>
      <c r="Q219" s="257"/>
      <c r="R219" s="229"/>
      <c r="S219" s="229"/>
      <c r="T219" s="397"/>
      <c r="U219" s="229"/>
      <c r="V219" s="4"/>
      <c r="W219" s="4"/>
      <c r="X219" s="4"/>
      <c r="Y219" s="4"/>
      <c r="Z219" s="4"/>
      <c r="AA219" s="4"/>
      <c r="AB219" s="4"/>
      <c r="AD219" s="34"/>
      <c r="AE219" s="34"/>
      <c r="AF219" s="34"/>
      <c r="AG219" s="34"/>
      <c r="AH219" s="172"/>
      <c r="AI219" s="34"/>
      <c r="AJ219" s="34"/>
      <c r="AK219" s="34"/>
      <c r="AL219" s="34"/>
      <c r="AM219" s="34"/>
      <c r="AN219" s="34"/>
      <c r="AO219" s="34"/>
      <c r="AP219" s="34"/>
    </row>
    <row r="220" spans="1:42" ht="69.75" customHeight="1" x14ac:dyDescent="0.25">
      <c r="A220" s="47">
        <v>1</v>
      </c>
      <c r="B220" s="271" t="s">
        <v>273</v>
      </c>
      <c r="C220" s="236"/>
      <c r="D220" s="236"/>
      <c r="E220" s="236"/>
      <c r="F220" s="9"/>
      <c r="G220" s="9"/>
      <c r="H220" s="9"/>
      <c r="I220" s="9"/>
      <c r="J220" s="9"/>
      <c r="K220" s="3" t="s">
        <v>270</v>
      </c>
      <c r="L220" s="226" t="s">
        <v>131</v>
      </c>
      <c r="M220" s="227"/>
      <c r="N220" s="17"/>
      <c r="O220" s="17"/>
      <c r="P220" s="228">
        <f>P214/4325.52</f>
        <v>2.3118607704969572</v>
      </c>
      <c r="Q220" s="228"/>
      <c r="R220" s="229"/>
      <c r="S220" s="229"/>
      <c r="T220" s="230">
        <f>P220</f>
        <v>2.3118607704969572</v>
      </c>
      <c r="U220" s="230"/>
      <c r="V220" s="61">
        <f>V218/8.85</f>
        <v>0</v>
      </c>
      <c r="W220" s="137"/>
      <c r="X220" s="61"/>
      <c r="Y220" s="61">
        <f>V220</f>
        <v>0</v>
      </c>
      <c r="Z220" s="61">
        <f>V220-P220</f>
        <v>-2.3118607704969572</v>
      </c>
      <c r="AA220" s="4"/>
      <c r="AB220" s="61">
        <f>Z220</f>
        <v>-2.3118607704969572</v>
      </c>
      <c r="AD220" s="34"/>
      <c r="AE220" s="34"/>
      <c r="AF220" s="34"/>
      <c r="AG220" s="34"/>
      <c r="AH220" s="170"/>
      <c r="AI220" s="34"/>
      <c r="AJ220" s="34"/>
      <c r="AK220" s="34"/>
      <c r="AL220" s="34"/>
      <c r="AM220" s="34"/>
      <c r="AN220" s="34"/>
      <c r="AO220" s="34"/>
      <c r="AP220" s="34"/>
    </row>
    <row r="221" spans="1:42" ht="20.100000000000001" customHeight="1" x14ac:dyDescent="0.25">
      <c r="A221" s="47"/>
      <c r="B221" s="233" t="s">
        <v>116</v>
      </c>
      <c r="C221" s="234"/>
      <c r="D221" s="234"/>
      <c r="E221" s="234"/>
      <c r="F221" s="234"/>
      <c r="G221" s="234"/>
      <c r="H221" s="234"/>
      <c r="I221" s="234"/>
      <c r="J221" s="234"/>
      <c r="K221" s="234"/>
      <c r="L221" s="234"/>
      <c r="M221" s="234"/>
      <c r="N221" s="234"/>
      <c r="O221" s="234"/>
      <c r="P221" s="234"/>
      <c r="Q221" s="269"/>
      <c r="R221" s="268"/>
      <c r="S221" s="268"/>
      <c r="T221" s="268"/>
      <c r="U221" s="268"/>
      <c r="V221" s="37"/>
      <c r="W221" s="37"/>
      <c r="X221" s="37"/>
      <c r="Y221" s="37"/>
      <c r="Z221" s="37"/>
      <c r="AA221" s="37"/>
      <c r="AB221" s="37"/>
      <c r="AD221" s="34"/>
      <c r="AE221" s="34"/>
      <c r="AF221" s="34"/>
      <c r="AG221" s="34"/>
      <c r="AH221" s="34"/>
      <c r="AI221" s="34"/>
      <c r="AJ221" s="34"/>
      <c r="AK221" s="34"/>
      <c r="AL221" s="34"/>
      <c r="AM221" s="34"/>
      <c r="AN221" s="34"/>
      <c r="AO221" s="34"/>
      <c r="AP221" s="34"/>
    </row>
    <row r="222" spans="1:42" ht="20.100000000000001" customHeight="1" x14ac:dyDescent="0.25">
      <c r="A222" s="47"/>
      <c r="B222" s="313" t="s">
        <v>245</v>
      </c>
      <c r="C222" s="314"/>
      <c r="D222" s="314"/>
      <c r="E222" s="314"/>
      <c r="F222" s="46"/>
      <c r="G222" s="46"/>
      <c r="H222" s="46"/>
      <c r="I222" s="46"/>
      <c r="J222" s="46"/>
      <c r="K222" s="3"/>
      <c r="L222" s="257"/>
      <c r="M222" s="257"/>
      <c r="N222" s="3"/>
      <c r="O222" s="3"/>
      <c r="P222" s="257"/>
      <c r="Q222" s="312"/>
      <c r="R222" s="268"/>
      <c r="S222" s="268"/>
      <c r="T222" s="268"/>
      <c r="U222" s="268"/>
      <c r="V222" s="37"/>
      <c r="W222" s="37"/>
      <c r="X222" s="37"/>
      <c r="Y222" s="37"/>
      <c r="Z222" s="37"/>
      <c r="AA222" s="37"/>
      <c r="AB222" s="37"/>
      <c r="AD222" s="34"/>
      <c r="AE222" s="34"/>
      <c r="AF222" s="34"/>
      <c r="AG222" s="34"/>
      <c r="AH222" s="34"/>
      <c r="AI222" s="34"/>
      <c r="AJ222" s="34"/>
      <c r="AK222" s="34"/>
      <c r="AL222" s="34"/>
      <c r="AM222" s="34"/>
      <c r="AN222" s="34"/>
      <c r="AO222" s="34"/>
      <c r="AP222" s="34"/>
    </row>
    <row r="223" spans="1:42" ht="20.100000000000001" customHeight="1" x14ac:dyDescent="0.25">
      <c r="A223" s="47"/>
      <c r="B223" s="263" t="s">
        <v>118</v>
      </c>
      <c r="C223" s="235"/>
      <c r="D223" s="235"/>
      <c r="E223" s="235"/>
      <c r="F223" s="12"/>
      <c r="G223" s="12"/>
      <c r="H223" s="12"/>
      <c r="I223" s="12"/>
      <c r="J223" s="12"/>
      <c r="K223" s="3" t="s">
        <v>124</v>
      </c>
      <c r="L223" s="257" t="s">
        <v>122</v>
      </c>
      <c r="M223" s="257"/>
      <c r="N223" s="3"/>
      <c r="O223" s="3"/>
      <c r="P223" s="253">
        <f>SUM(P224:Q231)</f>
        <v>3390000</v>
      </c>
      <c r="Q223" s="253"/>
      <c r="R223" s="230"/>
      <c r="S223" s="230"/>
      <c r="T223" s="230">
        <f>P223</f>
        <v>3390000</v>
      </c>
      <c r="U223" s="230"/>
      <c r="V223" s="6">
        <f>SUM(V224:V231)</f>
        <v>1618536.9999999998</v>
      </c>
      <c r="W223" s="6"/>
      <c r="X223" s="6"/>
      <c r="Y223" s="6">
        <f>V223</f>
        <v>1618536.9999999998</v>
      </c>
      <c r="Z223" s="6">
        <f>V223-P223</f>
        <v>-1771463.0000000002</v>
      </c>
      <c r="AA223" s="6"/>
      <c r="AB223" s="6">
        <f>Z223</f>
        <v>-1771463.0000000002</v>
      </c>
      <c r="AD223" s="34"/>
      <c r="AE223" s="34"/>
      <c r="AF223" s="34"/>
      <c r="AG223" s="34"/>
      <c r="AH223" s="34"/>
      <c r="AI223" s="34"/>
      <c r="AJ223" s="34"/>
      <c r="AK223" s="34"/>
      <c r="AL223" s="34"/>
      <c r="AM223" s="34"/>
      <c r="AN223" s="34"/>
      <c r="AO223" s="34"/>
      <c r="AP223" s="34"/>
    </row>
    <row r="224" spans="1:42" ht="20.100000000000001" customHeight="1" x14ac:dyDescent="0.25">
      <c r="A224" s="47">
        <v>1</v>
      </c>
      <c r="B224" s="271" t="s">
        <v>166</v>
      </c>
      <c r="C224" s="236"/>
      <c r="D224" s="236"/>
      <c r="E224" s="236"/>
      <c r="F224" s="9"/>
      <c r="G224" s="9"/>
      <c r="H224" s="9"/>
      <c r="I224" s="9"/>
      <c r="J224" s="9"/>
      <c r="K224" s="3" t="s">
        <v>124</v>
      </c>
      <c r="L224" s="381" t="s">
        <v>123</v>
      </c>
      <c r="M224" s="381"/>
      <c r="N224" s="3"/>
      <c r="O224" s="3"/>
      <c r="P224" s="253">
        <v>97000</v>
      </c>
      <c r="Q224" s="310"/>
      <c r="R224" s="230"/>
      <c r="S224" s="230"/>
      <c r="T224" s="230">
        <f t="shared" ref="T224:T249" si="36">P224</f>
        <v>97000</v>
      </c>
      <c r="U224" s="230"/>
      <c r="V224" s="6">
        <v>44210</v>
      </c>
      <c r="W224" s="6"/>
      <c r="X224" s="6"/>
      <c r="Y224" s="6">
        <f t="shared" ref="Y224:Y249" si="37">V224</f>
        <v>44210</v>
      </c>
      <c r="Z224" s="6">
        <f t="shared" ref="Z224:Z254" si="38">V224-P224</f>
        <v>-52790</v>
      </c>
      <c r="AA224" s="6"/>
      <c r="AB224" s="6">
        <f t="shared" ref="AB224:AB254" si="39">Z224</f>
        <v>-52790</v>
      </c>
      <c r="AD224" s="34"/>
      <c r="AE224" s="34"/>
      <c r="AF224" s="34"/>
      <c r="AG224" s="34"/>
      <c r="AH224" s="34"/>
      <c r="AI224" s="34"/>
      <c r="AJ224" s="34"/>
      <c r="AK224" s="34"/>
      <c r="AL224" s="34"/>
      <c r="AM224" s="34"/>
      <c r="AN224" s="34"/>
      <c r="AO224" s="34"/>
      <c r="AP224" s="34"/>
    </row>
    <row r="225" spans="1:51" ht="48" customHeight="1" x14ac:dyDescent="0.25">
      <c r="A225" s="47">
        <f>A224+1</f>
        <v>2</v>
      </c>
      <c r="B225" s="273" t="s">
        <v>274</v>
      </c>
      <c r="C225" s="274"/>
      <c r="D225" s="274"/>
      <c r="E225" s="274"/>
      <c r="F225" s="274"/>
      <c r="G225" s="274"/>
      <c r="H225" s="274"/>
      <c r="I225" s="274"/>
      <c r="J225" s="311"/>
      <c r="K225" s="3" t="s">
        <v>124</v>
      </c>
      <c r="L225" s="381" t="s">
        <v>123</v>
      </c>
      <c r="M225" s="381"/>
      <c r="N225" s="13"/>
      <c r="O225" s="13"/>
      <c r="P225" s="230">
        <v>1000000</v>
      </c>
      <c r="Q225" s="230"/>
      <c r="R225" s="230"/>
      <c r="S225" s="230"/>
      <c r="T225" s="230">
        <f t="shared" si="36"/>
        <v>1000000</v>
      </c>
      <c r="U225" s="230"/>
      <c r="V225" s="6">
        <v>0</v>
      </c>
      <c r="W225" s="6"/>
      <c r="X225" s="6"/>
      <c r="Y225" s="6">
        <f t="shared" si="37"/>
        <v>0</v>
      </c>
      <c r="Z225" s="6">
        <f t="shared" si="38"/>
        <v>-1000000</v>
      </c>
      <c r="AA225" s="6"/>
      <c r="AB225" s="6">
        <f t="shared" si="39"/>
        <v>-1000000</v>
      </c>
      <c r="AD225" s="60"/>
      <c r="AE225" s="34"/>
      <c r="AF225" s="34"/>
      <c r="AG225" s="34"/>
      <c r="AH225" s="34"/>
      <c r="AI225" s="34"/>
      <c r="AJ225" s="34"/>
      <c r="AK225" s="34"/>
      <c r="AL225" s="34"/>
      <c r="AM225" s="34"/>
      <c r="AN225" s="34"/>
      <c r="AO225" s="34"/>
      <c r="AP225" s="34"/>
    </row>
    <row r="226" spans="1:51" ht="20.100000000000001" customHeight="1" x14ac:dyDescent="0.25">
      <c r="A226" s="47">
        <f t="shared" ref="A226:A231" si="40">A225+1</f>
        <v>3</v>
      </c>
      <c r="B226" s="315" t="s">
        <v>336</v>
      </c>
      <c r="C226" s="316"/>
      <c r="D226" s="316"/>
      <c r="E226" s="316"/>
      <c r="F226" s="316"/>
      <c r="G226" s="316"/>
      <c r="H226" s="316"/>
      <c r="I226" s="316"/>
      <c r="J226" s="317"/>
      <c r="K226" s="3" t="s">
        <v>124</v>
      </c>
      <c r="L226" s="381" t="s">
        <v>123</v>
      </c>
      <c r="M226" s="381"/>
      <c r="N226" s="13"/>
      <c r="O226" s="13"/>
      <c r="P226" s="230">
        <v>550000</v>
      </c>
      <c r="Q226" s="230"/>
      <c r="R226" s="230"/>
      <c r="S226" s="230"/>
      <c r="T226" s="230">
        <f t="shared" si="36"/>
        <v>550000</v>
      </c>
      <c r="U226" s="230"/>
      <c r="V226" s="6">
        <v>543850.94999999995</v>
      </c>
      <c r="W226" s="6"/>
      <c r="X226" s="6"/>
      <c r="Y226" s="6">
        <f t="shared" si="37"/>
        <v>543850.94999999995</v>
      </c>
      <c r="Z226" s="6">
        <f t="shared" si="38"/>
        <v>-6149.0500000000466</v>
      </c>
      <c r="AA226" s="6"/>
      <c r="AB226" s="6">
        <f t="shared" si="39"/>
        <v>-6149.0500000000466</v>
      </c>
      <c r="AD226" s="34"/>
      <c r="AE226" s="34"/>
      <c r="AF226" s="34"/>
      <c r="AG226" s="34"/>
      <c r="AH226" s="34"/>
      <c r="AI226" s="34"/>
      <c r="AJ226" s="34"/>
      <c r="AK226" s="34"/>
      <c r="AL226" s="34"/>
      <c r="AM226" s="34"/>
      <c r="AN226" s="34"/>
      <c r="AO226" s="34"/>
      <c r="AP226" s="34"/>
    </row>
    <row r="227" spans="1:51" ht="49.5" customHeight="1" x14ac:dyDescent="0.25">
      <c r="A227" s="47">
        <f t="shared" si="40"/>
        <v>4</v>
      </c>
      <c r="B227" s="273" t="s">
        <v>167</v>
      </c>
      <c r="C227" s="274"/>
      <c r="D227" s="274"/>
      <c r="E227" s="274"/>
      <c r="F227" s="274"/>
      <c r="G227" s="274"/>
      <c r="H227" s="274"/>
      <c r="I227" s="274"/>
      <c r="J227" s="311"/>
      <c r="K227" s="3" t="s">
        <v>124</v>
      </c>
      <c r="L227" s="381" t="s">
        <v>123</v>
      </c>
      <c r="M227" s="381"/>
      <c r="N227" s="13"/>
      <c r="O227" s="13"/>
      <c r="P227" s="230">
        <v>500000</v>
      </c>
      <c r="Q227" s="230"/>
      <c r="R227" s="230"/>
      <c r="S227" s="230"/>
      <c r="T227" s="230">
        <f t="shared" si="36"/>
        <v>500000</v>
      </c>
      <c r="U227" s="230"/>
      <c r="V227" s="6">
        <v>0</v>
      </c>
      <c r="W227" s="6"/>
      <c r="X227" s="6"/>
      <c r="Y227" s="6">
        <f t="shared" si="37"/>
        <v>0</v>
      </c>
      <c r="Z227" s="6">
        <f t="shared" si="38"/>
        <v>-500000</v>
      </c>
      <c r="AA227" s="6"/>
      <c r="AB227" s="6">
        <f t="shared" si="39"/>
        <v>-500000</v>
      </c>
      <c r="AD227" s="60"/>
      <c r="AE227" s="34"/>
      <c r="AF227" s="34"/>
      <c r="AG227" s="34"/>
      <c r="AH227" s="34"/>
      <c r="AI227" s="34"/>
      <c r="AJ227" s="34"/>
      <c r="AK227" s="34"/>
      <c r="AL227" s="34"/>
      <c r="AM227" s="34"/>
      <c r="AN227" s="34"/>
      <c r="AO227" s="34"/>
      <c r="AP227" s="34"/>
    </row>
    <row r="228" spans="1:51" ht="51" customHeight="1" x14ac:dyDescent="0.25">
      <c r="A228" s="47">
        <f t="shared" si="40"/>
        <v>5</v>
      </c>
      <c r="B228" s="401" t="s">
        <v>233</v>
      </c>
      <c r="C228" s="402"/>
      <c r="D228" s="402"/>
      <c r="E228" s="402"/>
      <c r="F228" s="402"/>
      <c r="G228" s="402"/>
      <c r="H228" s="402"/>
      <c r="I228" s="402"/>
      <c r="J228" s="403"/>
      <c r="K228" s="3" t="s">
        <v>124</v>
      </c>
      <c r="L228" s="257" t="s">
        <v>123</v>
      </c>
      <c r="M228" s="257"/>
      <c r="N228" s="3"/>
      <c r="O228" s="3"/>
      <c r="P228" s="230">
        <v>18000</v>
      </c>
      <c r="Q228" s="230"/>
      <c r="R228" s="230"/>
      <c r="S228" s="230"/>
      <c r="T228" s="230">
        <f t="shared" si="36"/>
        <v>18000</v>
      </c>
      <c r="U228" s="230"/>
      <c r="V228" s="6">
        <v>0</v>
      </c>
      <c r="W228" s="6"/>
      <c r="X228" s="6"/>
      <c r="Y228" s="6">
        <f t="shared" si="37"/>
        <v>0</v>
      </c>
      <c r="Z228" s="6">
        <f t="shared" si="38"/>
        <v>-18000</v>
      </c>
      <c r="AA228" s="6"/>
      <c r="AB228" s="6">
        <f t="shared" si="39"/>
        <v>-18000</v>
      </c>
      <c r="AD228" s="60"/>
      <c r="AE228" s="34"/>
      <c r="AF228" s="34"/>
      <c r="AG228" s="34"/>
      <c r="AH228" s="34"/>
      <c r="AI228" s="34"/>
      <c r="AJ228" s="34"/>
      <c r="AK228" s="34"/>
      <c r="AL228" s="34"/>
      <c r="AM228" s="34"/>
      <c r="AN228" s="34"/>
      <c r="AO228" s="34"/>
      <c r="AP228" s="34"/>
    </row>
    <row r="229" spans="1:51" ht="34.5" customHeight="1" x14ac:dyDescent="0.25">
      <c r="A229" s="47">
        <f t="shared" si="40"/>
        <v>6</v>
      </c>
      <c r="B229" s="398" t="s">
        <v>41</v>
      </c>
      <c r="C229" s="399"/>
      <c r="D229" s="399"/>
      <c r="E229" s="399"/>
      <c r="F229" s="399"/>
      <c r="G229" s="399"/>
      <c r="H229" s="399"/>
      <c r="I229" s="399"/>
      <c r="J229" s="400"/>
      <c r="K229" s="3" t="s">
        <v>124</v>
      </c>
      <c r="L229" s="257" t="s">
        <v>123</v>
      </c>
      <c r="M229" s="257"/>
      <c r="N229" s="3"/>
      <c r="O229" s="3"/>
      <c r="P229" s="230">
        <v>500000</v>
      </c>
      <c r="Q229" s="230"/>
      <c r="R229" s="230"/>
      <c r="S229" s="230"/>
      <c r="T229" s="230">
        <f t="shared" si="36"/>
        <v>500000</v>
      </c>
      <c r="U229" s="230"/>
      <c r="V229" s="6">
        <v>499978.91</v>
      </c>
      <c r="W229" s="6"/>
      <c r="X229" s="6"/>
      <c r="Y229" s="6">
        <f t="shared" si="37"/>
        <v>499978.91</v>
      </c>
      <c r="Z229" s="6">
        <f t="shared" si="38"/>
        <v>-21.090000000025611</v>
      </c>
      <c r="AA229" s="6"/>
      <c r="AB229" s="6">
        <f t="shared" si="39"/>
        <v>-21.090000000025611</v>
      </c>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row>
    <row r="230" spans="1:51" ht="50.25" customHeight="1" x14ac:dyDescent="0.25">
      <c r="A230" s="47">
        <f t="shared" si="40"/>
        <v>7</v>
      </c>
      <c r="B230" s="305" t="s">
        <v>42</v>
      </c>
      <c r="C230" s="306"/>
      <c r="D230" s="306"/>
      <c r="E230" s="306"/>
      <c r="F230" s="306"/>
      <c r="G230" s="306"/>
      <c r="H230" s="306"/>
      <c r="I230" s="306"/>
      <c r="J230" s="290"/>
      <c r="K230" s="3" t="s">
        <v>124</v>
      </c>
      <c r="L230" s="257" t="s">
        <v>123</v>
      </c>
      <c r="M230" s="257"/>
      <c r="N230" s="3"/>
      <c r="O230" s="3"/>
      <c r="P230" s="230">
        <v>25000</v>
      </c>
      <c r="Q230" s="230"/>
      <c r="R230" s="230"/>
      <c r="S230" s="230"/>
      <c r="T230" s="230">
        <f t="shared" si="36"/>
        <v>25000</v>
      </c>
      <c r="U230" s="230"/>
      <c r="V230" s="6">
        <v>23747.65</v>
      </c>
      <c r="W230" s="6"/>
      <c r="X230" s="6"/>
      <c r="Y230" s="6">
        <f t="shared" si="37"/>
        <v>23747.65</v>
      </c>
      <c r="Z230" s="6">
        <f t="shared" si="38"/>
        <v>-1252.3499999999985</v>
      </c>
      <c r="AA230" s="6"/>
      <c r="AB230" s="6">
        <f t="shared" si="39"/>
        <v>-1252.3499999999985</v>
      </c>
      <c r="AD230" s="60"/>
      <c r="AE230" s="185"/>
      <c r="AF230" s="185"/>
      <c r="AG230" s="185"/>
      <c r="AH230" s="185"/>
      <c r="AI230" s="185"/>
      <c r="AJ230" s="185"/>
      <c r="AK230" s="185"/>
      <c r="AL230" s="185"/>
      <c r="AM230" s="185"/>
      <c r="AN230" s="185"/>
      <c r="AO230" s="185"/>
      <c r="AP230" s="185"/>
      <c r="AQ230" s="185"/>
      <c r="AR230" s="185"/>
      <c r="AS230" s="185"/>
      <c r="AT230" s="185"/>
      <c r="AU230" s="185"/>
      <c r="AV230" s="185"/>
      <c r="AW230" s="185"/>
      <c r="AX230" s="34"/>
      <c r="AY230" s="34"/>
    </row>
    <row r="231" spans="1:51" ht="68.25" customHeight="1" x14ac:dyDescent="0.25">
      <c r="A231" s="47">
        <f t="shared" si="40"/>
        <v>8</v>
      </c>
      <c r="B231" s="250" t="s">
        <v>43</v>
      </c>
      <c r="C231" s="251"/>
      <c r="D231" s="251"/>
      <c r="E231" s="252"/>
      <c r="F231" s="155" t="s">
        <v>261</v>
      </c>
      <c r="G231" s="155" t="s">
        <v>261</v>
      </c>
      <c r="H231" s="155" t="s">
        <v>261</v>
      </c>
      <c r="I231" s="155" t="s">
        <v>261</v>
      </c>
      <c r="J231" s="155" t="s">
        <v>261</v>
      </c>
      <c r="K231" s="3" t="s">
        <v>124</v>
      </c>
      <c r="L231" s="257" t="s">
        <v>123</v>
      </c>
      <c r="M231" s="257"/>
      <c r="N231" s="257" t="s">
        <v>123</v>
      </c>
      <c r="O231" s="257"/>
      <c r="P231" s="230">
        <v>700000</v>
      </c>
      <c r="Q231" s="230"/>
      <c r="R231" s="230"/>
      <c r="S231" s="230"/>
      <c r="T231" s="230">
        <f t="shared" si="36"/>
        <v>700000</v>
      </c>
      <c r="U231" s="230"/>
      <c r="V231" s="6">
        <v>506749.49</v>
      </c>
      <c r="W231" s="6"/>
      <c r="X231" s="6"/>
      <c r="Y231" s="6">
        <f t="shared" si="37"/>
        <v>506749.49</v>
      </c>
      <c r="Z231" s="6">
        <f t="shared" si="38"/>
        <v>-193250.51</v>
      </c>
      <c r="AA231" s="6"/>
      <c r="AB231" s="6">
        <f t="shared" si="39"/>
        <v>-193250.51</v>
      </c>
      <c r="AD231" s="60"/>
      <c r="AE231" s="185"/>
      <c r="AF231" s="185"/>
      <c r="AG231" s="185"/>
      <c r="AH231" s="185"/>
      <c r="AI231" s="185"/>
      <c r="AJ231" s="185"/>
      <c r="AK231" s="185"/>
      <c r="AL231" s="185"/>
      <c r="AM231" s="185"/>
      <c r="AN231" s="185"/>
      <c r="AO231" s="185"/>
      <c r="AP231" s="185"/>
      <c r="AQ231" s="185"/>
      <c r="AR231" s="185"/>
      <c r="AS231" s="185"/>
      <c r="AT231" s="185"/>
      <c r="AU231" s="185"/>
      <c r="AV231" s="185"/>
      <c r="AW231" s="185"/>
      <c r="AX231" s="34"/>
      <c r="AY231" s="34"/>
    </row>
    <row r="232" spans="1:51" ht="20.100000000000001" customHeight="1" x14ac:dyDescent="0.25">
      <c r="A232" s="47"/>
      <c r="B232" s="375" t="s">
        <v>195</v>
      </c>
      <c r="C232" s="376"/>
      <c r="D232" s="376"/>
      <c r="E232" s="313"/>
      <c r="F232" s="46"/>
      <c r="G232" s="46"/>
      <c r="H232" s="46"/>
      <c r="I232" s="46"/>
      <c r="J232" s="46"/>
      <c r="K232" s="3"/>
      <c r="L232" s="226"/>
      <c r="M232" s="275"/>
      <c r="N232" s="3"/>
      <c r="O232" s="3"/>
      <c r="P232" s="349"/>
      <c r="Q232" s="350"/>
      <c r="R232" s="354"/>
      <c r="S232" s="355"/>
      <c r="T232" s="490"/>
      <c r="U232" s="491"/>
      <c r="V232" s="5"/>
      <c r="W232" s="5"/>
      <c r="X232" s="5"/>
      <c r="Y232" s="5"/>
      <c r="Z232" s="49"/>
      <c r="AA232" s="5"/>
      <c r="AB232" s="49"/>
      <c r="AD232" s="34"/>
      <c r="AE232" s="34"/>
      <c r="AF232" s="34"/>
      <c r="AG232" s="34"/>
      <c r="AH232" s="34"/>
      <c r="AI232" s="34"/>
      <c r="AJ232" s="34"/>
      <c r="AK232" s="34"/>
      <c r="AL232" s="34"/>
      <c r="AM232" s="34"/>
      <c r="AN232" s="34"/>
      <c r="AO232" s="34"/>
      <c r="AP232" s="34"/>
    </row>
    <row r="233" spans="1:51" ht="20.100000000000001" customHeight="1" x14ac:dyDescent="0.25">
      <c r="A233" s="47">
        <v>1</v>
      </c>
      <c r="B233" s="271" t="s">
        <v>166</v>
      </c>
      <c r="C233" s="236"/>
      <c r="D233" s="236"/>
      <c r="E233" s="236"/>
      <c r="F233" s="9"/>
      <c r="G233" s="9"/>
      <c r="H233" s="9"/>
      <c r="I233" s="9"/>
      <c r="J233" s="9"/>
      <c r="K233" s="3" t="s">
        <v>126</v>
      </c>
      <c r="L233" s="257" t="s">
        <v>123</v>
      </c>
      <c r="M233" s="257"/>
      <c r="N233" s="3"/>
      <c r="O233" s="3"/>
      <c r="P233" s="266">
        <v>1</v>
      </c>
      <c r="Q233" s="266"/>
      <c r="R233" s="229"/>
      <c r="S233" s="229"/>
      <c r="T233" s="288">
        <f t="shared" si="36"/>
        <v>1</v>
      </c>
      <c r="U233" s="288"/>
      <c r="V233" s="130">
        <v>1</v>
      </c>
      <c r="W233" s="130"/>
      <c r="X233" s="130"/>
      <c r="Y233" s="4">
        <f t="shared" si="37"/>
        <v>1</v>
      </c>
      <c r="Z233" s="95">
        <f t="shared" si="38"/>
        <v>0</v>
      </c>
      <c r="AA233" s="95"/>
      <c r="AB233" s="95">
        <f t="shared" si="39"/>
        <v>0</v>
      </c>
      <c r="AD233" s="34"/>
      <c r="AE233" s="34"/>
      <c r="AF233" s="34"/>
      <c r="AG233" s="34"/>
      <c r="AH233" s="34"/>
      <c r="AI233" s="34"/>
      <c r="AJ233" s="34"/>
      <c r="AK233" s="34"/>
      <c r="AL233" s="34"/>
      <c r="AM233" s="34"/>
      <c r="AN233" s="34"/>
      <c r="AO233" s="34"/>
      <c r="AP233" s="34"/>
    </row>
    <row r="234" spans="1:51" ht="34.5" customHeight="1" x14ac:dyDescent="0.25">
      <c r="A234" s="47">
        <v>2</v>
      </c>
      <c r="B234" s="271" t="s">
        <v>168</v>
      </c>
      <c r="C234" s="236"/>
      <c r="D234" s="236"/>
      <c r="E234" s="236"/>
      <c r="F234" s="9"/>
      <c r="G234" s="9"/>
      <c r="H234" s="9"/>
      <c r="I234" s="9"/>
      <c r="J234" s="9"/>
      <c r="K234" s="3" t="s">
        <v>126</v>
      </c>
      <c r="L234" s="257" t="s">
        <v>123</v>
      </c>
      <c r="M234" s="257"/>
      <c r="N234" s="3"/>
      <c r="O234" s="3"/>
      <c r="P234" s="266">
        <v>3</v>
      </c>
      <c r="Q234" s="266"/>
      <c r="R234" s="229"/>
      <c r="S234" s="229"/>
      <c r="T234" s="288">
        <f t="shared" si="36"/>
        <v>3</v>
      </c>
      <c r="U234" s="288"/>
      <c r="V234" s="130">
        <v>2</v>
      </c>
      <c r="W234" s="130"/>
      <c r="X234" s="130"/>
      <c r="Y234" s="4">
        <f t="shared" si="37"/>
        <v>2</v>
      </c>
      <c r="Z234" s="95">
        <f t="shared" si="38"/>
        <v>-1</v>
      </c>
      <c r="AA234" s="95"/>
      <c r="AB234" s="95">
        <f t="shared" si="39"/>
        <v>-1</v>
      </c>
      <c r="AD234" s="34"/>
      <c r="AE234" s="34"/>
      <c r="AF234" s="34"/>
      <c r="AG234" s="34"/>
      <c r="AH234" s="34"/>
      <c r="AI234" s="34"/>
      <c r="AJ234" s="34"/>
      <c r="AK234" s="34"/>
      <c r="AL234" s="34"/>
      <c r="AM234" s="34"/>
      <c r="AN234" s="34"/>
      <c r="AO234" s="34"/>
      <c r="AP234" s="34"/>
    </row>
    <row r="235" spans="1:51" ht="36" customHeight="1" x14ac:dyDescent="0.25">
      <c r="A235" s="47">
        <v>3</v>
      </c>
      <c r="B235" s="271" t="s">
        <v>169</v>
      </c>
      <c r="C235" s="236"/>
      <c r="D235" s="236"/>
      <c r="E235" s="236"/>
      <c r="F235" s="9"/>
      <c r="G235" s="9"/>
      <c r="H235" s="9"/>
      <c r="I235" s="9"/>
      <c r="J235" s="9"/>
      <c r="K235" s="3" t="s">
        <v>126</v>
      </c>
      <c r="L235" s="343" t="s">
        <v>235</v>
      </c>
      <c r="M235" s="344"/>
      <c r="N235" s="344"/>
      <c r="O235" s="345"/>
      <c r="P235" s="265">
        <v>27</v>
      </c>
      <c r="Q235" s="265"/>
      <c r="R235" s="229"/>
      <c r="S235" s="229"/>
      <c r="T235" s="288">
        <f t="shared" si="36"/>
        <v>27</v>
      </c>
      <c r="U235" s="288"/>
      <c r="V235" s="129">
        <v>0</v>
      </c>
      <c r="W235" s="129"/>
      <c r="X235" s="129"/>
      <c r="Y235" s="4">
        <f t="shared" si="37"/>
        <v>0</v>
      </c>
      <c r="Z235" s="95">
        <f t="shared" si="38"/>
        <v>-27</v>
      </c>
      <c r="AA235" s="95"/>
      <c r="AB235" s="95">
        <f t="shared" si="39"/>
        <v>-27</v>
      </c>
      <c r="AD235" s="34"/>
      <c r="AE235" s="34"/>
      <c r="AF235" s="34"/>
      <c r="AG235" s="34"/>
      <c r="AH235" s="34"/>
      <c r="AI235" s="34"/>
      <c r="AJ235" s="34"/>
      <c r="AK235" s="34"/>
      <c r="AL235" s="34"/>
      <c r="AM235" s="34"/>
      <c r="AN235" s="34"/>
      <c r="AO235" s="34"/>
      <c r="AP235" s="34"/>
    </row>
    <row r="236" spans="1:51" ht="33.75" customHeight="1" x14ac:dyDescent="0.25">
      <c r="A236" s="47">
        <v>4</v>
      </c>
      <c r="B236" s="271" t="s">
        <v>170</v>
      </c>
      <c r="C236" s="236"/>
      <c r="D236" s="236"/>
      <c r="E236" s="236"/>
      <c r="F236" s="9"/>
      <c r="G236" s="9"/>
      <c r="H236" s="9"/>
      <c r="I236" s="9"/>
      <c r="J236" s="9"/>
      <c r="K236" s="3" t="s">
        <v>126</v>
      </c>
      <c r="L236" s="346"/>
      <c r="M236" s="347"/>
      <c r="N236" s="347"/>
      <c r="O236" s="348"/>
      <c r="P236" s="265">
        <v>11</v>
      </c>
      <c r="Q236" s="265"/>
      <c r="R236" s="229"/>
      <c r="S236" s="229"/>
      <c r="T236" s="288">
        <f t="shared" si="36"/>
        <v>11</v>
      </c>
      <c r="U236" s="288"/>
      <c r="V236" s="129">
        <v>0</v>
      </c>
      <c r="W236" s="129"/>
      <c r="X236" s="129"/>
      <c r="Y236" s="4">
        <f t="shared" si="37"/>
        <v>0</v>
      </c>
      <c r="Z236" s="95">
        <f t="shared" si="38"/>
        <v>-11</v>
      </c>
      <c r="AA236" s="95"/>
      <c r="AB236" s="95">
        <f t="shared" si="39"/>
        <v>-11</v>
      </c>
      <c r="AD236" s="34"/>
      <c r="AE236" s="34"/>
      <c r="AF236" s="34"/>
      <c r="AG236" s="34"/>
      <c r="AH236" s="34"/>
      <c r="AI236" s="34"/>
      <c r="AJ236" s="34"/>
      <c r="AK236" s="34"/>
      <c r="AL236" s="34"/>
      <c r="AM236" s="34"/>
      <c r="AN236" s="34"/>
      <c r="AO236" s="34"/>
      <c r="AP236" s="34"/>
    </row>
    <row r="237" spans="1:51" ht="33.75" customHeight="1" x14ac:dyDescent="0.25">
      <c r="A237" s="47">
        <v>5</v>
      </c>
      <c r="B237" s="305" t="s">
        <v>171</v>
      </c>
      <c r="C237" s="306"/>
      <c r="D237" s="306"/>
      <c r="E237" s="306"/>
      <c r="F237" s="306"/>
      <c r="G237" s="306"/>
      <c r="H237" s="306"/>
      <c r="I237" s="306"/>
      <c r="J237" s="290"/>
      <c r="K237" s="3" t="s">
        <v>126</v>
      </c>
      <c r="L237" s="257" t="s">
        <v>123</v>
      </c>
      <c r="M237" s="257"/>
      <c r="N237" s="257" t="s">
        <v>123</v>
      </c>
      <c r="O237" s="257"/>
      <c r="P237" s="265">
        <v>34</v>
      </c>
      <c r="Q237" s="265"/>
      <c r="R237" s="229"/>
      <c r="S237" s="229"/>
      <c r="T237" s="288">
        <f t="shared" si="36"/>
        <v>34</v>
      </c>
      <c r="U237" s="288"/>
      <c r="V237" s="129">
        <v>0</v>
      </c>
      <c r="W237" s="129"/>
      <c r="X237" s="129"/>
      <c r="Y237" s="4">
        <f t="shared" si="37"/>
        <v>0</v>
      </c>
      <c r="Z237" s="95">
        <f t="shared" si="38"/>
        <v>-34</v>
      </c>
      <c r="AA237" s="95"/>
      <c r="AB237" s="95">
        <f t="shared" si="39"/>
        <v>-34</v>
      </c>
      <c r="AD237" s="34"/>
      <c r="AE237" s="34"/>
      <c r="AF237" s="34"/>
      <c r="AG237" s="34"/>
      <c r="AH237" s="34"/>
      <c r="AI237" s="34"/>
      <c r="AJ237" s="34"/>
      <c r="AK237" s="34"/>
      <c r="AL237" s="34"/>
      <c r="AM237" s="34"/>
      <c r="AN237" s="34"/>
      <c r="AO237" s="34"/>
      <c r="AP237" s="34"/>
    </row>
    <row r="238" spans="1:51" ht="20.100000000000001" customHeight="1" x14ac:dyDescent="0.25">
      <c r="A238" s="47"/>
      <c r="B238" s="313" t="s">
        <v>196</v>
      </c>
      <c r="C238" s="314"/>
      <c r="D238" s="314"/>
      <c r="E238" s="314"/>
      <c r="F238" s="46"/>
      <c r="G238" s="46"/>
      <c r="H238" s="46"/>
      <c r="I238" s="46"/>
      <c r="J238" s="46"/>
      <c r="K238" s="3"/>
      <c r="L238" s="257"/>
      <c r="M238" s="257"/>
      <c r="N238" s="3"/>
      <c r="O238" s="3"/>
      <c r="P238" s="257"/>
      <c r="Q238" s="257"/>
      <c r="R238" s="229"/>
      <c r="S238" s="229"/>
      <c r="T238" s="230"/>
      <c r="U238" s="229"/>
      <c r="V238" s="4"/>
      <c r="W238" s="4"/>
      <c r="X238" s="4"/>
      <c r="Y238" s="4"/>
      <c r="Z238" s="6"/>
      <c r="AA238" s="4"/>
      <c r="AB238" s="6"/>
      <c r="AD238" s="34"/>
      <c r="AE238" s="34"/>
      <c r="AF238" s="34"/>
      <c r="AG238" s="34"/>
      <c r="AH238" s="34"/>
      <c r="AI238" s="34"/>
      <c r="AJ238" s="34"/>
      <c r="AK238" s="34"/>
      <c r="AL238" s="34"/>
      <c r="AM238" s="34"/>
      <c r="AN238" s="34"/>
      <c r="AO238" s="34"/>
      <c r="AP238" s="34"/>
    </row>
    <row r="239" spans="1:51" ht="21" customHeight="1" x14ac:dyDescent="0.25">
      <c r="A239" s="47">
        <v>1</v>
      </c>
      <c r="B239" s="271" t="s">
        <v>172</v>
      </c>
      <c r="C239" s="236"/>
      <c r="D239" s="236"/>
      <c r="E239" s="236"/>
      <c r="F239" s="9"/>
      <c r="G239" s="9"/>
      <c r="H239" s="9"/>
      <c r="I239" s="9"/>
      <c r="J239" s="9"/>
      <c r="K239" s="3" t="s">
        <v>124</v>
      </c>
      <c r="L239" s="257" t="s">
        <v>131</v>
      </c>
      <c r="M239" s="257"/>
      <c r="N239" s="3"/>
      <c r="O239" s="3"/>
      <c r="P239" s="253">
        <f>P224/P233</f>
        <v>97000</v>
      </c>
      <c r="Q239" s="253"/>
      <c r="R239" s="230"/>
      <c r="S239" s="230"/>
      <c r="T239" s="230">
        <f t="shared" si="36"/>
        <v>97000</v>
      </c>
      <c r="U239" s="230"/>
      <c r="V239" s="253">
        <f>V224/V233</f>
        <v>44210</v>
      </c>
      <c r="W239" s="253"/>
      <c r="X239" s="6"/>
      <c r="Y239" s="6">
        <f t="shared" si="37"/>
        <v>44210</v>
      </c>
      <c r="Z239" s="6">
        <f t="shared" si="38"/>
        <v>-52790</v>
      </c>
      <c r="AA239" s="6"/>
      <c r="AB239" s="6">
        <f t="shared" si="39"/>
        <v>-52790</v>
      </c>
      <c r="AD239" s="34"/>
      <c r="AE239" s="34"/>
      <c r="AF239" s="34"/>
      <c r="AG239" s="34"/>
      <c r="AH239" s="34"/>
      <c r="AI239" s="34"/>
      <c r="AJ239" s="34"/>
      <c r="AK239" s="34"/>
      <c r="AL239" s="34"/>
      <c r="AM239" s="34"/>
      <c r="AN239" s="34"/>
      <c r="AO239" s="34"/>
      <c r="AP239" s="34"/>
    </row>
    <row r="240" spans="1:51" ht="35.1" customHeight="1" x14ac:dyDescent="0.25">
      <c r="A240" s="47">
        <f>A239+1</f>
        <v>2</v>
      </c>
      <c r="B240" s="271" t="s">
        <v>173</v>
      </c>
      <c r="C240" s="236"/>
      <c r="D240" s="236"/>
      <c r="E240" s="236"/>
      <c r="F240" s="9"/>
      <c r="G240" s="9"/>
      <c r="H240" s="9"/>
      <c r="I240" s="9"/>
      <c r="J240" s="9"/>
      <c r="K240" s="3" t="s">
        <v>124</v>
      </c>
      <c r="L240" s="257" t="s">
        <v>131</v>
      </c>
      <c r="M240" s="257"/>
      <c r="N240" s="3"/>
      <c r="O240" s="3"/>
      <c r="P240" s="276">
        <f>(P226+P230+P231)/P234</f>
        <v>425000</v>
      </c>
      <c r="Q240" s="277"/>
      <c r="R240" s="230"/>
      <c r="S240" s="230"/>
      <c r="T240" s="230">
        <f t="shared" si="36"/>
        <v>425000</v>
      </c>
      <c r="U240" s="230"/>
      <c r="V240" s="276">
        <f>(V226+V230+V231)/V234</f>
        <v>537174.04499999993</v>
      </c>
      <c r="W240" s="277"/>
      <c r="X240" s="6"/>
      <c r="Y240" s="6">
        <f t="shared" si="37"/>
        <v>537174.04499999993</v>
      </c>
      <c r="Z240" s="6">
        <f t="shared" si="38"/>
        <v>112174.04499999993</v>
      </c>
      <c r="AA240" s="6"/>
      <c r="AB240" s="6">
        <f t="shared" si="39"/>
        <v>112174.04499999993</v>
      </c>
      <c r="AD240" s="60"/>
      <c r="AE240" s="34"/>
      <c r="AF240" s="34"/>
      <c r="AG240" s="34"/>
      <c r="AH240" s="170"/>
      <c r="AI240" s="34"/>
      <c r="AJ240" s="34"/>
      <c r="AK240" s="34"/>
      <c r="AL240" s="34"/>
      <c r="AM240" s="34"/>
      <c r="AN240" s="34"/>
      <c r="AO240" s="34"/>
      <c r="AP240" s="34"/>
    </row>
    <row r="241" spans="1:42" ht="35.1" customHeight="1" x14ac:dyDescent="0.25">
      <c r="A241" s="47">
        <f>A240+1</f>
        <v>3</v>
      </c>
      <c r="B241" s="271" t="s">
        <v>174</v>
      </c>
      <c r="C241" s="236"/>
      <c r="D241" s="236"/>
      <c r="E241" s="236"/>
      <c r="F241" s="9"/>
      <c r="G241" s="9"/>
      <c r="H241" s="9"/>
      <c r="I241" s="9"/>
      <c r="J241" s="9"/>
      <c r="K241" s="3" t="s">
        <v>124</v>
      </c>
      <c r="L241" s="257" t="s">
        <v>131</v>
      </c>
      <c r="M241" s="257"/>
      <c r="N241" s="3"/>
      <c r="O241" s="3"/>
      <c r="P241" s="253">
        <f>P225/P236</f>
        <v>90909.090909090912</v>
      </c>
      <c r="Q241" s="253"/>
      <c r="R241" s="230"/>
      <c r="S241" s="230"/>
      <c r="T241" s="230">
        <f t="shared" si="36"/>
        <v>90909.090909090912</v>
      </c>
      <c r="U241" s="230"/>
      <c r="V241" s="253">
        <v>0</v>
      </c>
      <c r="W241" s="253"/>
      <c r="X241" s="6"/>
      <c r="Y241" s="6">
        <f t="shared" si="37"/>
        <v>0</v>
      </c>
      <c r="Z241" s="6">
        <f t="shared" si="38"/>
        <v>-90909.090909090912</v>
      </c>
      <c r="AA241" s="6"/>
      <c r="AB241" s="6">
        <f t="shared" si="39"/>
        <v>-90909.090909090912</v>
      </c>
      <c r="AD241" s="34"/>
      <c r="AE241" s="34"/>
      <c r="AF241" s="34"/>
      <c r="AG241" s="34"/>
      <c r="AH241" s="171"/>
      <c r="AI241" s="34"/>
      <c r="AJ241" s="34"/>
      <c r="AK241" s="34"/>
      <c r="AL241" s="34"/>
      <c r="AM241" s="34"/>
      <c r="AN241" s="34"/>
      <c r="AO241" s="34"/>
      <c r="AP241" s="34"/>
    </row>
    <row r="242" spans="1:42" ht="35.1" customHeight="1" x14ac:dyDescent="0.25">
      <c r="A242" s="47">
        <f>A241+1</f>
        <v>4</v>
      </c>
      <c r="B242" s="365" t="s">
        <v>19</v>
      </c>
      <c r="C242" s="307"/>
      <c r="D242" s="307"/>
      <c r="E242" s="271"/>
      <c r="F242" s="9"/>
      <c r="G242" s="9"/>
      <c r="H242" s="9"/>
      <c r="I242" s="9"/>
      <c r="J242" s="9"/>
      <c r="K242" s="3" t="s">
        <v>124</v>
      </c>
      <c r="L242" s="257" t="s">
        <v>131</v>
      </c>
      <c r="M242" s="257"/>
      <c r="N242" s="17"/>
      <c r="O242" s="17"/>
      <c r="P242" s="253">
        <f>P227/P237</f>
        <v>14705.882352941177</v>
      </c>
      <c r="Q242" s="253"/>
      <c r="R242" s="230"/>
      <c r="S242" s="230"/>
      <c r="T242" s="230">
        <f>P242</f>
        <v>14705.882352941177</v>
      </c>
      <c r="U242" s="230"/>
      <c r="V242" s="1">
        <v>0</v>
      </c>
      <c r="W242" s="146"/>
      <c r="X242" s="100"/>
      <c r="Y242" s="6">
        <f t="shared" si="37"/>
        <v>0</v>
      </c>
      <c r="Z242" s="6">
        <f t="shared" si="38"/>
        <v>-14705.882352941177</v>
      </c>
      <c r="AA242" s="100"/>
      <c r="AB242" s="6">
        <f t="shared" si="39"/>
        <v>-14705.882352941177</v>
      </c>
      <c r="AD242" s="34"/>
      <c r="AE242" s="34"/>
      <c r="AF242" s="34"/>
      <c r="AG242" s="34"/>
      <c r="AH242" s="171"/>
      <c r="AI242" s="34"/>
      <c r="AJ242" s="34"/>
      <c r="AK242" s="34"/>
      <c r="AL242" s="34"/>
      <c r="AM242" s="34"/>
      <c r="AN242" s="34"/>
      <c r="AO242" s="34"/>
      <c r="AP242" s="34"/>
    </row>
    <row r="243" spans="1:42" ht="35.1" customHeight="1" x14ac:dyDescent="0.25">
      <c r="A243" s="47">
        <f>A242+1</f>
        <v>5</v>
      </c>
      <c r="B243" s="305" t="s">
        <v>236</v>
      </c>
      <c r="C243" s="306"/>
      <c r="D243" s="306"/>
      <c r="E243" s="290"/>
      <c r="F243" s="147"/>
      <c r="G243" s="147"/>
      <c r="H243" s="147"/>
      <c r="I243" s="147"/>
      <c r="J243" s="147"/>
      <c r="K243" s="3" t="s">
        <v>124</v>
      </c>
      <c r="L243" s="257" t="s">
        <v>131</v>
      </c>
      <c r="M243" s="257"/>
      <c r="N243" s="17"/>
      <c r="O243" s="17"/>
      <c r="P243" s="253">
        <f>P228</f>
        <v>18000</v>
      </c>
      <c r="Q243" s="253"/>
      <c r="R243" s="281"/>
      <c r="S243" s="282"/>
      <c r="T243" s="230">
        <f>P243</f>
        <v>18000</v>
      </c>
      <c r="U243" s="230"/>
      <c r="V243" s="1">
        <f>V228</f>
        <v>0</v>
      </c>
      <c r="W243" s="146"/>
      <c r="X243" s="100"/>
      <c r="Y243" s="6">
        <f t="shared" si="37"/>
        <v>0</v>
      </c>
      <c r="Z243" s="6">
        <f t="shared" si="38"/>
        <v>-18000</v>
      </c>
      <c r="AA243" s="100"/>
      <c r="AB243" s="6">
        <f t="shared" si="39"/>
        <v>-18000</v>
      </c>
      <c r="AD243" s="34"/>
      <c r="AE243" s="34"/>
      <c r="AF243" s="34"/>
      <c r="AG243" s="34"/>
      <c r="AH243" s="171"/>
      <c r="AI243" s="34"/>
      <c r="AJ243" s="34"/>
      <c r="AK243" s="34"/>
      <c r="AL243" s="34"/>
      <c r="AM243" s="34"/>
      <c r="AN243" s="34"/>
      <c r="AO243" s="34"/>
      <c r="AP243" s="34"/>
    </row>
    <row r="244" spans="1:42" ht="35.1" customHeight="1" x14ac:dyDescent="0.25">
      <c r="A244" s="47">
        <f>A243+1</f>
        <v>6</v>
      </c>
      <c r="B244" s="463" t="s">
        <v>20</v>
      </c>
      <c r="C244" s="464"/>
      <c r="D244" s="464"/>
      <c r="E244" s="465"/>
      <c r="F244" s="147"/>
      <c r="G244" s="147"/>
      <c r="H244" s="147"/>
      <c r="I244" s="147"/>
      <c r="J244" s="147"/>
      <c r="K244" s="3" t="s">
        <v>124</v>
      </c>
      <c r="L244" s="257" t="s">
        <v>131</v>
      </c>
      <c r="M244" s="257"/>
      <c r="N244" s="17"/>
      <c r="O244" s="17"/>
      <c r="P244" s="253">
        <f>P229</f>
        <v>500000</v>
      </c>
      <c r="Q244" s="253"/>
      <c r="R244" s="281"/>
      <c r="S244" s="282"/>
      <c r="T244" s="230">
        <f>P244</f>
        <v>500000</v>
      </c>
      <c r="U244" s="230"/>
      <c r="V244" s="1">
        <f>V229</f>
        <v>499978.91</v>
      </c>
      <c r="W244" s="146"/>
      <c r="X244" s="100"/>
      <c r="Y244" s="6">
        <f t="shared" si="37"/>
        <v>499978.91</v>
      </c>
      <c r="Z244" s="6">
        <f t="shared" si="38"/>
        <v>-21.090000000025611</v>
      </c>
      <c r="AA244" s="100"/>
      <c r="AB244" s="6">
        <f t="shared" si="39"/>
        <v>-21.090000000025611</v>
      </c>
      <c r="AD244" s="34"/>
      <c r="AE244" s="34"/>
      <c r="AF244" s="34"/>
      <c r="AG244" s="34"/>
      <c r="AH244" s="171"/>
      <c r="AI244" s="34"/>
      <c r="AJ244" s="34"/>
      <c r="AK244" s="34"/>
      <c r="AL244" s="34"/>
      <c r="AM244" s="34"/>
      <c r="AN244" s="34"/>
      <c r="AO244" s="34"/>
      <c r="AP244" s="34"/>
    </row>
    <row r="245" spans="1:42" ht="20.100000000000001" customHeight="1" x14ac:dyDescent="0.25">
      <c r="A245" s="47"/>
      <c r="B245" s="313" t="s">
        <v>244</v>
      </c>
      <c r="C245" s="314"/>
      <c r="D245" s="314"/>
      <c r="E245" s="314"/>
      <c r="F245" s="46"/>
      <c r="G245" s="46"/>
      <c r="H245" s="46"/>
      <c r="I245" s="46"/>
      <c r="J245" s="46"/>
      <c r="K245" s="3"/>
      <c r="L245" s="257"/>
      <c r="M245" s="257"/>
      <c r="N245" s="3"/>
      <c r="O245" s="3"/>
      <c r="P245" s="257"/>
      <c r="Q245" s="257"/>
      <c r="R245" s="301"/>
      <c r="S245" s="301"/>
      <c r="T245" s="300"/>
      <c r="U245" s="301"/>
      <c r="V245" s="69"/>
      <c r="W245" s="69"/>
      <c r="X245" s="69"/>
      <c r="Y245" s="69"/>
      <c r="Z245" s="68"/>
      <c r="AA245" s="69"/>
      <c r="AB245" s="68"/>
      <c r="AD245" s="34"/>
      <c r="AE245" s="34"/>
      <c r="AF245" s="34"/>
      <c r="AG245" s="34"/>
      <c r="AH245" s="171"/>
      <c r="AI245" s="34"/>
      <c r="AJ245" s="34"/>
      <c r="AK245" s="34"/>
      <c r="AL245" s="34"/>
      <c r="AM245" s="34"/>
      <c r="AN245" s="34"/>
      <c r="AO245" s="34"/>
      <c r="AP245" s="34"/>
    </row>
    <row r="246" spans="1:42" ht="38.25" customHeight="1" x14ac:dyDescent="0.25">
      <c r="A246" s="47">
        <v>1</v>
      </c>
      <c r="B246" s="290" t="s">
        <v>86</v>
      </c>
      <c r="C246" s="291"/>
      <c r="D246" s="291"/>
      <c r="E246" s="291"/>
      <c r="F246" s="291"/>
      <c r="G246" s="291"/>
      <c r="H246" s="291"/>
      <c r="I246" s="291"/>
      <c r="J246" s="291"/>
      <c r="K246" s="191" t="s">
        <v>3</v>
      </c>
      <c r="L246" s="257" t="s">
        <v>131</v>
      </c>
      <c r="M246" s="257"/>
      <c r="N246" s="3"/>
      <c r="O246" s="3"/>
      <c r="P246" s="228">
        <f>P224/132000*100</f>
        <v>73.484848484848484</v>
      </c>
      <c r="Q246" s="228"/>
      <c r="R246" s="264"/>
      <c r="S246" s="264"/>
      <c r="T246" s="264">
        <f t="shared" si="36"/>
        <v>73.484848484848484</v>
      </c>
      <c r="U246" s="264"/>
      <c r="V246" s="10">
        <f>V224/132000*100</f>
        <v>33.492424242424242</v>
      </c>
      <c r="W246" s="10"/>
      <c r="X246" s="10"/>
      <c r="Y246" s="61">
        <f t="shared" si="37"/>
        <v>33.492424242424242</v>
      </c>
      <c r="Z246" s="61">
        <f t="shared" si="38"/>
        <v>-39.992424242424242</v>
      </c>
      <c r="AA246" s="61"/>
      <c r="AB246" s="61">
        <f t="shared" si="39"/>
        <v>-39.992424242424242</v>
      </c>
      <c r="AD246" s="34"/>
      <c r="AE246" s="34"/>
      <c r="AF246" s="34"/>
      <c r="AG246" s="34"/>
      <c r="AH246" s="170"/>
      <c r="AI246" s="34"/>
      <c r="AJ246" s="34"/>
      <c r="AK246" s="34"/>
      <c r="AL246" s="34"/>
      <c r="AM246" s="34"/>
      <c r="AN246" s="34"/>
      <c r="AO246" s="34"/>
      <c r="AP246" s="34"/>
    </row>
    <row r="247" spans="1:42" ht="63" customHeight="1" x14ac:dyDescent="0.25">
      <c r="A247" s="47">
        <f>A246+1</f>
        <v>2</v>
      </c>
      <c r="B247" s="247" t="s">
        <v>44</v>
      </c>
      <c r="C247" s="248"/>
      <c r="D247" s="248"/>
      <c r="E247" s="248"/>
      <c r="F247" s="248"/>
      <c r="G247" s="248"/>
      <c r="H247" s="248"/>
      <c r="I247" s="248"/>
      <c r="J247" s="249"/>
      <c r="K247" s="191" t="s">
        <v>3</v>
      </c>
      <c r="L247" s="257" t="s">
        <v>131</v>
      </c>
      <c r="M247" s="257"/>
      <c r="N247" s="3"/>
      <c r="O247" s="3"/>
      <c r="P247" s="258">
        <f>(P226+P230+P231)/(P226+P230+P231+150000)*100</f>
        <v>89.473684210526315</v>
      </c>
      <c r="Q247" s="259"/>
      <c r="R247" s="264"/>
      <c r="S247" s="264"/>
      <c r="T247" s="264">
        <f t="shared" si="36"/>
        <v>89.473684210526315</v>
      </c>
      <c r="U247" s="264"/>
      <c r="V247" s="10">
        <f>(V226+V230+V231)/(V226+V230+V231+150000)*100</f>
        <v>87.748582186296375</v>
      </c>
      <c r="W247" s="10"/>
      <c r="X247" s="10"/>
      <c r="Y247" s="61">
        <f t="shared" si="37"/>
        <v>87.748582186296375</v>
      </c>
      <c r="Z247" s="61">
        <f t="shared" si="38"/>
        <v>-1.7251020242299404</v>
      </c>
      <c r="AA247" s="61"/>
      <c r="AB247" s="61">
        <f t="shared" si="39"/>
        <v>-1.7251020242299404</v>
      </c>
      <c r="AD247" s="34"/>
      <c r="AE247" s="34"/>
      <c r="AF247" s="34"/>
      <c r="AG247" s="34"/>
      <c r="AH247" s="34"/>
      <c r="AI247" s="34"/>
      <c r="AJ247" s="34"/>
      <c r="AK247" s="34"/>
      <c r="AL247" s="34"/>
      <c r="AM247" s="34"/>
      <c r="AN247" s="34"/>
      <c r="AO247" s="34"/>
      <c r="AP247" s="34"/>
    </row>
    <row r="248" spans="1:42" ht="81.75" customHeight="1" x14ac:dyDescent="0.25">
      <c r="A248" s="47">
        <f>A247+1</f>
        <v>3</v>
      </c>
      <c r="B248" s="247" t="s">
        <v>237</v>
      </c>
      <c r="C248" s="248"/>
      <c r="D248" s="248"/>
      <c r="E248" s="248"/>
      <c r="F248" s="248"/>
      <c r="G248" s="248"/>
      <c r="H248" s="248"/>
      <c r="I248" s="248"/>
      <c r="J248" s="249"/>
      <c r="K248" s="191" t="s">
        <v>3</v>
      </c>
      <c r="L248" s="257" t="s">
        <v>131</v>
      </c>
      <c r="M248" s="257"/>
      <c r="N248" s="3"/>
      <c r="O248" s="3"/>
      <c r="P248" s="228">
        <f>P236/P235*100</f>
        <v>40.74074074074074</v>
      </c>
      <c r="Q248" s="228"/>
      <c r="R248" s="264"/>
      <c r="S248" s="264"/>
      <c r="T248" s="264">
        <f t="shared" si="36"/>
        <v>40.74074074074074</v>
      </c>
      <c r="U248" s="264"/>
      <c r="V248" s="10">
        <v>0</v>
      </c>
      <c r="W248" s="10"/>
      <c r="X248" s="10"/>
      <c r="Y248" s="61">
        <f t="shared" si="37"/>
        <v>0</v>
      </c>
      <c r="Z248" s="61">
        <f t="shared" si="38"/>
        <v>-40.74074074074074</v>
      </c>
      <c r="AA248" s="61"/>
      <c r="AB248" s="61">
        <f t="shared" si="39"/>
        <v>-40.74074074074074</v>
      </c>
      <c r="AD248" s="34"/>
      <c r="AE248" s="34"/>
      <c r="AF248" s="34"/>
      <c r="AG248" s="34"/>
      <c r="AH248" s="34"/>
      <c r="AI248" s="34"/>
      <c r="AJ248" s="34"/>
      <c r="AK248" s="34"/>
      <c r="AL248" s="34"/>
      <c r="AM248" s="34"/>
      <c r="AN248" s="34"/>
      <c r="AO248" s="34"/>
      <c r="AP248" s="34"/>
    </row>
    <row r="249" spans="1:42" ht="51.75" customHeight="1" x14ac:dyDescent="0.25">
      <c r="A249" s="47">
        <f>A248+1</f>
        <v>4</v>
      </c>
      <c r="B249" s="247" t="s">
        <v>337</v>
      </c>
      <c r="C249" s="248"/>
      <c r="D249" s="248"/>
      <c r="E249" s="248"/>
      <c r="F249" s="248"/>
      <c r="G249" s="248"/>
      <c r="H249" s="248"/>
      <c r="I249" s="248"/>
      <c r="J249" s="249"/>
      <c r="K249" s="191" t="s">
        <v>3</v>
      </c>
      <c r="L249" s="257" t="s">
        <v>131</v>
      </c>
      <c r="M249" s="257"/>
      <c r="N249" s="3"/>
      <c r="O249" s="3"/>
      <c r="P249" s="228">
        <f>P237/34*100</f>
        <v>100</v>
      </c>
      <c r="Q249" s="228"/>
      <c r="R249" s="264"/>
      <c r="S249" s="264"/>
      <c r="T249" s="264">
        <f t="shared" si="36"/>
        <v>100</v>
      </c>
      <c r="U249" s="264"/>
      <c r="V249" s="10">
        <v>0</v>
      </c>
      <c r="W249" s="10"/>
      <c r="X249" s="10"/>
      <c r="Y249" s="61">
        <f t="shared" si="37"/>
        <v>0</v>
      </c>
      <c r="Z249" s="61">
        <f t="shared" si="38"/>
        <v>-100</v>
      </c>
      <c r="AA249" s="61"/>
      <c r="AB249" s="61">
        <f t="shared" si="39"/>
        <v>-100</v>
      </c>
      <c r="AD249" s="34"/>
      <c r="AE249" s="34"/>
      <c r="AF249" s="34"/>
      <c r="AG249" s="34"/>
      <c r="AH249" s="34"/>
      <c r="AI249" s="34"/>
      <c r="AJ249" s="34"/>
      <c r="AK249" s="34"/>
      <c r="AL249" s="34"/>
      <c r="AM249" s="34"/>
      <c r="AN249" s="34"/>
      <c r="AO249" s="34"/>
      <c r="AP249" s="34"/>
    </row>
    <row r="250" spans="1:42" ht="20.100000000000001" customHeight="1" x14ac:dyDescent="0.25">
      <c r="A250" s="47"/>
      <c r="B250" s="238" t="s">
        <v>117</v>
      </c>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D250" s="34"/>
      <c r="AE250" s="34"/>
      <c r="AF250" s="34"/>
      <c r="AG250" s="34"/>
      <c r="AH250" s="34"/>
      <c r="AI250" s="34"/>
      <c r="AJ250" s="34"/>
      <c r="AK250" s="34"/>
      <c r="AL250" s="34"/>
      <c r="AM250" s="34"/>
      <c r="AN250" s="34"/>
      <c r="AO250" s="34"/>
      <c r="AP250" s="34"/>
    </row>
    <row r="251" spans="1:42" ht="20.100000000000001" customHeight="1" x14ac:dyDescent="0.25">
      <c r="A251" s="47"/>
      <c r="B251" s="382" t="s">
        <v>245</v>
      </c>
      <c r="C251" s="382"/>
      <c r="D251" s="382"/>
      <c r="E251" s="382"/>
      <c r="F251" s="94"/>
      <c r="G251" s="94"/>
      <c r="H251" s="94"/>
      <c r="I251" s="94"/>
      <c r="J251" s="94"/>
      <c r="K251" s="59"/>
      <c r="L251" s="257"/>
      <c r="M251" s="257"/>
      <c r="N251" s="3"/>
      <c r="O251" s="3"/>
      <c r="P251" s="257"/>
      <c r="Q251" s="385"/>
      <c r="R251" s="302"/>
      <c r="S251" s="302"/>
      <c r="T251" s="268"/>
      <c r="U251" s="268"/>
      <c r="V251" s="44"/>
      <c r="W251" s="44"/>
      <c r="X251" s="44"/>
      <c r="Y251" s="44"/>
      <c r="Z251" s="48"/>
      <c r="AA251" s="44"/>
      <c r="AB251" s="48"/>
      <c r="AD251" s="34"/>
      <c r="AE251" s="34"/>
      <c r="AF251" s="34"/>
      <c r="AG251" s="34"/>
      <c r="AH251" s="34"/>
      <c r="AI251" s="34"/>
      <c r="AJ251" s="34"/>
      <c r="AK251" s="34"/>
      <c r="AL251" s="34"/>
      <c r="AM251" s="34"/>
      <c r="AN251" s="34"/>
      <c r="AO251" s="34"/>
      <c r="AP251" s="34"/>
    </row>
    <row r="252" spans="1:42" ht="20.100000000000001" customHeight="1" x14ac:dyDescent="0.25">
      <c r="A252" s="47"/>
      <c r="B252" s="248" t="s">
        <v>118</v>
      </c>
      <c r="C252" s="248"/>
      <c r="D252" s="248"/>
      <c r="E252" s="248"/>
      <c r="F252" s="11"/>
      <c r="G252" s="11"/>
      <c r="H252" s="11"/>
      <c r="I252" s="11"/>
      <c r="J252" s="11"/>
      <c r="K252" s="3" t="s">
        <v>124</v>
      </c>
      <c r="L252" s="257" t="s">
        <v>122</v>
      </c>
      <c r="M252" s="257"/>
      <c r="N252" s="3"/>
      <c r="O252" s="3"/>
      <c r="P252" s="253">
        <f>SUM(P253:Q254)</f>
        <v>2297280</v>
      </c>
      <c r="Q252" s="253"/>
      <c r="R252" s="230"/>
      <c r="S252" s="230"/>
      <c r="T252" s="230">
        <f>P252</f>
        <v>2297280</v>
      </c>
      <c r="U252" s="230"/>
      <c r="V252" s="6">
        <f>V253+V254</f>
        <v>2236464.5900000003</v>
      </c>
      <c r="W252" s="6"/>
      <c r="X252" s="6"/>
      <c r="Y252" s="6">
        <f>V252</f>
        <v>2236464.5900000003</v>
      </c>
      <c r="Z252" s="6">
        <f t="shared" si="38"/>
        <v>-60815.409999999683</v>
      </c>
      <c r="AA252" s="6"/>
      <c r="AB252" s="6">
        <f t="shared" si="39"/>
        <v>-60815.409999999683</v>
      </c>
      <c r="AD252" s="34"/>
      <c r="AE252" s="34"/>
      <c r="AF252" s="34"/>
      <c r="AG252" s="34"/>
      <c r="AH252" s="34"/>
      <c r="AI252" s="34"/>
      <c r="AJ252" s="34"/>
      <c r="AK252" s="34"/>
      <c r="AL252" s="34"/>
      <c r="AM252" s="34"/>
      <c r="AN252" s="34"/>
      <c r="AO252" s="34"/>
      <c r="AP252" s="34"/>
    </row>
    <row r="253" spans="1:42" ht="54" customHeight="1" x14ac:dyDescent="0.25">
      <c r="A253" s="47">
        <v>1</v>
      </c>
      <c r="B253" s="248" t="s">
        <v>175</v>
      </c>
      <c r="C253" s="248"/>
      <c r="D253" s="248"/>
      <c r="E253" s="248"/>
      <c r="F253" s="11"/>
      <c r="G253" s="11"/>
      <c r="H253" s="11"/>
      <c r="I253" s="11"/>
      <c r="J253" s="11"/>
      <c r="K253" s="3" t="s">
        <v>124</v>
      </c>
      <c r="L253" s="257" t="s">
        <v>145</v>
      </c>
      <c r="M253" s="257"/>
      <c r="N253" s="3"/>
      <c r="O253" s="3"/>
      <c r="P253" s="230">
        <v>41770</v>
      </c>
      <c r="Q253" s="230"/>
      <c r="R253" s="230"/>
      <c r="S253" s="230"/>
      <c r="T253" s="230">
        <f t="shared" ref="T253:T262" si="41">P253</f>
        <v>41770</v>
      </c>
      <c r="U253" s="230"/>
      <c r="V253" s="6">
        <v>17163.2</v>
      </c>
      <c r="W253" s="6"/>
      <c r="X253" s="6"/>
      <c r="Y253" s="6">
        <f>V253</f>
        <v>17163.2</v>
      </c>
      <c r="Z253" s="6">
        <f t="shared" si="38"/>
        <v>-24606.799999999999</v>
      </c>
      <c r="AA253" s="6"/>
      <c r="AB253" s="6">
        <f t="shared" si="39"/>
        <v>-24606.799999999999</v>
      </c>
      <c r="AD253" s="34"/>
      <c r="AE253" s="34"/>
      <c r="AF253" s="34"/>
      <c r="AG253" s="34"/>
      <c r="AH253" s="34"/>
      <c r="AI253" s="34"/>
      <c r="AJ253" s="34"/>
      <c r="AK253" s="34"/>
      <c r="AL253" s="34"/>
      <c r="AM253" s="34"/>
      <c r="AN253" s="34"/>
      <c r="AO253" s="34"/>
      <c r="AP253" s="34"/>
    </row>
    <row r="254" spans="1:42" ht="93.75" customHeight="1" x14ac:dyDescent="0.25">
      <c r="A254" s="47">
        <v>2</v>
      </c>
      <c r="B254" s="248" t="s">
        <v>176</v>
      </c>
      <c r="C254" s="248"/>
      <c r="D254" s="248"/>
      <c r="E254" s="248"/>
      <c r="F254" s="11"/>
      <c r="G254" s="11"/>
      <c r="H254" s="11"/>
      <c r="I254" s="11"/>
      <c r="J254" s="11"/>
      <c r="K254" s="3" t="s">
        <v>124</v>
      </c>
      <c r="L254" s="257" t="s">
        <v>130</v>
      </c>
      <c r="M254" s="257"/>
      <c r="N254" s="3"/>
      <c r="O254" s="3"/>
      <c r="P254" s="230">
        <v>2255510</v>
      </c>
      <c r="Q254" s="230"/>
      <c r="R254" s="230"/>
      <c r="S254" s="230"/>
      <c r="T254" s="230">
        <f t="shared" si="41"/>
        <v>2255510</v>
      </c>
      <c r="U254" s="230"/>
      <c r="V254" s="6">
        <v>2219301.39</v>
      </c>
      <c r="W254" s="6"/>
      <c r="X254" s="6"/>
      <c r="Y254" s="6">
        <f>V254</f>
        <v>2219301.39</v>
      </c>
      <c r="Z254" s="6">
        <f t="shared" si="38"/>
        <v>-36208.60999999987</v>
      </c>
      <c r="AA254" s="6"/>
      <c r="AB254" s="6">
        <f t="shared" si="39"/>
        <v>-36208.60999999987</v>
      </c>
      <c r="AD254" s="34"/>
      <c r="AE254" s="34"/>
      <c r="AF254" s="34"/>
      <c r="AG254" s="34"/>
      <c r="AH254" s="34"/>
      <c r="AI254" s="34"/>
      <c r="AJ254" s="34"/>
      <c r="AK254" s="34"/>
      <c r="AL254" s="34"/>
      <c r="AM254" s="34"/>
      <c r="AN254" s="34"/>
      <c r="AO254" s="34"/>
      <c r="AP254" s="34"/>
    </row>
    <row r="255" spans="1:42" ht="20.100000000000001" customHeight="1" x14ac:dyDescent="0.25">
      <c r="A255" s="47"/>
      <c r="B255" s="382" t="s">
        <v>243</v>
      </c>
      <c r="C255" s="382"/>
      <c r="D255" s="382"/>
      <c r="E255" s="382"/>
      <c r="F255" s="18"/>
      <c r="G255" s="18"/>
      <c r="H255" s="18"/>
      <c r="I255" s="18"/>
      <c r="J255" s="18"/>
      <c r="K255" s="3"/>
      <c r="L255" s="257"/>
      <c r="M255" s="257"/>
      <c r="N255" s="3"/>
      <c r="O255" s="3"/>
      <c r="P255" s="257"/>
      <c r="Q255" s="257"/>
      <c r="R255" s="264"/>
      <c r="S255" s="264"/>
      <c r="T255" s="230"/>
      <c r="U255" s="229"/>
      <c r="V255" s="4"/>
      <c r="W255" s="4"/>
      <c r="X255" s="4"/>
      <c r="Y255" s="4"/>
      <c r="Z255" s="6"/>
      <c r="AA255" s="4"/>
      <c r="AB255" s="6"/>
      <c r="AD255" s="34"/>
      <c r="AE255" s="34"/>
      <c r="AF255" s="34"/>
      <c r="AG255" s="34"/>
      <c r="AH255" s="34"/>
      <c r="AI255" s="34"/>
      <c r="AJ255" s="34"/>
      <c r="AK255" s="34"/>
      <c r="AL255" s="34"/>
      <c r="AM255" s="34"/>
      <c r="AN255" s="34"/>
      <c r="AO255" s="34"/>
      <c r="AP255" s="34"/>
    </row>
    <row r="256" spans="1:42" ht="35.25" customHeight="1" x14ac:dyDescent="0.25">
      <c r="A256" s="47">
        <v>1</v>
      </c>
      <c r="B256" s="248" t="s">
        <v>177</v>
      </c>
      <c r="C256" s="248"/>
      <c r="D256" s="248"/>
      <c r="E256" s="248"/>
      <c r="F256" s="11"/>
      <c r="G256" s="11"/>
      <c r="H256" s="11"/>
      <c r="I256" s="11"/>
      <c r="J256" s="11"/>
      <c r="K256" s="3" t="s">
        <v>126</v>
      </c>
      <c r="L256" s="257" t="s">
        <v>130</v>
      </c>
      <c r="M256" s="257"/>
      <c r="N256" s="3"/>
      <c r="O256" s="3"/>
      <c r="P256" s="359">
        <v>3</v>
      </c>
      <c r="Q256" s="359"/>
      <c r="R256" s="303"/>
      <c r="S256" s="303"/>
      <c r="T256" s="303">
        <f t="shared" si="41"/>
        <v>3</v>
      </c>
      <c r="U256" s="303"/>
      <c r="V256" s="4">
        <v>3</v>
      </c>
      <c r="W256" s="4"/>
      <c r="X256" s="4"/>
      <c r="Y256" s="4">
        <f>V256</f>
        <v>3</v>
      </c>
      <c r="Z256" s="6">
        <f t="shared" ref="Z256:Z262" si="42">V256-P256</f>
        <v>0</v>
      </c>
      <c r="AA256" s="4"/>
      <c r="AB256" s="6">
        <f t="shared" ref="AB256:AB262" si="43">Z256</f>
        <v>0</v>
      </c>
      <c r="AD256" s="34"/>
      <c r="AE256" s="34"/>
      <c r="AF256" s="34"/>
      <c r="AG256" s="34"/>
      <c r="AH256" s="34"/>
      <c r="AI256" s="34"/>
      <c r="AJ256" s="34"/>
      <c r="AK256" s="34"/>
      <c r="AL256" s="34"/>
      <c r="AM256" s="34"/>
      <c r="AN256" s="34"/>
      <c r="AO256" s="34"/>
      <c r="AP256" s="34"/>
    </row>
    <row r="257" spans="1:42" ht="33.75" customHeight="1" x14ac:dyDescent="0.25">
      <c r="A257" s="47">
        <v>2</v>
      </c>
      <c r="B257" s="395" t="s">
        <v>178</v>
      </c>
      <c r="C257" s="395"/>
      <c r="D257" s="395"/>
      <c r="E257" s="395"/>
      <c r="F257" s="56"/>
      <c r="G257" s="56"/>
      <c r="H257" s="56"/>
      <c r="I257" s="56"/>
      <c r="J257" s="56"/>
      <c r="K257" s="3" t="s">
        <v>149</v>
      </c>
      <c r="L257" s="257" t="s">
        <v>130</v>
      </c>
      <c r="M257" s="257"/>
      <c r="N257" s="3"/>
      <c r="O257" s="3"/>
      <c r="P257" s="228">
        <f>P254/P260</f>
        <v>170613.46444780636</v>
      </c>
      <c r="Q257" s="228"/>
      <c r="R257" s="264"/>
      <c r="S257" s="264"/>
      <c r="T257" s="264">
        <f t="shared" si="41"/>
        <v>170613.46444780636</v>
      </c>
      <c r="U257" s="264"/>
      <c r="V257" s="228">
        <f>V254/V260</f>
        <v>167874.53782148261</v>
      </c>
      <c r="W257" s="228"/>
      <c r="X257" s="61"/>
      <c r="Y257" s="61">
        <f>V257</f>
        <v>167874.53782148261</v>
      </c>
      <c r="Z257" s="61">
        <f t="shared" si="42"/>
        <v>-2738.9266263237514</v>
      </c>
      <c r="AA257" s="61"/>
      <c r="AB257" s="61">
        <f t="shared" si="43"/>
        <v>-2738.9266263237514</v>
      </c>
      <c r="AD257" s="34"/>
      <c r="AE257" s="34"/>
      <c r="AF257" s="60"/>
      <c r="AG257" s="34"/>
      <c r="AH257" s="60"/>
      <c r="AI257" s="34"/>
      <c r="AJ257" s="34"/>
      <c r="AK257" s="34"/>
      <c r="AL257" s="34"/>
      <c r="AM257" s="34"/>
      <c r="AN257" s="34"/>
      <c r="AO257" s="34"/>
      <c r="AP257" s="34"/>
    </row>
    <row r="258" spans="1:42" ht="20.100000000000001" customHeight="1" x14ac:dyDescent="0.25">
      <c r="A258" s="47"/>
      <c r="B258" s="382" t="s">
        <v>246</v>
      </c>
      <c r="C258" s="382"/>
      <c r="D258" s="382"/>
      <c r="E258" s="382"/>
      <c r="F258" s="18"/>
      <c r="G258" s="18"/>
      <c r="H258" s="18"/>
      <c r="I258" s="18"/>
      <c r="J258" s="18"/>
      <c r="K258" s="3"/>
      <c r="L258" s="257"/>
      <c r="M258" s="257"/>
      <c r="N258" s="3"/>
      <c r="O258" s="3"/>
      <c r="P258" s="257"/>
      <c r="Q258" s="257"/>
      <c r="R258" s="264"/>
      <c r="S258" s="264"/>
      <c r="T258" s="230"/>
      <c r="U258" s="229"/>
      <c r="V258" s="4"/>
      <c r="W258" s="4"/>
      <c r="X258" s="4"/>
      <c r="Y258" s="4"/>
      <c r="Z258" s="6"/>
      <c r="AA258" s="4"/>
      <c r="AB258" s="6"/>
      <c r="AD258" s="34"/>
      <c r="AE258" s="34"/>
      <c r="AF258" s="34"/>
      <c r="AG258" s="34"/>
      <c r="AH258" s="34"/>
      <c r="AI258" s="34"/>
      <c r="AJ258" s="34"/>
      <c r="AK258" s="34"/>
      <c r="AL258" s="34"/>
      <c r="AM258" s="34"/>
      <c r="AN258" s="34"/>
      <c r="AO258" s="34"/>
      <c r="AP258" s="34"/>
    </row>
    <row r="259" spans="1:42" ht="32.25" customHeight="1" x14ac:dyDescent="0.25">
      <c r="A259" s="47">
        <v>1</v>
      </c>
      <c r="B259" s="307" t="s">
        <v>179</v>
      </c>
      <c r="C259" s="307"/>
      <c r="D259" s="307"/>
      <c r="E259" s="307"/>
      <c r="F259" s="8"/>
      <c r="G259" s="8"/>
      <c r="H259" s="8"/>
      <c r="I259" s="8"/>
      <c r="J259" s="8"/>
      <c r="K259" s="3" t="s">
        <v>124</v>
      </c>
      <c r="L259" s="257" t="s">
        <v>131</v>
      </c>
      <c r="M259" s="257"/>
      <c r="N259" s="3"/>
      <c r="O259" s="3"/>
      <c r="P259" s="396">
        <f>P253/P256</f>
        <v>13923.333333333334</v>
      </c>
      <c r="Q259" s="396"/>
      <c r="R259" s="304"/>
      <c r="S259" s="304"/>
      <c r="T259" s="304">
        <f t="shared" si="41"/>
        <v>13923.333333333334</v>
      </c>
      <c r="U259" s="304"/>
      <c r="V259" s="62">
        <f>V253/V256</f>
        <v>5721.0666666666666</v>
      </c>
      <c r="W259" s="62"/>
      <c r="X259" s="62"/>
      <c r="Y259" s="62">
        <f>V259</f>
        <v>5721.0666666666666</v>
      </c>
      <c r="Z259" s="62">
        <f t="shared" si="42"/>
        <v>-8202.2666666666664</v>
      </c>
      <c r="AA259" s="62"/>
      <c r="AB259" s="62">
        <f t="shared" si="43"/>
        <v>-8202.2666666666664</v>
      </c>
      <c r="AD259" s="34"/>
      <c r="AE259" s="34"/>
      <c r="AF259" s="34"/>
      <c r="AG259" s="34"/>
      <c r="AH259" s="170"/>
      <c r="AI259" s="166"/>
      <c r="AJ259" s="34"/>
      <c r="AK259" s="34"/>
      <c r="AL259" s="34"/>
      <c r="AM259" s="34"/>
      <c r="AN259" s="34"/>
      <c r="AO259" s="34"/>
      <c r="AP259" s="34"/>
    </row>
    <row r="260" spans="1:42" ht="34.5" customHeight="1" x14ac:dyDescent="0.25">
      <c r="A260" s="47">
        <v>2</v>
      </c>
      <c r="B260" s="394" t="s">
        <v>23</v>
      </c>
      <c r="C260" s="394"/>
      <c r="D260" s="394"/>
      <c r="E260" s="394"/>
      <c r="F260" s="63"/>
      <c r="G260" s="63"/>
      <c r="H260" s="63"/>
      <c r="I260" s="63"/>
      <c r="J260" s="63"/>
      <c r="K260" s="3" t="s">
        <v>124</v>
      </c>
      <c r="L260" s="257" t="s">
        <v>22</v>
      </c>
      <c r="M260" s="257"/>
      <c r="N260" s="3"/>
      <c r="O260" s="3"/>
      <c r="P260" s="228">
        <v>13.22</v>
      </c>
      <c r="Q260" s="228"/>
      <c r="R260" s="264"/>
      <c r="S260" s="264"/>
      <c r="T260" s="264">
        <f t="shared" si="41"/>
        <v>13.22</v>
      </c>
      <c r="U260" s="264"/>
      <c r="V260" s="61">
        <v>13.22</v>
      </c>
      <c r="W260" s="61"/>
      <c r="X260" s="61"/>
      <c r="Y260" s="61">
        <f>V260</f>
        <v>13.22</v>
      </c>
      <c r="Z260" s="62">
        <f t="shared" si="42"/>
        <v>0</v>
      </c>
      <c r="AA260" s="62"/>
      <c r="AB260" s="62">
        <f t="shared" si="43"/>
        <v>0</v>
      </c>
      <c r="AD260" s="34"/>
      <c r="AE260" s="34"/>
      <c r="AF260" s="34"/>
      <c r="AG260" s="34"/>
      <c r="AH260" s="172"/>
      <c r="AI260" s="34"/>
      <c r="AJ260" s="34"/>
      <c r="AK260" s="34"/>
      <c r="AL260" s="34"/>
      <c r="AM260" s="34"/>
      <c r="AN260" s="34"/>
      <c r="AO260" s="34"/>
      <c r="AP260" s="34"/>
    </row>
    <row r="261" spans="1:42" ht="20.100000000000001" customHeight="1" x14ac:dyDescent="0.25">
      <c r="A261" s="47"/>
      <c r="B261" s="382" t="s">
        <v>244</v>
      </c>
      <c r="C261" s="382"/>
      <c r="D261" s="382"/>
      <c r="E261" s="382"/>
      <c r="F261" s="18"/>
      <c r="G261" s="18"/>
      <c r="H261" s="18"/>
      <c r="I261" s="18"/>
      <c r="J261" s="18"/>
      <c r="K261" s="3"/>
      <c r="L261" s="257"/>
      <c r="M261" s="257"/>
      <c r="N261" s="3"/>
      <c r="O261" s="3"/>
      <c r="P261" s="257"/>
      <c r="Q261" s="257"/>
      <c r="R261" s="264"/>
      <c r="S261" s="264"/>
      <c r="T261" s="230"/>
      <c r="U261" s="229"/>
      <c r="V261" s="4"/>
      <c r="W261" s="4"/>
      <c r="X261" s="4"/>
      <c r="Y261" s="4"/>
      <c r="Z261" s="6"/>
      <c r="AA261" s="4"/>
      <c r="AB261" s="6"/>
      <c r="AD261" s="34"/>
      <c r="AE261" s="34"/>
      <c r="AF261" s="34"/>
      <c r="AG261" s="34"/>
      <c r="AH261" s="172"/>
      <c r="AI261" s="34"/>
      <c r="AJ261" s="34"/>
      <c r="AK261" s="34"/>
      <c r="AL261" s="34"/>
      <c r="AM261" s="34"/>
      <c r="AN261" s="34"/>
      <c r="AO261" s="34"/>
      <c r="AP261" s="34"/>
    </row>
    <row r="262" spans="1:42" ht="64.5" customHeight="1" x14ac:dyDescent="0.25">
      <c r="A262" s="47">
        <v>2</v>
      </c>
      <c r="B262" s="307" t="s">
        <v>25</v>
      </c>
      <c r="C262" s="307"/>
      <c r="D262" s="307"/>
      <c r="E262" s="307"/>
      <c r="F262" s="8"/>
      <c r="G262" s="8"/>
      <c r="H262" s="8"/>
      <c r="I262" s="8"/>
      <c r="J262" s="8"/>
      <c r="K262" s="191" t="s">
        <v>3</v>
      </c>
      <c r="L262" s="257" t="s">
        <v>131</v>
      </c>
      <c r="M262" s="257"/>
      <c r="N262" s="3"/>
      <c r="O262" s="3"/>
      <c r="P262" s="228">
        <f>170613.46/170613.46*100</f>
        <v>100</v>
      </c>
      <c r="Q262" s="228"/>
      <c r="R262" s="264"/>
      <c r="S262" s="264"/>
      <c r="T262" s="264">
        <f t="shared" si="41"/>
        <v>100</v>
      </c>
      <c r="U262" s="264"/>
      <c r="V262" s="228">
        <f>167874.54/170613.46*100</f>
        <v>98.394663586331347</v>
      </c>
      <c r="W262" s="228"/>
      <c r="X262" s="61"/>
      <c r="Y262" s="61">
        <f>V262</f>
        <v>98.394663586331347</v>
      </c>
      <c r="Z262" s="61">
        <f t="shared" si="42"/>
        <v>-1.6053364136686525</v>
      </c>
      <c r="AA262" s="61"/>
      <c r="AB262" s="61">
        <f t="shared" si="43"/>
        <v>-1.6053364136686525</v>
      </c>
      <c r="AD262" s="34"/>
      <c r="AE262" s="34"/>
      <c r="AF262" s="34"/>
      <c r="AG262" s="34"/>
      <c r="AH262" s="172"/>
      <c r="AI262" s="34"/>
      <c r="AJ262" s="34"/>
      <c r="AK262" s="34"/>
      <c r="AL262" s="34"/>
      <c r="AM262" s="34"/>
      <c r="AN262" s="34"/>
      <c r="AO262" s="34"/>
      <c r="AP262" s="34"/>
    </row>
    <row r="263" spans="1:42" ht="20.100000000000001" customHeight="1" x14ac:dyDescent="0.25">
      <c r="A263" s="47"/>
      <c r="B263" s="481" t="s">
        <v>45</v>
      </c>
      <c r="C263" s="238"/>
      <c r="D263" s="238"/>
      <c r="E263" s="238"/>
      <c r="F263" s="238"/>
      <c r="G263" s="238"/>
      <c r="H263" s="238"/>
      <c r="I263" s="238"/>
      <c r="J263" s="238"/>
      <c r="K263" s="238"/>
      <c r="L263" s="238"/>
      <c r="M263" s="238"/>
      <c r="N263" s="238"/>
      <c r="O263" s="238"/>
      <c r="P263" s="238"/>
      <c r="Q263" s="238"/>
      <c r="R263" s="302"/>
      <c r="S263" s="302"/>
      <c r="T263" s="268"/>
      <c r="U263" s="268"/>
      <c r="V263" s="44"/>
      <c r="W263" s="44"/>
      <c r="X263" s="44"/>
      <c r="Y263" s="44"/>
      <c r="Z263" s="44"/>
      <c r="AA263" s="44"/>
      <c r="AB263" s="44"/>
      <c r="AD263" s="34"/>
      <c r="AE263" s="34"/>
      <c r="AF263" s="34"/>
      <c r="AG263" s="34"/>
      <c r="AH263" s="34"/>
      <c r="AI263" s="34"/>
      <c r="AJ263" s="34"/>
      <c r="AK263" s="34"/>
      <c r="AL263" s="34"/>
      <c r="AM263" s="34"/>
      <c r="AN263" s="34"/>
      <c r="AO263" s="34"/>
      <c r="AP263" s="34"/>
    </row>
    <row r="264" spans="1:42" ht="20.100000000000001" customHeight="1" x14ac:dyDescent="0.25">
      <c r="A264" s="47"/>
      <c r="B264" s="289" t="s">
        <v>245</v>
      </c>
      <c r="C264" s="272"/>
      <c r="D264" s="272"/>
      <c r="E264" s="272"/>
      <c r="F264" s="64"/>
      <c r="G264" s="64"/>
      <c r="H264" s="64"/>
      <c r="I264" s="64"/>
      <c r="J264" s="64"/>
      <c r="K264" s="3"/>
      <c r="L264" s="257"/>
      <c r="M264" s="257"/>
      <c r="N264" s="3"/>
      <c r="O264" s="3"/>
      <c r="P264" s="257"/>
      <c r="Q264" s="385"/>
      <c r="R264" s="302"/>
      <c r="S264" s="302"/>
      <c r="T264" s="268"/>
      <c r="U264" s="268"/>
      <c r="V264" s="44"/>
      <c r="W264" s="44"/>
      <c r="X264" s="44"/>
      <c r="Y264" s="44"/>
      <c r="Z264" s="44"/>
      <c r="AA264" s="44"/>
      <c r="AB264" s="44"/>
      <c r="AD264" s="34"/>
      <c r="AE264" s="34"/>
      <c r="AF264" s="34"/>
      <c r="AG264" s="34"/>
      <c r="AH264" s="34"/>
      <c r="AI264" s="34"/>
      <c r="AJ264" s="34"/>
      <c r="AK264" s="34"/>
      <c r="AL264" s="34"/>
      <c r="AM264" s="34"/>
      <c r="AN264" s="34"/>
      <c r="AO264" s="34"/>
      <c r="AP264" s="34"/>
    </row>
    <row r="265" spans="1:42" ht="20.100000000000001" customHeight="1" x14ac:dyDescent="0.25">
      <c r="A265" s="47">
        <v>1</v>
      </c>
      <c r="B265" s="249" t="s">
        <v>188</v>
      </c>
      <c r="C265" s="278"/>
      <c r="D265" s="278"/>
      <c r="E265" s="278"/>
      <c r="F265" s="65"/>
      <c r="G265" s="65"/>
      <c r="H265" s="65"/>
      <c r="I265" s="65"/>
      <c r="J265" s="65"/>
      <c r="K265" s="3" t="s">
        <v>124</v>
      </c>
      <c r="L265" s="257" t="s">
        <v>122</v>
      </c>
      <c r="M265" s="257"/>
      <c r="N265" s="3"/>
      <c r="O265" s="3"/>
      <c r="P265" s="253">
        <v>1032000</v>
      </c>
      <c r="Q265" s="383"/>
      <c r="R265" s="264"/>
      <c r="S265" s="264"/>
      <c r="T265" s="230">
        <f>P265</f>
        <v>1032000</v>
      </c>
      <c r="U265" s="229"/>
      <c r="V265" s="6">
        <v>809844.41</v>
      </c>
      <c r="W265" s="6"/>
      <c r="X265" s="6"/>
      <c r="Y265" s="6">
        <f>V265</f>
        <v>809844.41</v>
      </c>
      <c r="Z265" s="6">
        <f>V265-P265</f>
        <v>-222155.58999999997</v>
      </c>
      <c r="AA265" s="4"/>
      <c r="AB265" s="6">
        <f>Z265</f>
        <v>-222155.58999999997</v>
      </c>
      <c r="AD265" s="60"/>
      <c r="AE265" s="34"/>
      <c r="AF265" s="34"/>
      <c r="AG265" s="34"/>
      <c r="AH265" s="34"/>
      <c r="AI265" s="34"/>
      <c r="AJ265" s="34"/>
      <c r="AK265" s="34"/>
      <c r="AL265" s="34"/>
      <c r="AM265" s="34"/>
      <c r="AN265" s="34"/>
      <c r="AO265" s="34"/>
      <c r="AP265" s="34"/>
    </row>
    <row r="266" spans="1:42" ht="20.100000000000001" customHeight="1" x14ac:dyDescent="0.25">
      <c r="A266" s="47"/>
      <c r="B266" s="289" t="s">
        <v>243</v>
      </c>
      <c r="C266" s="272"/>
      <c r="D266" s="272"/>
      <c r="E266" s="272"/>
      <c r="F266" s="64"/>
      <c r="G266" s="64"/>
      <c r="H266" s="64"/>
      <c r="I266" s="64"/>
      <c r="J266" s="64"/>
      <c r="K266" s="3"/>
      <c r="L266" s="257"/>
      <c r="M266" s="257"/>
      <c r="N266" s="3"/>
      <c r="O266" s="3"/>
      <c r="P266" s="390"/>
      <c r="Q266" s="390"/>
      <c r="R266" s="264"/>
      <c r="S266" s="264"/>
      <c r="T266" s="230"/>
      <c r="U266" s="229"/>
      <c r="V266" s="4"/>
      <c r="W266" s="4"/>
      <c r="X266" s="4"/>
      <c r="Y266" s="4"/>
      <c r="Z266" s="6"/>
      <c r="AA266" s="4"/>
      <c r="AB266" s="6"/>
      <c r="AD266" s="34"/>
      <c r="AE266" s="34"/>
      <c r="AF266" s="34"/>
      <c r="AG266" s="34"/>
      <c r="AH266" s="34"/>
      <c r="AI266" s="34"/>
      <c r="AJ266" s="34"/>
      <c r="AK266" s="34"/>
      <c r="AL266" s="34"/>
      <c r="AM266" s="34"/>
      <c r="AN266" s="34"/>
      <c r="AO266" s="34"/>
      <c r="AP266" s="34"/>
    </row>
    <row r="267" spans="1:42" ht="36" customHeight="1" x14ac:dyDescent="0.25">
      <c r="A267" s="47">
        <v>1</v>
      </c>
      <c r="B267" s="249" t="s">
        <v>27</v>
      </c>
      <c r="C267" s="278"/>
      <c r="D267" s="278"/>
      <c r="E267" s="278"/>
      <c r="F267" s="65"/>
      <c r="G267" s="65"/>
      <c r="H267" s="65"/>
      <c r="I267" s="65"/>
      <c r="J267" s="65"/>
      <c r="K267" s="3" t="s">
        <v>28</v>
      </c>
      <c r="L267" s="364" t="s">
        <v>129</v>
      </c>
      <c r="M267" s="364"/>
      <c r="N267" s="3"/>
      <c r="O267" s="3"/>
      <c r="P267" s="392">
        <f>8659+1134+756.44</f>
        <v>10549.44</v>
      </c>
      <c r="Q267" s="393">
        <f>8659+1134+756.44</f>
        <v>10549.44</v>
      </c>
      <c r="R267" s="264"/>
      <c r="S267" s="264"/>
      <c r="T267" s="264">
        <f>P267</f>
        <v>10549.44</v>
      </c>
      <c r="U267" s="264"/>
      <c r="V267" s="61">
        <f>2436+564.18</f>
        <v>3000.18</v>
      </c>
      <c r="W267" s="134"/>
      <c r="X267" s="161"/>
      <c r="Y267" s="61">
        <f>V267</f>
        <v>3000.18</v>
      </c>
      <c r="Z267" s="61">
        <f>V267-P267</f>
        <v>-7549.26</v>
      </c>
      <c r="AA267" s="61"/>
      <c r="AB267" s="151">
        <f>Z267</f>
        <v>-7549.26</v>
      </c>
      <c r="AD267" s="34"/>
      <c r="AE267" s="34"/>
      <c r="AF267" s="34"/>
      <c r="AG267" s="34"/>
      <c r="AH267" s="34"/>
      <c r="AI267" s="34"/>
      <c r="AJ267" s="34"/>
      <c r="AK267" s="34"/>
      <c r="AL267" s="34"/>
      <c r="AM267" s="34"/>
      <c r="AN267" s="34"/>
      <c r="AO267" s="34"/>
      <c r="AP267" s="34"/>
    </row>
    <row r="268" spans="1:42" ht="36" customHeight="1" x14ac:dyDescent="0.25">
      <c r="A268" s="47">
        <v>2</v>
      </c>
      <c r="B268" s="247" t="s">
        <v>319</v>
      </c>
      <c r="C268" s="248"/>
      <c r="D268" s="248"/>
      <c r="E268" s="249"/>
      <c r="F268" s="65"/>
      <c r="G268" s="65"/>
      <c r="H268" s="65"/>
      <c r="I268" s="65"/>
      <c r="J268" s="65"/>
      <c r="K268" s="3" t="s">
        <v>320</v>
      </c>
      <c r="L268" s="349" t="s">
        <v>72</v>
      </c>
      <c r="M268" s="350"/>
      <c r="N268" s="3"/>
      <c r="O268" s="3"/>
      <c r="P268" s="212"/>
      <c r="Q268" s="213"/>
      <c r="R268" s="264"/>
      <c r="S268" s="264"/>
      <c r="T268" s="264"/>
      <c r="U268" s="264"/>
      <c r="V268" s="61">
        <f>69.581</f>
        <v>69.581000000000003</v>
      </c>
      <c r="W268" s="134"/>
      <c r="X268" s="161"/>
      <c r="Y268" s="61">
        <f>V268</f>
        <v>69.581000000000003</v>
      </c>
      <c r="Z268" s="61">
        <f>V268-P268</f>
        <v>69.581000000000003</v>
      </c>
      <c r="AA268" s="61"/>
      <c r="AB268" s="151">
        <f>Z268</f>
        <v>69.581000000000003</v>
      </c>
      <c r="AD268" s="34"/>
      <c r="AE268" s="34"/>
      <c r="AF268" s="34"/>
      <c r="AG268" s="34"/>
      <c r="AH268" s="34"/>
      <c r="AI268" s="34"/>
      <c r="AJ268" s="34"/>
      <c r="AK268" s="34"/>
      <c r="AL268" s="34"/>
      <c r="AM268" s="34"/>
      <c r="AN268" s="34"/>
      <c r="AO268" s="34"/>
      <c r="AP268" s="34"/>
    </row>
    <row r="269" spans="1:42" ht="34.5" customHeight="1" x14ac:dyDescent="0.25">
      <c r="A269" s="47"/>
      <c r="B269" s="263" t="s">
        <v>323</v>
      </c>
      <c r="C269" s="235"/>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c r="AA269" s="235"/>
      <c r="AB269" s="235"/>
      <c r="AD269" s="34"/>
      <c r="AE269" s="34"/>
      <c r="AF269" s="34"/>
      <c r="AG269" s="34"/>
      <c r="AH269" s="34"/>
      <c r="AI269" s="34"/>
      <c r="AJ269" s="34"/>
      <c r="AK269" s="34"/>
      <c r="AL269" s="34"/>
      <c r="AM269" s="34"/>
      <c r="AN269" s="34"/>
      <c r="AO269" s="34"/>
      <c r="AP269" s="34"/>
    </row>
    <row r="270" spans="1:42" ht="20.100000000000001" customHeight="1" x14ac:dyDescent="0.25">
      <c r="A270" s="47"/>
      <c r="B270" s="289" t="s">
        <v>246</v>
      </c>
      <c r="C270" s="272"/>
      <c r="D270" s="272"/>
      <c r="E270" s="272"/>
      <c r="F270" s="64"/>
      <c r="G270" s="64"/>
      <c r="H270" s="64"/>
      <c r="I270" s="64"/>
      <c r="J270" s="64"/>
      <c r="K270" s="3"/>
      <c r="L270" s="257"/>
      <c r="M270" s="257"/>
      <c r="N270" s="3"/>
      <c r="O270" s="3"/>
      <c r="P270" s="391"/>
      <c r="Q270" s="391"/>
      <c r="R270" s="264"/>
      <c r="S270" s="264"/>
      <c r="T270" s="230"/>
      <c r="U270" s="229"/>
      <c r="V270" s="4"/>
      <c r="W270" s="4"/>
      <c r="X270" s="4"/>
      <c r="Y270" s="4"/>
      <c r="Z270" s="6"/>
      <c r="AA270" s="4"/>
      <c r="AB270" s="6"/>
      <c r="AD270" s="34"/>
      <c r="AE270" s="34"/>
      <c r="AF270" s="34"/>
      <c r="AG270" s="34"/>
      <c r="AH270" s="34"/>
      <c r="AI270" s="34"/>
      <c r="AJ270" s="34"/>
      <c r="AK270" s="34"/>
      <c r="AL270" s="34"/>
      <c r="AM270" s="34"/>
      <c r="AN270" s="34"/>
      <c r="AO270" s="34"/>
      <c r="AP270" s="34"/>
    </row>
    <row r="271" spans="1:42" ht="33" customHeight="1" x14ac:dyDescent="0.25">
      <c r="A271" s="47">
        <v>1</v>
      </c>
      <c r="B271" s="271" t="s">
        <v>29</v>
      </c>
      <c r="C271" s="236"/>
      <c r="D271" s="236"/>
      <c r="E271" s="236"/>
      <c r="F271" s="9"/>
      <c r="G271" s="9"/>
      <c r="H271" s="9"/>
      <c r="I271" s="9"/>
      <c r="J271" s="9"/>
      <c r="K271" s="3" t="s">
        <v>124</v>
      </c>
      <c r="L271" s="257" t="s">
        <v>131</v>
      </c>
      <c r="M271" s="257"/>
      <c r="N271" s="3"/>
      <c r="O271" s="3"/>
      <c r="P271" s="391">
        <f>P265/P267/1000*100</f>
        <v>9.7825097825097806</v>
      </c>
      <c r="Q271" s="391"/>
      <c r="R271" s="264"/>
      <c r="S271" s="264"/>
      <c r="T271" s="230">
        <f>P271</f>
        <v>9.7825097825097806</v>
      </c>
      <c r="U271" s="229"/>
      <c r="V271" s="123">
        <f>368821/V267/1000*100</f>
        <v>12.293295735589199</v>
      </c>
      <c r="W271" s="61"/>
      <c r="X271" s="61"/>
      <c r="Y271" s="61">
        <f>V271</f>
        <v>12.293295735589199</v>
      </c>
      <c r="Z271" s="6">
        <f>V271-P271</f>
        <v>2.5107859530794183</v>
      </c>
      <c r="AA271" s="6"/>
      <c r="AB271" s="6">
        <f>Z271</f>
        <v>2.5107859530794183</v>
      </c>
      <c r="AD271" s="34"/>
      <c r="AE271" s="60"/>
      <c r="AF271" s="34"/>
      <c r="AG271" s="34"/>
      <c r="AH271" s="183"/>
      <c r="AI271" s="34"/>
      <c r="AJ271" s="34"/>
      <c r="AK271" s="34"/>
      <c r="AL271" s="34"/>
      <c r="AM271" s="34"/>
      <c r="AN271" s="34"/>
      <c r="AO271" s="34"/>
      <c r="AP271" s="34"/>
    </row>
    <row r="272" spans="1:42" ht="33" customHeight="1" x14ac:dyDescent="0.25">
      <c r="A272" s="47">
        <v>2</v>
      </c>
      <c r="B272" s="271" t="s">
        <v>318</v>
      </c>
      <c r="C272" s="236"/>
      <c r="D272" s="236"/>
      <c r="E272" s="236"/>
      <c r="F272" s="9"/>
      <c r="G272" s="9"/>
      <c r="H272" s="9"/>
      <c r="I272" s="9"/>
      <c r="J272" s="9"/>
      <c r="K272" s="3" t="s">
        <v>124</v>
      </c>
      <c r="L272" s="257" t="s">
        <v>131</v>
      </c>
      <c r="M272" s="257"/>
      <c r="N272" s="3"/>
      <c r="O272" s="3"/>
      <c r="P272" s="391"/>
      <c r="Q272" s="391"/>
      <c r="R272" s="264"/>
      <c r="S272" s="264"/>
      <c r="T272" s="230"/>
      <c r="U272" s="229"/>
      <c r="V272" s="123">
        <f>441023.41/V268/1000</f>
        <v>6.3382735229444815</v>
      </c>
      <c r="W272" s="61"/>
      <c r="X272" s="61"/>
      <c r="Y272" s="61">
        <f>V272</f>
        <v>6.3382735229444815</v>
      </c>
      <c r="Z272" s="6">
        <f>V272-P272</f>
        <v>6.3382735229444815</v>
      </c>
      <c r="AA272" s="6"/>
      <c r="AB272" s="6">
        <f>Z272</f>
        <v>6.3382735229444815</v>
      </c>
      <c r="AD272" s="34"/>
      <c r="AE272" s="60"/>
      <c r="AF272" s="34"/>
      <c r="AG272" s="34"/>
      <c r="AH272" s="183"/>
      <c r="AI272" s="34"/>
      <c r="AJ272" s="34"/>
      <c r="AK272" s="34"/>
      <c r="AL272" s="34"/>
      <c r="AM272" s="34"/>
      <c r="AN272" s="34"/>
      <c r="AO272" s="34"/>
      <c r="AP272" s="34"/>
    </row>
    <row r="273" spans="1:51" ht="20.100000000000001" customHeight="1" x14ac:dyDescent="0.25">
      <c r="A273" s="47"/>
      <c r="B273" s="289" t="s">
        <v>244</v>
      </c>
      <c r="C273" s="272"/>
      <c r="D273" s="272"/>
      <c r="E273" s="272"/>
      <c r="F273" s="64"/>
      <c r="G273" s="64"/>
      <c r="H273" s="64"/>
      <c r="I273" s="64"/>
      <c r="J273" s="64"/>
      <c r="K273" s="3"/>
      <c r="L273" s="257"/>
      <c r="M273" s="257"/>
      <c r="N273" s="3"/>
      <c r="O273" s="3"/>
      <c r="P273" s="390"/>
      <c r="Q273" s="390"/>
      <c r="R273" s="264"/>
      <c r="S273" s="264"/>
      <c r="T273" s="230"/>
      <c r="U273" s="229"/>
      <c r="V273" s="4"/>
      <c r="W273" s="4"/>
      <c r="X273" s="4"/>
      <c r="Y273" s="4"/>
      <c r="Z273" s="6"/>
      <c r="AA273" s="4"/>
      <c r="AB273" s="6"/>
      <c r="AD273" s="34"/>
      <c r="AE273" s="34"/>
      <c r="AF273" s="60"/>
      <c r="AG273" s="34"/>
      <c r="AH273" s="34"/>
      <c r="AI273" s="34"/>
      <c r="AJ273" s="34"/>
      <c r="AK273" s="34"/>
      <c r="AL273" s="34"/>
      <c r="AM273" s="34"/>
      <c r="AN273" s="34"/>
      <c r="AO273" s="34"/>
      <c r="AP273" s="34"/>
    </row>
    <row r="274" spans="1:51" ht="53.25" customHeight="1" x14ac:dyDescent="0.25">
      <c r="A274" s="47">
        <v>1</v>
      </c>
      <c r="B274" s="271" t="s">
        <v>30</v>
      </c>
      <c r="C274" s="236"/>
      <c r="D274" s="236"/>
      <c r="E274" s="236"/>
      <c r="F274" s="9"/>
      <c r="G274" s="9"/>
      <c r="H274" s="9"/>
      <c r="I274" s="9"/>
      <c r="J274" s="9"/>
      <c r="K274" s="191" t="s">
        <v>3</v>
      </c>
      <c r="L274" s="257" t="s">
        <v>131</v>
      </c>
      <c r="M274" s="257"/>
      <c r="N274" s="3"/>
      <c r="O274" s="3"/>
      <c r="P274" s="391">
        <f>10549.44/P267*100</f>
        <v>100</v>
      </c>
      <c r="Q274" s="391"/>
      <c r="R274" s="264"/>
      <c r="S274" s="264"/>
      <c r="T274" s="230">
        <f>P274</f>
        <v>100</v>
      </c>
      <c r="U274" s="229"/>
      <c r="V274" s="61">
        <f>V267/3000.18*100</f>
        <v>100</v>
      </c>
      <c r="W274" s="61"/>
      <c r="X274" s="61"/>
      <c r="Y274" s="61">
        <f>V274</f>
        <v>100</v>
      </c>
      <c r="Z274" s="6">
        <f>V274-P274</f>
        <v>0</v>
      </c>
      <c r="AA274" s="4"/>
      <c r="AB274" s="6">
        <f>Z274</f>
        <v>0</v>
      </c>
      <c r="AD274" s="34"/>
      <c r="AE274" s="34"/>
      <c r="AF274" s="34"/>
      <c r="AG274" s="34"/>
      <c r="AH274" s="183"/>
      <c r="AI274" s="34"/>
      <c r="AJ274" s="34"/>
      <c r="AK274" s="34"/>
      <c r="AL274" s="34"/>
      <c r="AM274" s="34"/>
      <c r="AN274" s="34"/>
      <c r="AO274" s="34"/>
      <c r="AP274" s="34"/>
    </row>
    <row r="275" spans="1:51" ht="20.100000000000001" customHeight="1" x14ac:dyDescent="0.25">
      <c r="A275" s="47"/>
      <c r="B275" s="238" t="s">
        <v>46</v>
      </c>
      <c r="C275" s="238"/>
      <c r="D275" s="238"/>
      <c r="E275" s="238"/>
      <c r="F275" s="238"/>
      <c r="G275" s="238"/>
      <c r="H275" s="238"/>
      <c r="I275" s="238"/>
      <c r="J275" s="238"/>
      <c r="K275" s="238"/>
      <c r="L275" s="238"/>
      <c r="M275" s="238"/>
      <c r="N275" s="238"/>
      <c r="O275" s="238"/>
      <c r="P275" s="238"/>
      <c r="Q275" s="238"/>
      <c r="R275" s="302"/>
      <c r="S275" s="302"/>
      <c r="T275" s="268"/>
      <c r="U275" s="268"/>
      <c r="V275" s="44"/>
      <c r="W275" s="44"/>
      <c r="X275" s="44"/>
      <c r="Y275" s="44"/>
      <c r="Z275" s="44"/>
      <c r="AA275" s="44"/>
      <c r="AB275" s="44"/>
      <c r="AD275" s="34"/>
      <c r="AE275" s="34"/>
      <c r="AF275" s="34"/>
      <c r="AG275" s="34"/>
      <c r="AH275" s="34"/>
      <c r="AI275" s="34"/>
      <c r="AJ275" s="34"/>
      <c r="AK275" s="34"/>
      <c r="AL275" s="34"/>
      <c r="AM275" s="34"/>
      <c r="AN275" s="34"/>
      <c r="AO275" s="34"/>
      <c r="AP275" s="34"/>
    </row>
    <row r="276" spans="1:51" ht="20.100000000000001" customHeight="1" x14ac:dyDescent="0.25">
      <c r="A276" s="47"/>
      <c r="B276" s="272" t="s">
        <v>245</v>
      </c>
      <c r="C276" s="272"/>
      <c r="D276" s="272"/>
      <c r="E276" s="272"/>
      <c r="F276" s="64"/>
      <c r="G276" s="64"/>
      <c r="H276" s="64"/>
      <c r="I276" s="64"/>
      <c r="J276" s="64"/>
      <c r="K276" s="3"/>
      <c r="L276" s="257"/>
      <c r="M276" s="257"/>
      <c r="N276" s="3"/>
      <c r="O276" s="3"/>
      <c r="P276" s="268"/>
      <c r="Q276" s="268"/>
      <c r="R276" s="268"/>
      <c r="S276" s="268"/>
      <c r="T276" s="268"/>
      <c r="U276" s="268"/>
      <c r="V276" s="44"/>
      <c r="W276" s="44"/>
      <c r="X276" s="44"/>
      <c r="Y276" s="44"/>
      <c r="Z276" s="44"/>
      <c r="AA276" s="44"/>
      <c r="AB276" s="44"/>
      <c r="AD276" s="34"/>
      <c r="AE276" s="34"/>
      <c r="AF276" s="34"/>
      <c r="AG276" s="34"/>
      <c r="AH276" s="34"/>
      <c r="AI276" s="34"/>
      <c r="AJ276" s="34"/>
      <c r="AK276" s="34"/>
      <c r="AL276" s="34"/>
      <c r="AM276" s="34"/>
      <c r="AN276" s="34"/>
      <c r="AO276" s="34"/>
      <c r="AP276" s="34"/>
    </row>
    <row r="277" spans="1:51" ht="22.5" customHeight="1" x14ac:dyDescent="0.25">
      <c r="A277" s="47"/>
      <c r="B277" s="273" t="s">
        <v>118</v>
      </c>
      <c r="C277" s="274"/>
      <c r="D277" s="274"/>
      <c r="E277" s="274"/>
      <c r="F277" s="274"/>
      <c r="G277" s="274"/>
      <c r="H277" s="274"/>
      <c r="I277" s="274"/>
      <c r="J277" s="274"/>
      <c r="K277" s="3" t="s">
        <v>124</v>
      </c>
      <c r="L277" s="257" t="s">
        <v>122</v>
      </c>
      <c r="M277" s="257"/>
      <c r="N277" s="257"/>
      <c r="O277" s="257"/>
      <c r="P277" s="268"/>
      <c r="Q277" s="268"/>
      <c r="R277" s="253">
        <f>SUM(R278:S279)</f>
        <v>673500</v>
      </c>
      <c r="S277" s="253"/>
      <c r="T277" s="230">
        <f>R277</f>
        <v>673500</v>
      </c>
      <c r="U277" s="230"/>
      <c r="V277" s="6"/>
      <c r="W277" s="6"/>
      <c r="X277" s="1">
        <f>SUM(X278:X279)</f>
        <v>8494.8700000000008</v>
      </c>
      <c r="Y277" s="1">
        <f>X277</f>
        <v>8494.8700000000008</v>
      </c>
      <c r="Z277" s="6"/>
      <c r="AA277" s="1">
        <f>SUM(AA278:AA279)</f>
        <v>-665005.13</v>
      </c>
      <c r="AB277" s="6">
        <f>AA277</f>
        <v>-665005.13</v>
      </c>
      <c r="AD277" s="34"/>
      <c r="AE277" s="34"/>
      <c r="AF277" s="34"/>
      <c r="AG277" s="34"/>
      <c r="AH277" s="183"/>
      <c r="AI277" s="34"/>
      <c r="AJ277" s="34"/>
      <c r="AK277" s="34"/>
      <c r="AL277" s="34"/>
      <c r="AM277" s="34"/>
      <c r="AN277" s="34"/>
      <c r="AO277" s="34"/>
      <c r="AP277" s="34"/>
    </row>
    <row r="278" spans="1:51" ht="39" customHeight="1" x14ac:dyDescent="0.25">
      <c r="A278" s="47">
        <f>A277+1</f>
        <v>1</v>
      </c>
      <c r="B278" s="273" t="s">
        <v>47</v>
      </c>
      <c r="C278" s="274"/>
      <c r="D278" s="274"/>
      <c r="E278" s="274"/>
      <c r="F278" s="274"/>
      <c r="G278" s="274"/>
      <c r="H278" s="274"/>
      <c r="I278" s="274"/>
      <c r="J278" s="274"/>
      <c r="K278" s="3" t="s">
        <v>124</v>
      </c>
      <c r="L278" s="390" t="s">
        <v>123</v>
      </c>
      <c r="M278" s="390"/>
      <c r="N278" s="390"/>
      <c r="O278" s="390"/>
      <c r="P278" s="268"/>
      <c r="Q278" s="268"/>
      <c r="R278" s="276">
        <v>665000</v>
      </c>
      <c r="S278" s="277"/>
      <c r="T278" s="230">
        <f>R278</f>
        <v>665000</v>
      </c>
      <c r="U278" s="230"/>
      <c r="V278" s="6"/>
      <c r="W278" s="6"/>
      <c r="X278" s="6">
        <v>0</v>
      </c>
      <c r="Y278" s="6">
        <f>X278</f>
        <v>0</v>
      </c>
      <c r="Z278" s="6"/>
      <c r="AA278" s="6">
        <f>X278-R278</f>
        <v>-665000</v>
      </c>
      <c r="AB278" s="6">
        <f>AA278</f>
        <v>-665000</v>
      </c>
      <c r="AD278" s="34"/>
      <c r="AE278" s="34"/>
      <c r="AF278" s="34"/>
      <c r="AG278" s="34"/>
      <c r="AH278" s="34"/>
      <c r="AI278" s="34"/>
      <c r="AJ278" s="34"/>
      <c r="AK278" s="34"/>
      <c r="AL278" s="34"/>
      <c r="AM278" s="34"/>
      <c r="AN278" s="34"/>
      <c r="AO278" s="34"/>
      <c r="AP278" s="34"/>
    </row>
    <row r="279" spans="1:51" ht="66" customHeight="1" x14ac:dyDescent="0.25">
      <c r="A279" s="47">
        <f>A278+1</f>
        <v>2</v>
      </c>
      <c r="B279" s="273" t="s">
        <v>275</v>
      </c>
      <c r="C279" s="274"/>
      <c r="D279" s="274"/>
      <c r="E279" s="274"/>
      <c r="F279" s="274"/>
      <c r="G279" s="274"/>
      <c r="H279" s="274"/>
      <c r="I279" s="274"/>
      <c r="J279" s="274"/>
      <c r="K279" s="3" t="s">
        <v>124</v>
      </c>
      <c r="L279" s="390" t="s">
        <v>123</v>
      </c>
      <c r="M279" s="390"/>
      <c r="N279" s="390"/>
      <c r="O279" s="390"/>
      <c r="P279" s="268"/>
      <c r="Q279" s="268"/>
      <c r="R279" s="276">
        <v>8500</v>
      </c>
      <c r="S279" s="277"/>
      <c r="T279" s="230">
        <f>R279</f>
        <v>8500</v>
      </c>
      <c r="U279" s="230"/>
      <c r="V279" s="6"/>
      <c r="W279" s="6"/>
      <c r="X279" s="6">
        <v>8494.8700000000008</v>
      </c>
      <c r="Y279" s="6">
        <f>X279</f>
        <v>8494.8700000000008</v>
      </c>
      <c r="Z279" s="6"/>
      <c r="AA279" s="6">
        <f>X279-R279</f>
        <v>-5.1299999999991996</v>
      </c>
      <c r="AB279" s="6">
        <f>AA279</f>
        <v>-5.1299999999991996</v>
      </c>
      <c r="AD279" s="34"/>
      <c r="AE279" s="34"/>
      <c r="AF279" s="34"/>
      <c r="AG279" s="34"/>
      <c r="AH279" s="34"/>
      <c r="AI279" s="34"/>
      <c r="AJ279" s="34"/>
      <c r="AK279" s="34"/>
      <c r="AL279" s="34"/>
      <c r="AM279" s="34"/>
      <c r="AN279" s="34"/>
      <c r="AO279" s="34"/>
      <c r="AP279" s="34"/>
    </row>
    <row r="280" spans="1:51" ht="20.25" customHeight="1" x14ac:dyDescent="0.25">
      <c r="A280" s="47"/>
      <c r="B280" s="289" t="s">
        <v>243</v>
      </c>
      <c r="C280" s="272"/>
      <c r="D280" s="272"/>
      <c r="E280" s="272"/>
      <c r="F280" s="64"/>
      <c r="G280" s="64"/>
      <c r="H280" s="64"/>
      <c r="I280" s="64"/>
      <c r="J280" s="64"/>
      <c r="K280" s="3"/>
      <c r="L280" s="257"/>
      <c r="M280" s="257"/>
      <c r="N280" s="3"/>
      <c r="O280" s="3"/>
      <c r="P280" s="268"/>
      <c r="Q280" s="268"/>
      <c r="R280" s="257"/>
      <c r="S280" s="257"/>
      <c r="T280" s="268"/>
      <c r="U280" s="268"/>
      <c r="V280" s="44"/>
      <c r="W280" s="44"/>
      <c r="X280" s="44"/>
      <c r="Y280" s="44"/>
      <c r="Z280" s="43"/>
      <c r="AA280" s="43"/>
      <c r="AB280" s="44"/>
      <c r="AD280" s="34"/>
      <c r="AE280" s="34"/>
      <c r="AF280" s="34"/>
      <c r="AG280" s="34"/>
      <c r="AH280" s="34"/>
      <c r="AI280" s="34"/>
      <c r="AJ280" s="34"/>
      <c r="AK280" s="34"/>
      <c r="AL280" s="34"/>
      <c r="AM280" s="34"/>
      <c r="AN280" s="34"/>
      <c r="AO280" s="34"/>
      <c r="AP280" s="34"/>
    </row>
    <row r="281" spans="1:51" ht="34.5" customHeight="1" x14ac:dyDescent="0.25">
      <c r="A281" s="47">
        <v>1</v>
      </c>
      <c r="B281" s="305" t="s">
        <v>48</v>
      </c>
      <c r="C281" s="306"/>
      <c r="D281" s="306"/>
      <c r="E281" s="306"/>
      <c r="F281" s="306"/>
      <c r="G281" s="306"/>
      <c r="H281" s="306"/>
      <c r="I281" s="306"/>
      <c r="J281" s="290"/>
      <c r="K281" s="3" t="s">
        <v>126</v>
      </c>
      <c r="L281" s="482" t="s">
        <v>123</v>
      </c>
      <c r="M281" s="483"/>
      <c r="N281" s="483"/>
      <c r="O281" s="484"/>
      <c r="P281" s="268"/>
      <c r="Q281" s="268"/>
      <c r="R281" s="388">
        <v>1</v>
      </c>
      <c r="S281" s="389"/>
      <c r="T281" s="288">
        <f>R281</f>
        <v>1</v>
      </c>
      <c r="U281" s="229"/>
      <c r="V281" s="4"/>
      <c r="W281" s="4"/>
      <c r="X281" s="113">
        <v>0</v>
      </c>
      <c r="Y281" s="133">
        <f>X281</f>
        <v>0</v>
      </c>
      <c r="Z281" s="6"/>
      <c r="AA281" s="95">
        <f>X281-R281</f>
        <v>-1</v>
      </c>
      <c r="AB281" s="95">
        <f>AA281</f>
        <v>-1</v>
      </c>
      <c r="AD281" s="34"/>
      <c r="AE281" s="34"/>
      <c r="AF281" s="34"/>
      <c r="AG281" s="34"/>
      <c r="AH281" s="34"/>
      <c r="AI281" s="34"/>
      <c r="AJ281" s="34"/>
      <c r="AK281" s="34"/>
      <c r="AL281" s="34"/>
      <c r="AM281" s="34"/>
      <c r="AN281" s="34"/>
      <c r="AO281" s="34"/>
      <c r="AP281" s="34"/>
    </row>
    <row r="282" spans="1:51" ht="38.25" customHeight="1" x14ac:dyDescent="0.25">
      <c r="A282" s="47">
        <v>2</v>
      </c>
      <c r="B282" s="305" t="s">
        <v>276</v>
      </c>
      <c r="C282" s="306"/>
      <c r="D282" s="306"/>
      <c r="E282" s="306"/>
      <c r="F282" s="158"/>
      <c r="G282" s="158"/>
      <c r="H282" s="158"/>
      <c r="I282" s="158"/>
      <c r="J282" s="159"/>
      <c r="K282" s="3" t="s">
        <v>126</v>
      </c>
      <c r="L282" s="482" t="s">
        <v>123</v>
      </c>
      <c r="M282" s="483"/>
      <c r="N282" s="483"/>
      <c r="O282" s="484"/>
      <c r="P282" s="268"/>
      <c r="Q282" s="268"/>
      <c r="R282" s="388">
        <v>1</v>
      </c>
      <c r="S282" s="389"/>
      <c r="T282" s="288">
        <f>R282</f>
        <v>1</v>
      </c>
      <c r="U282" s="288"/>
      <c r="V282" s="4"/>
      <c r="W282" s="4"/>
      <c r="X282" s="113">
        <v>1</v>
      </c>
      <c r="Y282" s="133">
        <f>X282</f>
        <v>1</v>
      </c>
      <c r="Z282" s="6"/>
      <c r="AA282" s="95">
        <f>X282-R282</f>
        <v>0</v>
      </c>
      <c r="AB282" s="95">
        <f>AA282</f>
        <v>0</v>
      </c>
      <c r="AD282" s="34"/>
      <c r="AE282" s="91"/>
      <c r="AF282" s="91"/>
      <c r="AG282" s="91"/>
      <c r="AH282" s="91"/>
      <c r="AI282" s="91"/>
      <c r="AJ282" s="91"/>
      <c r="AK282" s="91"/>
      <c r="AL282" s="91"/>
      <c r="AM282" s="91"/>
      <c r="AN282" s="91"/>
      <c r="AO282" s="91"/>
      <c r="AP282" s="91"/>
      <c r="AQ282" s="91"/>
      <c r="AR282" s="91"/>
      <c r="AS282" s="91"/>
      <c r="AT282" s="91"/>
      <c r="AU282" s="91"/>
      <c r="AV282" s="91"/>
      <c r="AW282" s="34"/>
      <c r="AX282" s="34"/>
      <c r="AY282" s="34"/>
    </row>
    <row r="283" spans="1:51" ht="20.100000000000001" customHeight="1" x14ac:dyDescent="0.25">
      <c r="A283" s="47"/>
      <c r="B283" s="289" t="s">
        <v>246</v>
      </c>
      <c r="C283" s="272"/>
      <c r="D283" s="272"/>
      <c r="E283" s="272"/>
      <c r="F283" s="64"/>
      <c r="G283" s="64"/>
      <c r="H283" s="64"/>
      <c r="I283" s="64"/>
      <c r="J283" s="64"/>
      <c r="K283" s="3"/>
      <c r="L283" s="257"/>
      <c r="M283" s="257"/>
      <c r="N283" s="3"/>
      <c r="O283" s="3"/>
      <c r="P283" s="268"/>
      <c r="Q283" s="268"/>
      <c r="R283" s="257"/>
      <c r="S283" s="257"/>
      <c r="T283" s="288"/>
      <c r="U283" s="229"/>
      <c r="V283" s="4"/>
      <c r="W283" s="4"/>
      <c r="X283" s="4"/>
      <c r="Y283" s="4"/>
      <c r="Z283" s="6"/>
      <c r="AA283" s="6"/>
      <c r="AB283" s="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row>
    <row r="284" spans="1:51" ht="35.25" customHeight="1" x14ac:dyDescent="0.25">
      <c r="A284" s="47">
        <v>1</v>
      </c>
      <c r="B284" s="305" t="s">
        <v>338</v>
      </c>
      <c r="C284" s="306"/>
      <c r="D284" s="306"/>
      <c r="E284" s="306"/>
      <c r="F284" s="158"/>
      <c r="G284" s="158"/>
      <c r="H284" s="158"/>
      <c r="I284" s="158"/>
      <c r="J284" s="159"/>
      <c r="K284" s="3" t="s">
        <v>124</v>
      </c>
      <c r="L284" s="257" t="s">
        <v>131</v>
      </c>
      <c r="M284" s="257"/>
      <c r="N284" s="3"/>
      <c r="O284" s="3"/>
      <c r="P284" s="268"/>
      <c r="Q284" s="268"/>
      <c r="R284" s="386">
        <f>R278/R281</f>
        <v>665000</v>
      </c>
      <c r="S284" s="387"/>
      <c r="T284" s="230">
        <f>R284</f>
        <v>665000</v>
      </c>
      <c r="U284" s="230"/>
      <c r="V284" s="6"/>
      <c r="W284" s="6"/>
      <c r="X284" s="157">
        <v>0</v>
      </c>
      <c r="Y284" s="1">
        <f>X284</f>
        <v>0</v>
      </c>
      <c r="Z284" s="6"/>
      <c r="AA284" s="6">
        <f>X284-R284</f>
        <v>-665000</v>
      </c>
      <c r="AB284" s="6">
        <f>AA284</f>
        <v>-665000</v>
      </c>
      <c r="AD284" s="34"/>
      <c r="AE284" s="34"/>
      <c r="AF284" s="91"/>
      <c r="AG284" s="91"/>
      <c r="AH284" s="91"/>
      <c r="AI284" s="91"/>
      <c r="AJ284" s="91"/>
      <c r="AK284" s="91"/>
      <c r="AL284" s="91"/>
      <c r="AM284" s="91"/>
      <c r="AN284" s="91"/>
      <c r="AO284" s="91"/>
      <c r="AP284" s="91"/>
      <c r="AQ284" s="91"/>
      <c r="AR284" s="91"/>
      <c r="AS284" s="91"/>
      <c r="AT284" s="91"/>
      <c r="AU284" s="91"/>
      <c r="AV284" s="91"/>
      <c r="AW284" s="91"/>
      <c r="AX284" s="34"/>
      <c r="AY284" s="34"/>
    </row>
    <row r="285" spans="1:51" ht="51" customHeight="1" x14ac:dyDescent="0.25">
      <c r="A285" s="47">
        <v>2</v>
      </c>
      <c r="B285" s="305" t="s">
        <v>49</v>
      </c>
      <c r="C285" s="306"/>
      <c r="D285" s="306"/>
      <c r="E285" s="306"/>
      <c r="F285" s="158"/>
      <c r="G285" s="158"/>
      <c r="H285" s="158"/>
      <c r="I285" s="158"/>
      <c r="J285" s="158"/>
      <c r="K285" s="3" t="s">
        <v>124</v>
      </c>
      <c r="L285" s="257" t="s">
        <v>131</v>
      </c>
      <c r="M285" s="257"/>
      <c r="N285" s="3"/>
      <c r="O285" s="3"/>
      <c r="P285" s="268"/>
      <c r="Q285" s="268"/>
      <c r="R285" s="386">
        <f>R279/R282</f>
        <v>8500</v>
      </c>
      <c r="S285" s="387"/>
      <c r="T285" s="230">
        <f>R285</f>
        <v>8500</v>
      </c>
      <c r="U285" s="230"/>
      <c r="V285" s="6"/>
      <c r="W285" s="6"/>
      <c r="X285" s="157">
        <f>X279/X282</f>
        <v>8494.8700000000008</v>
      </c>
      <c r="Y285" s="1">
        <f>X285</f>
        <v>8494.8700000000008</v>
      </c>
      <c r="Z285" s="6"/>
      <c r="AA285" s="6">
        <f>X285-R285</f>
        <v>-5.1299999999991996</v>
      </c>
      <c r="AB285" s="6">
        <f>AA285</f>
        <v>-5.1299999999991996</v>
      </c>
      <c r="AD285" s="34"/>
      <c r="AE285" s="34"/>
      <c r="AF285" s="91"/>
      <c r="AG285" s="91"/>
      <c r="AH285" s="91"/>
      <c r="AI285" s="91"/>
      <c r="AJ285" s="91"/>
      <c r="AK285" s="91"/>
      <c r="AL285" s="91"/>
      <c r="AM285" s="91"/>
      <c r="AN285" s="91"/>
      <c r="AO285" s="91"/>
      <c r="AP285" s="91"/>
      <c r="AQ285" s="91"/>
      <c r="AR285" s="91"/>
      <c r="AS285" s="91"/>
      <c r="AT285" s="91"/>
      <c r="AU285" s="91"/>
      <c r="AV285" s="91"/>
      <c r="AW285" s="91"/>
      <c r="AX285" s="34"/>
      <c r="AY285" s="34"/>
    </row>
    <row r="286" spans="1:51" ht="20.100000000000001" customHeight="1" x14ac:dyDescent="0.25">
      <c r="A286" s="47"/>
      <c r="B286" s="289" t="s">
        <v>197</v>
      </c>
      <c r="C286" s="272"/>
      <c r="D286" s="272"/>
      <c r="E286" s="272"/>
      <c r="F286" s="64"/>
      <c r="G286" s="64"/>
      <c r="H286" s="64"/>
      <c r="I286" s="64"/>
      <c r="J286" s="64"/>
      <c r="K286" s="3"/>
      <c r="L286" s="257"/>
      <c r="M286" s="257"/>
      <c r="N286" s="3"/>
      <c r="O286" s="3"/>
      <c r="P286" s="268"/>
      <c r="Q286" s="268"/>
      <c r="R286" s="257"/>
      <c r="S286" s="257"/>
      <c r="T286" s="288"/>
      <c r="U286" s="229"/>
      <c r="V286" s="4"/>
      <c r="W286" s="4"/>
      <c r="X286" s="67"/>
      <c r="Y286" s="4"/>
      <c r="Z286" s="6"/>
      <c r="AA286" s="6"/>
      <c r="AB286" s="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row>
    <row r="287" spans="1:51" ht="53.25" customHeight="1" x14ac:dyDescent="0.25">
      <c r="A287" s="47">
        <v>1</v>
      </c>
      <c r="B287" s="271" t="s">
        <v>50</v>
      </c>
      <c r="C287" s="236"/>
      <c r="D287" s="236"/>
      <c r="E287" s="236"/>
      <c r="F287" s="9"/>
      <c r="G287" s="9"/>
      <c r="H287" s="9"/>
      <c r="I287" s="9"/>
      <c r="J287" s="9"/>
      <c r="K287" s="191" t="s">
        <v>3</v>
      </c>
      <c r="L287" s="257" t="s">
        <v>131</v>
      </c>
      <c r="M287" s="257"/>
      <c r="N287" s="3"/>
      <c r="O287" s="3"/>
      <c r="P287" s="268"/>
      <c r="Q287" s="268"/>
      <c r="R287" s="228">
        <f>R281/(20+2+3)*100</f>
        <v>4</v>
      </c>
      <c r="S287" s="228"/>
      <c r="T287" s="264">
        <f>R287</f>
        <v>4</v>
      </c>
      <c r="U287" s="264"/>
      <c r="V287" s="61"/>
      <c r="W287" s="61"/>
      <c r="X287" s="10">
        <v>0</v>
      </c>
      <c r="Y287" s="10">
        <f>X287</f>
        <v>0</v>
      </c>
      <c r="Z287" s="6"/>
      <c r="AA287" s="6">
        <f>X287-R287</f>
        <v>-4</v>
      </c>
      <c r="AB287" s="6">
        <f>AA287</f>
        <v>-4</v>
      </c>
      <c r="AD287" s="34"/>
      <c r="AE287" s="34"/>
      <c r="AF287" s="34"/>
      <c r="AG287" s="34"/>
      <c r="AH287" s="172"/>
      <c r="AI287" s="34"/>
      <c r="AJ287" s="34"/>
      <c r="AK287" s="34"/>
      <c r="AL287" s="34"/>
      <c r="AM287" s="34"/>
      <c r="AN287" s="34"/>
      <c r="AO287" s="34"/>
      <c r="AP287" s="34"/>
    </row>
    <row r="288" spans="1:51" ht="22.5" customHeight="1" x14ac:dyDescent="0.25">
      <c r="A288" s="47"/>
      <c r="B288" s="269" t="s">
        <v>31</v>
      </c>
      <c r="C288" s="270"/>
      <c r="D288" s="270"/>
      <c r="E288" s="270"/>
      <c r="F288" s="270"/>
      <c r="G288" s="270"/>
      <c r="H288" s="270"/>
      <c r="I288" s="270"/>
      <c r="J288" s="270"/>
      <c r="K288" s="270"/>
      <c r="L288" s="270"/>
      <c r="M288" s="270"/>
      <c r="N288" s="270"/>
      <c r="O288" s="270"/>
      <c r="P288" s="270"/>
      <c r="Q288" s="270"/>
      <c r="R288" s="270"/>
      <c r="S288" s="270"/>
      <c r="T288" s="270"/>
      <c r="U288" s="270"/>
      <c r="V288" s="270"/>
      <c r="W288" s="270"/>
      <c r="X288" s="270"/>
      <c r="Y288" s="270"/>
      <c r="Z288" s="270"/>
      <c r="AA288" s="270"/>
      <c r="AB288" s="270"/>
      <c r="AD288" s="34"/>
      <c r="AE288" s="34"/>
      <c r="AF288" s="34"/>
      <c r="AG288" s="34"/>
      <c r="AH288" s="34"/>
      <c r="AI288" s="34"/>
      <c r="AJ288" s="34"/>
      <c r="AK288" s="34"/>
      <c r="AL288" s="34"/>
      <c r="AM288" s="34"/>
      <c r="AN288" s="34"/>
      <c r="AO288" s="34"/>
      <c r="AP288" s="34"/>
    </row>
    <row r="289" spans="1:42" ht="20.100000000000001" customHeight="1" x14ac:dyDescent="0.25">
      <c r="A289" s="47"/>
      <c r="B289" s="289" t="s">
        <v>194</v>
      </c>
      <c r="C289" s="272"/>
      <c r="D289" s="272"/>
      <c r="E289" s="272"/>
      <c r="F289" s="64"/>
      <c r="G289" s="64"/>
      <c r="H289" s="64"/>
      <c r="I289" s="64"/>
      <c r="J289" s="64"/>
      <c r="K289" s="3"/>
      <c r="L289" s="257"/>
      <c r="M289" s="257"/>
      <c r="N289" s="3"/>
      <c r="O289" s="3"/>
      <c r="P289" s="257"/>
      <c r="Q289" s="385"/>
      <c r="R289" s="296"/>
      <c r="S289" s="297"/>
      <c r="T289" s="268"/>
      <c r="U289" s="268"/>
      <c r="V289" s="44"/>
      <c r="W289" s="44"/>
      <c r="X289" s="44"/>
      <c r="Y289" s="44"/>
      <c r="Z289" s="44"/>
      <c r="AA289" s="44"/>
      <c r="AB289" s="44"/>
      <c r="AD289" s="34"/>
      <c r="AE289" s="34"/>
      <c r="AF289" s="34"/>
      <c r="AG289" s="34"/>
      <c r="AH289" s="34"/>
      <c r="AI289" s="34"/>
      <c r="AJ289" s="34"/>
      <c r="AK289" s="34"/>
      <c r="AL289" s="34"/>
      <c r="AM289" s="34"/>
      <c r="AN289" s="34"/>
      <c r="AO289" s="34"/>
      <c r="AP289" s="34"/>
    </row>
    <row r="290" spans="1:42" ht="20.100000000000001" customHeight="1" x14ac:dyDescent="0.25">
      <c r="A290" s="47">
        <v>1</v>
      </c>
      <c r="B290" s="249" t="s">
        <v>132</v>
      </c>
      <c r="C290" s="278"/>
      <c r="D290" s="278"/>
      <c r="E290" s="278"/>
      <c r="F290" s="65"/>
      <c r="G290" s="65"/>
      <c r="H290" s="65"/>
      <c r="I290" s="65"/>
      <c r="J290" s="65"/>
      <c r="K290" s="3" t="s">
        <v>124</v>
      </c>
      <c r="L290" s="257" t="s">
        <v>122</v>
      </c>
      <c r="M290" s="257"/>
      <c r="N290" s="3"/>
      <c r="O290" s="3"/>
      <c r="P290" s="286">
        <v>7180412</v>
      </c>
      <c r="Q290" s="287"/>
      <c r="R290" s="294"/>
      <c r="S290" s="295"/>
      <c r="T290" s="230">
        <f>P290</f>
        <v>7180412</v>
      </c>
      <c r="U290" s="229"/>
      <c r="V290" s="6">
        <v>6057252.5300000003</v>
      </c>
      <c r="W290" s="6"/>
      <c r="X290" s="6"/>
      <c r="Y290" s="6">
        <f>V290</f>
        <v>6057252.5300000003</v>
      </c>
      <c r="Z290" s="6">
        <f>V290-P290</f>
        <v>-1123159.4699999997</v>
      </c>
      <c r="AA290" s="4"/>
      <c r="AB290" s="6">
        <f>Z290</f>
        <v>-1123159.4699999997</v>
      </c>
      <c r="AD290" s="34"/>
      <c r="AE290" s="177"/>
      <c r="AF290" s="177"/>
      <c r="AG290" s="177"/>
      <c r="AH290" s="177"/>
      <c r="AI290" s="177"/>
      <c r="AJ290" s="177"/>
      <c r="AK290" s="177"/>
      <c r="AL290" s="34"/>
      <c r="AM290" s="34"/>
      <c r="AN290" s="34"/>
      <c r="AO290" s="34"/>
      <c r="AP290" s="34"/>
    </row>
    <row r="291" spans="1:42" ht="20.100000000000001" customHeight="1" x14ac:dyDescent="0.25">
      <c r="A291" s="47"/>
      <c r="B291" s="289" t="s">
        <v>243</v>
      </c>
      <c r="C291" s="272"/>
      <c r="D291" s="272"/>
      <c r="E291" s="272"/>
      <c r="F291" s="64"/>
      <c r="G291" s="64"/>
      <c r="H291" s="64"/>
      <c r="I291" s="64"/>
      <c r="J291" s="64"/>
      <c r="K291" s="3"/>
      <c r="L291" s="257"/>
      <c r="M291" s="257"/>
      <c r="N291" s="3"/>
      <c r="O291" s="3"/>
      <c r="P291" s="257"/>
      <c r="Q291" s="257"/>
      <c r="R291" s="294"/>
      <c r="S291" s="295"/>
      <c r="T291" s="229"/>
      <c r="U291" s="229"/>
      <c r="V291" s="4"/>
      <c r="W291" s="4"/>
      <c r="X291" s="4"/>
      <c r="Y291" s="4"/>
      <c r="Z291" s="6"/>
      <c r="AA291" s="4"/>
      <c r="AB291" s="6"/>
      <c r="AD291" s="34"/>
      <c r="AE291" s="34"/>
      <c r="AF291" s="34"/>
      <c r="AG291" s="34"/>
      <c r="AH291" s="34"/>
      <c r="AI291" s="34"/>
      <c r="AJ291" s="34"/>
      <c r="AK291" s="34"/>
      <c r="AL291" s="34"/>
      <c r="AM291" s="34"/>
      <c r="AN291" s="34"/>
      <c r="AO291" s="34"/>
      <c r="AP291" s="34"/>
    </row>
    <row r="292" spans="1:42" ht="20.100000000000001" customHeight="1" x14ac:dyDescent="0.25">
      <c r="A292" s="47">
        <v>1</v>
      </c>
      <c r="B292" s="271" t="s">
        <v>189</v>
      </c>
      <c r="C292" s="236"/>
      <c r="D292" s="236"/>
      <c r="E292" s="236"/>
      <c r="F292" s="9"/>
      <c r="G292" s="9"/>
      <c r="H292" s="9"/>
      <c r="I292" s="9"/>
      <c r="J292" s="9"/>
      <c r="K292" s="3" t="s">
        <v>126</v>
      </c>
      <c r="L292" s="257" t="s">
        <v>190</v>
      </c>
      <c r="M292" s="257"/>
      <c r="N292" s="3"/>
      <c r="O292" s="3"/>
      <c r="P292" s="384">
        <v>24</v>
      </c>
      <c r="Q292" s="384"/>
      <c r="R292" s="294"/>
      <c r="S292" s="295"/>
      <c r="T292" s="288">
        <f>P292</f>
        <v>24</v>
      </c>
      <c r="U292" s="229"/>
      <c r="V292" s="4">
        <v>24</v>
      </c>
      <c r="W292" s="4"/>
      <c r="X292" s="4"/>
      <c r="Y292" s="4">
        <f>V292</f>
        <v>24</v>
      </c>
      <c r="Z292" s="6">
        <f>V292-P292</f>
        <v>0</v>
      </c>
      <c r="AA292" s="4"/>
      <c r="AB292" s="6">
        <f>Z292</f>
        <v>0</v>
      </c>
      <c r="AD292" s="34"/>
      <c r="AE292" s="34"/>
      <c r="AF292" s="34"/>
      <c r="AG292" s="34"/>
      <c r="AH292" s="34"/>
      <c r="AI292" s="34"/>
      <c r="AJ292" s="34"/>
      <c r="AK292" s="34"/>
      <c r="AL292" s="34"/>
      <c r="AM292" s="34"/>
      <c r="AN292" s="34"/>
      <c r="AO292" s="34"/>
      <c r="AP292" s="34"/>
    </row>
    <row r="293" spans="1:42" ht="53.25" customHeight="1" x14ac:dyDescent="0.25">
      <c r="A293" s="47">
        <v>2</v>
      </c>
      <c r="B293" s="395" t="s">
        <v>238</v>
      </c>
      <c r="C293" s="395"/>
      <c r="D293" s="395"/>
      <c r="E293" s="444"/>
      <c r="F293" s="9"/>
      <c r="G293" s="9"/>
      <c r="H293" s="9"/>
      <c r="I293" s="9"/>
      <c r="J293" s="9"/>
      <c r="K293" s="3" t="s">
        <v>126</v>
      </c>
      <c r="L293" s="257" t="s">
        <v>131</v>
      </c>
      <c r="M293" s="257"/>
      <c r="N293" s="3"/>
      <c r="O293" s="3"/>
      <c r="P293" s="384">
        <v>1000</v>
      </c>
      <c r="Q293" s="384"/>
      <c r="R293" s="294"/>
      <c r="S293" s="295"/>
      <c r="T293" s="288">
        <f>P293</f>
        <v>1000</v>
      </c>
      <c r="U293" s="229"/>
      <c r="V293" s="4">
        <v>217</v>
      </c>
      <c r="W293" s="4"/>
      <c r="X293" s="4"/>
      <c r="Y293" s="4">
        <f>V293</f>
        <v>217</v>
      </c>
      <c r="Z293" s="95">
        <f>V293-P293</f>
        <v>-783</v>
      </c>
      <c r="AA293" s="95"/>
      <c r="AB293" s="95">
        <f>Z293</f>
        <v>-783</v>
      </c>
      <c r="AD293" s="34"/>
      <c r="AE293" s="34"/>
      <c r="AF293" s="34"/>
      <c r="AG293" s="34"/>
      <c r="AH293" s="34"/>
      <c r="AI293" s="34"/>
      <c r="AJ293" s="34"/>
      <c r="AK293" s="34"/>
      <c r="AL293" s="34"/>
      <c r="AM293" s="34"/>
      <c r="AN293" s="34"/>
      <c r="AO293" s="34"/>
      <c r="AP293" s="34"/>
    </row>
    <row r="294" spans="1:42" ht="20.100000000000001" customHeight="1" x14ac:dyDescent="0.25">
      <c r="A294" s="47"/>
      <c r="B294" s="289" t="s">
        <v>246</v>
      </c>
      <c r="C294" s="272"/>
      <c r="D294" s="272"/>
      <c r="E294" s="272"/>
      <c r="F294" s="64"/>
      <c r="G294" s="64"/>
      <c r="H294" s="64"/>
      <c r="I294" s="64"/>
      <c r="J294" s="64"/>
      <c r="K294" s="3"/>
      <c r="L294" s="257"/>
      <c r="M294" s="257"/>
      <c r="N294" s="3"/>
      <c r="O294" s="3"/>
      <c r="P294" s="257"/>
      <c r="Q294" s="257"/>
      <c r="R294" s="294"/>
      <c r="S294" s="295"/>
      <c r="T294" s="229"/>
      <c r="U294" s="229"/>
      <c r="V294" s="4"/>
      <c r="W294" s="4"/>
      <c r="X294" s="4"/>
      <c r="Y294" s="4"/>
      <c r="Z294" s="6"/>
      <c r="AA294" s="4"/>
      <c r="AB294" s="6"/>
      <c r="AD294" s="34"/>
      <c r="AE294" s="34"/>
      <c r="AF294" s="34"/>
      <c r="AG294" s="34"/>
      <c r="AH294" s="34"/>
      <c r="AI294" s="34"/>
      <c r="AJ294" s="34"/>
      <c r="AK294" s="34"/>
      <c r="AL294" s="34"/>
      <c r="AM294" s="34"/>
      <c r="AN294" s="34"/>
      <c r="AO294" s="34"/>
      <c r="AP294" s="34"/>
    </row>
    <row r="295" spans="1:42" ht="57.75" customHeight="1" x14ac:dyDescent="0.25">
      <c r="A295" s="47">
        <v>1</v>
      </c>
      <c r="B295" s="248" t="s">
        <v>239</v>
      </c>
      <c r="C295" s="248"/>
      <c r="D295" s="248"/>
      <c r="E295" s="249"/>
      <c r="F295" s="64"/>
      <c r="G295" s="64"/>
      <c r="H295" s="64"/>
      <c r="I295" s="64"/>
      <c r="J295" s="64"/>
      <c r="K295" s="3" t="s">
        <v>126</v>
      </c>
      <c r="L295" s="257" t="s">
        <v>131</v>
      </c>
      <c r="M295" s="257"/>
      <c r="N295" s="3"/>
      <c r="O295" s="3"/>
      <c r="P295" s="292">
        <f>P293/18</f>
        <v>55.555555555555557</v>
      </c>
      <c r="Q295" s="293"/>
      <c r="R295" s="298"/>
      <c r="S295" s="299"/>
      <c r="T295" s="303">
        <f>P295</f>
        <v>55.555555555555557</v>
      </c>
      <c r="U295" s="303"/>
      <c r="V295" s="221">
        <f>V293/18</f>
        <v>12.055555555555555</v>
      </c>
      <c r="W295" s="221"/>
      <c r="X295" s="108"/>
      <c r="Y295" s="102">
        <f>V295</f>
        <v>12.055555555555555</v>
      </c>
      <c r="Z295" s="95">
        <f>V295-P295</f>
        <v>-43.5</v>
      </c>
      <c r="AA295" s="95"/>
      <c r="AB295" s="95">
        <f>Z295</f>
        <v>-43.5</v>
      </c>
      <c r="AD295" s="34"/>
      <c r="AE295" s="34"/>
      <c r="AF295" s="34"/>
      <c r="AG295" s="34"/>
      <c r="AH295" s="170"/>
      <c r="AI295" s="34"/>
      <c r="AJ295" s="34"/>
      <c r="AK295" s="34"/>
      <c r="AL295" s="34"/>
      <c r="AM295" s="34"/>
      <c r="AN295" s="34"/>
      <c r="AO295" s="34"/>
      <c r="AP295" s="34"/>
    </row>
    <row r="296" spans="1:42" ht="36" customHeight="1" x14ac:dyDescent="0.25">
      <c r="A296" s="47">
        <v>2</v>
      </c>
      <c r="B296" s="271" t="s">
        <v>191</v>
      </c>
      <c r="C296" s="236"/>
      <c r="D296" s="236"/>
      <c r="E296" s="236"/>
      <c r="F296" s="9"/>
      <c r="G296" s="9"/>
      <c r="H296" s="9"/>
      <c r="I296" s="9"/>
      <c r="J296" s="9"/>
      <c r="K296" s="3" t="s">
        <v>124</v>
      </c>
      <c r="L296" s="257" t="s">
        <v>131</v>
      </c>
      <c r="M296" s="257"/>
      <c r="N296" s="3"/>
      <c r="O296" s="3"/>
      <c r="P296" s="276">
        <f>5550054/P292</f>
        <v>231252.25</v>
      </c>
      <c r="Q296" s="277"/>
      <c r="R296" s="281"/>
      <c r="S296" s="282"/>
      <c r="T296" s="264">
        <f>P296</f>
        <v>231252.25</v>
      </c>
      <c r="U296" s="264"/>
      <c r="V296" s="286">
        <f>4862395.75/V292</f>
        <v>202599.82291666666</v>
      </c>
      <c r="W296" s="287"/>
      <c r="X296" s="1"/>
      <c r="Y296" s="6">
        <f>V296</f>
        <v>202599.82291666666</v>
      </c>
      <c r="Z296" s="6">
        <f>V296-P296</f>
        <v>-28652.427083333343</v>
      </c>
      <c r="AA296" s="6"/>
      <c r="AB296" s="6">
        <f>Z296</f>
        <v>-28652.427083333343</v>
      </c>
      <c r="AD296" s="60"/>
      <c r="AE296" s="176"/>
      <c r="AF296" s="176"/>
      <c r="AG296" s="176"/>
      <c r="AH296" s="176"/>
      <c r="AI296" s="176"/>
      <c r="AJ296" s="176"/>
      <c r="AK296" s="176"/>
      <c r="AL296" s="34"/>
      <c r="AM296" s="34"/>
      <c r="AN296" s="34"/>
      <c r="AO296" s="34"/>
      <c r="AP296" s="34"/>
    </row>
    <row r="297" spans="1:42" ht="37.5" customHeight="1" x14ac:dyDescent="0.25">
      <c r="A297" s="47">
        <v>3</v>
      </c>
      <c r="B297" s="271" t="s">
        <v>192</v>
      </c>
      <c r="C297" s="236"/>
      <c r="D297" s="236"/>
      <c r="E297" s="236"/>
      <c r="F297" s="9"/>
      <c r="G297" s="9"/>
      <c r="H297" s="9"/>
      <c r="I297" s="9"/>
      <c r="J297" s="9"/>
      <c r="K297" s="3" t="s">
        <v>124</v>
      </c>
      <c r="L297" s="257" t="s">
        <v>131</v>
      </c>
      <c r="M297" s="257"/>
      <c r="N297" s="3"/>
      <c r="O297" s="3"/>
      <c r="P297" s="276">
        <f>64200/P292</f>
        <v>2675</v>
      </c>
      <c r="Q297" s="277"/>
      <c r="R297" s="281"/>
      <c r="S297" s="282"/>
      <c r="T297" s="264">
        <f>P297</f>
        <v>2675</v>
      </c>
      <c r="U297" s="264"/>
      <c r="V297" s="286">
        <f>44260.69/V292</f>
        <v>1844.1954166666667</v>
      </c>
      <c r="W297" s="287"/>
      <c r="X297" s="1"/>
      <c r="Y297" s="6">
        <f>V297</f>
        <v>1844.1954166666667</v>
      </c>
      <c r="Z297" s="6">
        <f>V297-P297</f>
        <v>-830.80458333333331</v>
      </c>
      <c r="AA297" s="6"/>
      <c r="AB297" s="6">
        <f>Z297</f>
        <v>-830.80458333333331</v>
      </c>
      <c r="AD297" s="60"/>
      <c r="AE297" s="176"/>
      <c r="AF297" s="176"/>
      <c r="AG297" s="176"/>
      <c r="AH297" s="176"/>
      <c r="AI297" s="176"/>
      <c r="AJ297" s="176"/>
      <c r="AK297" s="176"/>
      <c r="AL297" s="34"/>
      <c r="AM297" s="34"/>
      <c r="AN297" s="34"/>
      <c r="AO297" s="34"/>
      <c r="AP297" s="34"/>
    </row>
    <row r="298" spans="1:42" ht="33.75" customHeight="1" x14ac:dyDescent="0.25">
      <c r="A298" s="47">
        <v>4</v>
      </c>
      <c r="B298" s="271" t="s">
        <v>193</v>
      </c>
      <c r="C298" s="236"/>
      <c r="D298" s="236"/>
      <c r="E298" s="236"/>
      <c r="F298" s="9"/>
      <c r="G298" s="9"/>
      <c r="H298" s="9"/>
      <c r="I298" s="9"/>
      <c r="J298" s="9"/>
      <c r="K298" s="3" t="s">
        <v>124</v>
      </c>
      <c r="L298" s="257" t="s">
        <v>131</v>
      </c>
      <c r="M298" s="257"/>
      <c r="N298" s="3"/>
      <c r="O298" s="3"/>
      <c r="P298" s="276">
        <f>227284/P292</f>
        <v>9470.1666666666661</v>
      </c>
      <c r="Q298" s="277"/>
      <c r="R298" s="281"/>
      <c r="S298" s="282"/>
      <c r="T298" s="264">
        <f>P298</f>
        <v>9470.1666666666661</v>
      </c>
      <c r="U298" s="264"/>
      <c r="V298" s="286">
        <f>29310.1/V292</f>
        <v>1221.2541666666666</v>
      </c>
      <c r="W298" s="287"/>
      <c r="X298" s="1"/>
      <c r="Y298" s="6">
        <f>V298</f>
        <v>1221.2541666666666</v>
      </c>
      <c r="Z298" s="6">
        <f>V298-P298</f>
        <v>-8248.9124999999985</v>
      </c>
      <c r="AA298" s="6"/>
      <c r="AB298" s="6">
        <f>Z298</f>
        <v>-8248.9124999999985</v>
      </c>
      <c r="AD298" s="60"/>
      <c r="AE298" s="176"/>
      <c r="AF298" s="176"/>
      <c r="AG298" s="176"/>
      <c r="AH298" s="176"/>
      <c r="AI298" s="176"/>
      <c r="AJ298" s="176"/>
      <c r="AK298" s="176"/>
      <c r="AL298" s="34"/>
      <c r="AM298" s="34"/>
      <c r="AN298" s="34"/>
      <c r="AO298" s="34"/>
      <c r="AP298" s="34"/>
    </row>
    <row r="299" spans="1:42" ht="19.5" customHeight="1" x14ac:dyDescent="0.25">
      <c r="A299" s="47"/>
      <c r="B299" s="279" t="s">
        <v>197</v>
      </c>
      <c r="C299" s="280"/>
      <c r="D299" s="280"/>
      <c r="E299" s="280"/>
      <c r="F299" s="280"/>
      <c r="G299" s="280"/>
      <c r="H299" s="280"/>
      <c r="I299" s="280"/>
      <c r="J299" s="280"/>
      <c r="K299" s="3"/>
      <c r="L299" s="226"/>
      <c r="M299" s="275"/>
      <c r="N299" s="3"/>
      <c r="O299" s="3"/>
      <c r="P299" s="276"/>
      <c r="Q299" s="277"/>
      <c r="R299" s="281"/>
      <c r="S299" s="282"/>
      <c r="T299" s="276"/>
      <c r="U299" s="277"/>
      <c r="V299" s="1"/>
      <c r="W299" s="1"/>
      <c r="X299" s="1"/>
      <c r="Y299" s="6"/>
      <c r="Z299" s="6"/>
      <c r="AA299" s="6"/>
      <c r="AB299" s="6"/>
      <c r="AD299" s="34"/>
      <c r="AE299" s="34"/>
      <c r="AF299" s="34"/>
      <c r="AG299" s="34"/>
      <c r="AH299" s="171"/>
      <c r="AI299" s="34"/>
      <c r="AJ299" s="34"/>
      <c r="AK299" s="34"/>
      <c r="AL299" s="34"/>
      <c r="AM299" s="34"/>
      <c r="AN299" s="34"/>
      <c r="AO299" s="34"/>
      <c r="AP299" s="34"/>
    </row>
    <row r="300" spans="1:42" ht="98.25" customHeight="1" x14ac:dyDescent="0.25">
      <c r="A300" s="47">
        <v>1</v>
      </c>
      <c r="B300" s="290" t="s">
        <v>240</v>
      </c>
      <c r="C300" s="291"/>
      <c r="D300" s="291"/>
      <c r="E300" s="291"/>
      <c r="F300" s="291"/>
      <c r="G300" s="291"/>
      <c r="H300" s="291"/>
      <c r="I300" s="291"/>
      <c r="J300" s="291"/>
      <c r="K300" s="191" t="s">
        <v>3</v>
      </c>
      <c r="L300" s="257" t="s">
        <v>131</v>
      </c>
      <c r="M300" s="257"/>
      <c r="N300" s="44"/>
      <c r="O300" s="44"/>
      <c r="P300" s="283">
        <f>P293/745*100</f>
        <v>134.2281879194631</v>
      </c>
      <c r="Q300" s="284"/>
      <c r="R300" s="283"/>
      <c r="S300" s="284"/>
      <c r="T300" s="258">
        <f>P300</f>
        <v>134.2281879194631</v>
      </c>
      <c r="U300" s="259"/>
      <c r="V300" s="61">
        <f>V293/745*100</f>
        <v>29.127516778523489</v>
      </c>
      <c r="W300" s="61"/>
      <c r="X300" s="61"/>
      <c r="Y300" s="61">
        <f>V300</f>
        <v>29.127516778523489</v>
      </c>
      <c r="Z300" s="61">
        <f>V300-P300</f>
        <v>-105.10067114093961</v>
      </c>
      <c r="AA300" s="61"/>
      <c r="AB300" s="61">
        <f>Z300</f>
        <v>-105.10067114093961</v>
      </c>
      <c r="AD300" s="222"/>
      <c r="AE300" s="34"/>
      <c r="AF300" s="34"/>
      <c r="AG300" s="34"/>
      <c r="AH300" s="170"/>
      <c r="AI300" s="34"/>
      <c r="AJ300" s="34"/>
      <c r="AK300" s="34"/>
      <c r="AL300" s="34"/>
      <c r="AM300" s="34"/>
      <c r="AN300" s="34"/>
      <c r="AO300" s="34"/>
      <c r="AP300" s="34"/>
    </row>
    <row r="301" spans="1:42" ht="17.25" customHeight="1" x14ac:dyDescent="0.25">
      <c r="A301" s="34"/>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D301" s="34"/>
      <c r="AE301" s="34"/>
      <c r="AF301" s="34"/>
      <c r="AG301" s="34"/>
      <c r="AH301" s="34"/>
      <c r="AI301" s="34"/>
      <c r="AJ301" s="34"/>
      <c r="AK301" s="34"/>
      <c r="AL301" s="34"/>
      <c r="AM301" s="34"/>
      <c r="AN301" s="34"/>
      <c r="AO301" s="34"/>
      <c r="AP301" s="34"/>
    </row>
    <row r="302" spans="1:42" ht="36" customHeight="1" x14ac:dyDescent="0.25">
      <c r="A302" s="195" t="s">
        <v>69</v>
      </c>
      <c r="B302" s="195"/>
      <c r="C302" s="195"/>
      <c r="D302" s="195"/>
      <c r="E302" s="195"/>
      <c r="F302" s="195"/>
      <c r="G302" s="195"/>
      <c r="H302" s="195"/>
      <c r="I302" s="195"/>
      <c r="J302" s="195"/>
      <c r="K302" s="195"/>
      <c r="L302" s="195"/>
      <c r="M302" s="195"/>
      <c r="N302" s="195"/>
      <c r="O302" s="195"/>
      <c r="P302" s="195"/>
      <c r="Q302" s="195"/>
      <c r="R302" s="195"/>
      <c r="S302" s="192"/>
      <c r="T302" s="192"/>
      <c r="U302" s="192"/>
      <c r="V302" s="192"/>
      <c r="W302" s="192"/>
      <c r="X302" s="192"/>
      <c r="Y302" s="192"/>
      <c r="AA302" s="192"/>
      <c r="AB302" s="192"/>
      <c r="AD302" s="34"/>
      <c r="AE302" s="34"/>
      <c r="AF302" s="34"/>
      <c r="AG302" s="34"/>
      <c r="AH302" s="34"/>
      <c r="AI302" s="34"/>
      <c r="AJ302" s="34"/>
      <c r="AK302" s="34"/>
      <c r="AL302" s="34"/>
      <c r="AM302" s="34"/>
      <c r="AN302" s="34"/>
      <c r="AO302" s="34"/>
      <c r="AP302" s="34"/>
    </row>
    <row r="303" spans="1:42" ht="7.5" customHeight="1" x14ac:dyDescent="0.25">
      <c r="A303" s="193"/>
      <c r="B303"/>
      <c r="C303"/>
      <c r="D303"/>
      <c r="E303" s="194"/>
      <c r="F303" s="194"/>
      <c r="G303" s="194"/>
      <c r="H303" s="194"/>
      <c r="I303" s="194"/>
      <c r="J303" s="194"/>
      <c r="K303" s="194"/>
      <c r="L303" s="194"/>
      <c r="M303" s="194"/>
      <c r="N303" s="194"/>
      <c r="O303" s="194"/>
      <c r="P303" s="194"/>
      <c r="Q303" s="194"/>
      <c r="R303" s="194"/>
      <c r="S303" s="192"/>
      <c r="T303" s="192"/>
      <c r="U303" s="192"/>
      <c r="V303" s="192"/>
      <c r="W303" s="192"/>
      <c r="X303" s="192"/>
      <c r="Y303" s="192"/>
      <c r="Z303" s="192"/>
      <c r="AA303" s="192"/>
      <c r="AB303" s="192"/>
      <c r="AD303" s="34"/>
      <c r="AE303" s="34"/>
      <c r="AF303" s="34"/>
      <c r="AG303" s="34"/>
      <c r="AH303" s="34"/>
      <c r="AI303" s="34"/>
      <c r="AJ303" s="34"/>
      <c r="AK303" s="34"/>
      <c r="AL303" s="34"/>
      <c r="AM303" s="34"/>
      <c r="AN303" s="34"/>
      <c r="AO303" s="34"/>
      <c r="AP303" s="34"/>
    </row>
    <row r="304" spans="1:42" ht="36" customHeight="1" x14ac:dyDescent="0.25">
      <c r="A304" s="191" t="s">
        <v>103</v>
      </c>
      <c r="B304" s="191" t="s">
        <v>108</v>
      </c>
      <c r="C304" s="191" t="s">
        <v>106</v>
      </c>
      <c r="D304" s="239" t="s">
        <v>67</v>
      </c>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c r="AA304" s="239"/>
      <c r="AB304" s="239"/>
      <c r="AD304" s="34"/>
      <c r="AE304" s="34"/>
      <c r="AF304" s="34"/>
      <c r="AG304" s="34"/>
      <c r="AH304" s="34"/>
      <c r="AI304" s="34"/>
      <c r="AJ304" s="34"/>
      <c r="AK304" s="34"/>
      <c r="AL304" s="34"/>
      <c r="AM304" s="34"/>
      <c r="AN304" s="34"/>
      <c r="AO304" s="34"/>
      <c r="AP304" s="34"/>
    </row>
    <row r="305" spans="1:42" ht="23.25" customHeight="1" x14ac:dyDescent="0.25">
      <c r="A305" s="191">
        <v>1</v>
      </c>
      <c r="B305" s="191">
        <v>2</v>
      </c>
      <c r="C305" s="191">
        <v>3</v>
      </c>
      <c r="D305" s="514">
        <v>4</v>
      </c>
      <c r="E305" s="515"/>
      <c r="F305" s="515"/>
      <c r="G305" s="515"/>
      <c r="H305" s="515"/>
      <c r="I305" s="515"/>
      <c r="J305" s="515"/>
      <c r="K305" s="515"/>
      <c r="L305" s="515"/>
      <c r="M305" s="515"/>
      <c r="N305" s="515"/>
      <c r="O305" s="515"/>
      <c r="P305" s="515"/>
      <c r="Q305" s="515"/>
      <c r="R305" s="515"/>
      <c r="S305" s="515"/>
      <c r="T305" s="515"/>
      <c r="U305" s="515"/>
      <c r="V305" s="515"/>
      <c r="W305" s="515"/>
      <c r="X305" s="515"/>
      <c r="Y305" s="515"/>
      <c r="Z305" s="515"/>
      <c r="AA305" s="515"/>
      <c r="AB305" s="516"/>
      <c r="AD305" s="34"/>
      <c r="AE305" s="34"/>
      <c r="AF305" s="34"/>
      <c r="AG305" s="34"/>
      <c r="AH305" s="34"/>
      <c r="AI305" s="34"/>
      <c r="AJ305" s="34"/>
      <c r="AK305" s="34"/>
      <c r="AL305" s="34"/>
      <c r="AM305" s="34"/>
      <c r="AN305" s="34"/>
      <c r="AO305" s="34"/>
      <c r="AP305" s="34"/>
    </row>
    <row r="306" spans="1:42" ht="23.25" customHeight="1" x14ac:dyDescent="0.25">
      <c r="A306" s="191"/>
      <c r="B306" s="244" t="s">
        <v>111</v>
      </c>
      <c r="C306" s="245"/>
      <c r="D306" s="245"/>
      <c r="E306" s="245"/>
      <c r="F306" s="245"/>
      <c r="G306" s="245"/>
      <c r="H306" s="245"/>
      <c r="I306" s="245"/>
      <c r="J306" s="245"/>
      <c r="K306" s="245"/>
      <c r="L306" s="245"/>
      <c r="M306" s="245"/>
      <c r="N306" s="245"/>
      <c r="O306" s="245"/>
      <c r="P306" s="245"/>
      <c r="Q306" s="245"/>
      <c r="R306" s="245"/>
      <c r="S306" s="245"/>
      <c r="T306" s="245"/>
      <c r="U306" s="245"/>
      <c r="V306" s="245"/>
      <c r="W306" s="245"/>
      <c r="X306" s="245"/>
      <c r="Y306" s="245"/>
      <c r="Z306" s="245"/>
      <c r="AA306" s="245"/>
      <c r="AB306" s="246"/>
      <c r="AD306" s="34"/>
      <c r="AE306" s="34"/>
      <c r="AF306" s="34"/>
      <c r="AG306" s="34"/>
      <c r="AH306" s="34"/>
      <c r="AI306" s="34"/>
      <c r="AJ306" s="34"/>
      <c r="AK306" s="34"/>
      <c r="AL306" s="34"/>
      <c r="AM306" s="34"/>
      <c r="AN306" s="34"/>
      <c r="AO306" s="34"/>
      <c r="AP306" s="34"/>
    </row>
    <row r="307" spans="1:42" ht="99" customHeight="1" x14ac:dyDescent="0.25">
      <c r="A307" s="191">
        <v>1</v>
      </c>
      <c r="B307" s="191" t="s">
        <v>194</v>
      </c>
      <c r="C307" s="191" t="s">
        <v>68</v>
      </c>
      <c r="D307" s="511" t="s">
        <v>315</v>
      </c>
      <c r="E307" s="511"/>
      <c r="F307" s="511"/>
      <c r="G307" s="511"/>
      <c r="H307" s="511"/>
      <c r="I307" s="511"/>
      <c r="J307" s="511"/>
      <c r="K307" s="511"/>
      <c r="L307" s="511"/>
      <c r="M307" s="511"/>
      <c r="N307" s="511"/>
      <c r="O307" s="511"/>
      <c r="P307" s="511"/>
      <c r="Q307" s="511"/>
      <c r="R307" s="511"/>
      <c r="S307" s="511"/>
      <c r="T307" s="511"/>
      <c r="U307" s="511"/>
      <c r="V307" s="511"/>
      <c r="W307" s="511"/>
      <c r="X307" s="511"/>
      <c r="Y307" s="511"/>
      <c r="Z307" s="511"/>
      <c r="AA307" s="511"/>
      <c r="AB307" s="511"/>
      <c r="AD307" s="34"/>
      <c r="AE307" s="34"/>
      <c r="AF307" s="34"/>
      <c r="AG307" s="34"/>
      <c r="AH307" s="34"/>
      <c r="AI307" s="34"/>
      <c r="AJ307" s="34"/>
      <c r="AK307" s="34"/>
      <c r="AL307" s="34"/>
      <c r="AM307" s="34"/>
      <c r="AN307" s="34"/>
      <c r="AO307" s="34"/>
      <c r="AP307" s="34"/>
    </row>
    <row r="308" spans="1:42" ht="48.75" customHeight="1" x14ac:dyDescent="0.25">
      <c r="A308" s="191">
        <v>2</v>
      </c>
      <c r="B308" s="191" t="s">
        <v>195</v>
      </c>
      <c r="C308" s="191" t="s">
        <v>2</v>
      </c>
      <c r="D308" s="231" t="s">
        <v>300</v>
      </c>
      <c r="E308" s="231"/>
      <c r="F308" s="231"/>
      <c r="G308" s="231"/>
      <c r="H308" s="231"/>
      <c r="I308" s="231"/>
      <c r="J308" s="231"/>
      <c r="K308" s="231"/>
      <c r="L308" s="231"/>
      <c r="M308" s="231"/>
      <c r="N308" s="231"/>
      <c r="O308" s="231"/>
      <c r="P308" s="231"/>
      <c r="Q308" s="231"/>
      <c r="R308" s="231"/>
      <c r="S308" s="231"/>
      <c r="T308" s="231"/>
      <c r="U308" s="231"/>
      <c r="V308" s="231"/>
      <c r="W308" s="231"/>
      <c r="X308" s="231"/>
      <c r="Y308" s="231"/>
      <c r="Z308" s="231"/>
      <c r="AA308" s="231"/>
      <c r="AB308" s="231"/>
      <c r="AD308" s="34"/>
      <c r="AE308" s="34"/>
      <c r="AF308" s="34"/>
      <c r="AG308" s="34"/>
      <c r="AH308" s="34"/>
      <c r="AI308" s="34"/>
      <c r="AJ308" s="34"/>
      <c r="AK308" s="34"/>
      <c r="AL308" s="34"/>
      <c r="AM308" s="34"/>
      <c r="AN308" s="34"/>
      <c r="AO308" s="34"/>
      <c r="AP308" s="34"/>
    </row>
    <row r="309" spans="1:42" ht="36" customHeight="1" x14ac:dyDescent="0.25">
      <c r="A309" s="191">
        <v>3</v>
      </c>
      <c r="B309" s="191" t="s">
        <v>196</v>
      </c>
      <c r="C309" s="191" t="s">
        <v>68</v>
      </c>
      <c r="D309" s="231" t="s">
        <v>299</v>
      </c>
      <c r="E309" s="231"/>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D309" s="34"/>
      <c r="AE309" s="34"/>
      <c r="AF309" s="34"/>
      <c r="AG309" s="34"/>
      <c r="AH309" s="34"/>
      <c r="AI309" s="34"/>
      <c r="AJ309" s="34"/>
      <c r="AK309" s="34"/>
      <c r="AL309" s="34"/>
      <c r="AM309" s="34"/>
      <c r="AN309" s="34"/>
      <c r="AO309" s="34"/>
      <c r="AP309" s="34"/>
    </row>
    <row r="310" spans="1:42" ht="20.25" customHeight="1" x14ac:dyDescent="0.25">
      <c r="A310" s="191">
        <v>4</v>
      </c>
      <c r="B310" s="191" t="s">
        <v>197</v>
      </c>
      <c r="C310" s="191" t="s">
        <v>3</v>
      </c>
      <c r="D310" s="231" t="s">
        <v>0</v>
      </c>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D310" s="34"/>
      <c r="AE310" s="34"/>
      <c r="AF310" s="34"/>
      <c r="AG310" s="34"/>
      <c r="AH310" s="34"/>
      <c r="AI310" s="34"/>
      <c r="AJ310" s="34"/>
      <c r="AK310" s="34"/>
      <c r="AL310" s="34"/>
      <c r="AM310" s="34"/>
      <c r="AN310" s="34"/>
      <c r="AO310" s="34"/>
      <c r="AP310" s="34"/>
    </row>
    <row r="311" spans="1:42" ht="15" customHeight="1" x14ac:dyDescent="0.25">
      <c r="A311" s="198"/>
      <c r="B311" s="223" t="s">
        <v>112</v>
      </c>
      <c r="C311" s="199"/>
      <c r="D311" s="204"/>
      <c r="E311" s="204"/>
      <c r="F311" s="204"/>
      <c r="G311" s="204"/>
      <c r="H311" s="204"/>
      <c r="I311" s="204"/>
      <c r="J311" s="204"/>
      <c r="K311" s="204"/>
      <c r="L311" s="204"/>
      <c r="M311" s="204"/>
      <c r="N311" s="204"/>
      <c r="O311" s="204"/>
      <c r="P311" s="204"/>
      <c r="Q311" s="204"/>
      <c r="R311" s="204"/>
      <c r="S311" s="204"/>
      <c r="T311" s="204"/>
      <c r="U311" s="204"/>
      <c r="V311" s="204"/>
      <c r="W311" s="204"/>
      <c r="X311" s="204"/>
      <c r="Y311" s="204"/>
      <c r="Z311" s="204"/>
      <c r="AA311" s="204"/>
      <c r="AB311" s="205"/>
      <c r="AD311" s="34"/>
      <c r="AE311" s="34"/>
      <c r="AF311" s="34"/>
      <c r="AG311" s="34"/>
      <c r="AH311" s="34"/>
      <c r="AI311" s="34"/>
      <c r="AJ311" s="34"/>
      <c r="AK311" s="34"/>
      <c r="AL311" s="34"/>
      <c r="AM311" s="34"/>
      <c r="AN311" s="34"/>
      <c r="AO311" s="34"/>
      <c r="AP311" s="34"/>
    </row>
    <row r="312" spans="1:42" ht="36" customHeight="1" x14ac:dyDescent="0.25">
      <c r="A312" s="191">
        <v>1</v>
      </c>
      <c r="B312" s="191" t="s">
        <v>194</v>
      </c>
      <c r="C312" s="191" t="s">
        <v>68</v>
      </c>
      <c r="D312" s="231" t="s">
        <v>1</v>
      </c>
      <c r="E312" s="231"/>
      <c r="F312" s="231"/>
      <c r="G312" s="231"/>
      <c r="H312" s="231"/>
      <c r="I312" s="231"/>
      <c r="J312" s="231"/>
      <c r="K312" s="231"/>
      <c r="L312" s="231"/>
      <c r="M312" s="231"/>
      <c r="N312" s="231"/>
      <c r="O312" s="231"/>
      <c r="P312" s="231"/>
      <c r="Q312" s="231"/>
      <c r="R312" s="231"/>
      <c r="S312" s="231"/>
      <c r="T312" s="231"/>
      <c r="U312" s="231"/>
      <c r="V312" s="231"/>
      <c r="W312" s="231"/>
      <c r="X312" s="231"/>
      <c r="Y312" s="231"/>
      <c r="Z312" s="231"/>
      <c r="AA312" s="231"/>
      <c r="AB312" s="231"/>
      <c r="AD312" s="34"/>
      <c r="AE312" s="34"/>
      <c r="AF312" s="34"/>
      <c r="AG312" s="34"/>
      <c r="AH312" s="34"/>
      <c r="AI312" s="34"/>
      <c r="AJ312" s="34"/>
      <c r="AK312" s="34"/>
      <c r="AL312" s="34"/>
      <c r="AM312" s="34"/>
      <c r="AN312" s="34"/>
      <c r="AO312" s="34"/>
      <c r="AP312" s="34"/>
    </row>
    <row r="313" spans="1:42" ht="20.25" customHeight="1" x14ac:dyDescent="0.25">
      <c r="A313" s="191">
        <v>2</v>
      </c>
      <c r="B313" s="191" t="s">
        <v>195</v>
      </c>
      <c r="C313" s="191" t="s">
        <v>126</v>
      </c>
      <c r="D313" s="231" t="s">
        <v>330</v>
      </c>
      <c r="E313" s="231"/>
      <c r="F313" s="231"/>
      <c r="G313" s="231"/>
      <c r="H313" s="231"/>
      <c r="I313" s="231"/>
      <c r="J313" s="231"/>
      <c r="K313" s="231"/>
      <c r="L313" s="231"/>
      <c r="M313" s="231"/>
      <c r="N313" s="231"/>
      <c r="O313" s="231"/>
      <c r="P313" s="231"/>
      <c r="Q313" s="231"/>
      <c r="R313" s="231"/>
      <c r="S313" s="231"/>
      <c r="T313" s="231"/>
      <c r="U313" s="231"/>
      <c r="V313" s="231"/>
      <c r="W313" s="231"/>
      <c r="X313" s="231"/>
      <c r="Y313" s="231"/>
      <c r="Z313" s="231"/>
      <c r="AA313" s="231"/>
      <c r="AB313" s="231"/>
      <c r="AD313" s="34"/>
      <c r="AE313" s="34"/>
      <c r="AF313" s="34"/>
      <c r="AG313" s="34"/>
      <c r="AH313" s="34"/>
      <c r="AI313" s="34"/>
      <c r="AJ313" s="34"/>
      <c r="AK313" s="34"/>
      <c r="AL313" s="34"/>
      <c r="AM313" s="34"/>
      <c r="AN313" s="34"/>
      <c r="AO313" s="34"/>
      <c r="AP313" s="34"/>
    </row>
    <row r="314" spans="1:42" ht="20.25" customHeight="1" x14ac:dyDescent="0.25">
      <c r="A314" s="191">
        <v>3</v>
      </c>
      <c r="B314" s="191" t="s">
        <v>196</v>
      </c>
      <c r="C314" s="191" t="s">
        <v>68</v>
      </c>
      <c r="D314" s="231" t="s">
        <v>331</v>
      </c>
      <c r="E314" s="231"/>
      <c r="F314" s="231"/>
      <c r="G314" s="231"/>
      <c r="H314" s="231"/>
      <c r="I314" s="231"/>
      <c r="J314" s="231"/>
      <c r="K314" s="231"/>
      <c r="L314" s="231"/>
      <c r="M314" s="231"/>
      <c r="N314" s="231"/>
      <c r="O314" s="231"/>
      <c r="P314" s="231"/>
      <c r="Q314" s="231"/>
      <c r="R314" s="231"/>
      <c r="S314" s="231"/>
      <c r="T314" s="231"/>
      <c r="U314" s="231"/>
      <c r="V314" s="231"/>
      <c r="W314" s="231"/>
      <c r="X314" s="231"/>
      <c r="Y314" s="231"/>
      <c r="Z314" s="231"/>
      <c r="AA314" s="231"/>
      <c r="AB314" s="231"/>
      <c r="AD314" s="34"/>
      <c r="AE314" s="34"/>
      <c r="AF314" s="34"/>
      <c r="AG314" s="34"/>
      <c r="AH314" s="34"/>
      <c r="AI314" s="34"/>
      <c r="AJ314" s="34"/>
      <c r="AK314" s="34"/>
      <c r="AL314" s="34"/>
      <c r="AM314" s="34"/>
      <c r="AN314" s="34"/>
      <c r="AO314" s="34"/>
      <c r="AP314" s="34"/>
    </row>
    <row r="315" spans="1:42" ht="20.25" customHeight="1" x14ac:dyDescent="0.25">
      <c r="A315" s="191">
        <v>4</v>
      </c>
      <c r="B315" s="191" t="s">
        <v>197</v>
      </c>
      <c r="C315" s="191" t="s">
        <v>3</v>
      </c>
      <c r="D315" s="231" t="s">
        <v>332</v>
      </c>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c r="AA315" s="231"/>
      <c r="AB315" s="231"/>
      <c r="AD315" s="34"/>
      <c r="AE315" s="34"/>
      <c r="AF315" s="34"/>
      <c r="AG315" s="34"/>
      <c r="AH315" s="34"/>
      <c r="AI315" s="34"/>
      <c r="AJ315" s="34"/>
      <c r="AK315" s="34"/>
      <c r="AL315" s="34"/>
      <c r="AM315" s="34"/>
      <c r="AN315" s="34"/>
      <c r="AO315" s="34"/>
      <c r="AP315" s="34"/>
    </row>
    <row r="316" spans="1:42" ht="18.75" customHeight="1" x14ac:dyDescent="0.25">
      <c r="A316" s="198"/>
      <c r="B316" s="245" t="s">
        <v>113</v>
      </c>
      <c r="C316" s="245"/>
      <c r="D316" s="245"/>
      <c r="E316" s="245"/>
      <c r="F316" s="245"/>
      <c r="G316" s="245"/>
      <c r="H316" s="245"/>
      <c r="I316" s="245"/>
      <c r="J316" s="245"/>
      <c r="K316" s="245"/>
      <c r="L316" s="245"/>
      <c r="M316" s="245"/>
      <c r="N316" s="245"/>
      <c r="O316" s="245"/>
      <c r="P316" s="245"/>
      <c r="Q316" s="245"/>
      <c r="R316" s="204"/>
      <c r="S316" s="204"/>
      <c r="T316" s="204"/>
      <c r="U316" s="204"/>
      <c r="V316" s="204"/>
      <c r="W316" s="204"/>
      <c r="X316" s="204"/>
      <c r="Y316" s="204"/>
      <c r="Z316" s="204"/>
      <c r="AA316" s="204"/>
      <c r="AB316" s="205"/>
      <c r="AD316" s="34"/>
      <c r="AE316" s="34"/>
      <c r="AF316" s="34"/>
      <c r="AG316" s="34"/>
      <c r="AH316" s="34"/>
      <c r="AI316" s="34"/>
      <c r="AJ316" s="34"/>
      <c r="AK316" s="34"/>
      <c r="AL316" s="34"/>
      <c r="AM316" s="34"/>
      <c r="AN316" s="34"/>
      <c r="AO316" s="34"/>
      <c r="AP316" s="34"/>
    </row>
    <row r="317" spans="1:42" ht="36" customHeight="1" x14ac:dyDescent="0.25">
      <c r="A317" s="191">
        <v>1</v>
      </c>
      <c r="B317" s="191" t="s">
        <v>194</v>
      </c>
      <c r="C317" s="191" t="s">
        <v>68</v>
      </c>
      <c r="D317" s="232" t="s">
        <v>296</v>
      </c>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232"/>
      <c r="AA317" s="232"/>
      <c r="AB317" s="232"/>
      <c r="AD317" s="34"/>
      <c r="AE317" s="34"/>
      <c r="AF317" s="34"/>
      <c r="AG317" s="34"/>
      <c r="AH317" s="34"/>
      <c r="AI317" s="34"/>
      <c r="AJ317" s="34"/>
      <c r="AK317" s="34"/>
      <c r="AL317" s="34"/>
      <c r="AM317" s="34"/>
      <c r="AN317" s="34"/>
      <c r="AO317" s="34"/>
      <c r="AP317" s="34"/>
    </row>
    <row r="318" spans="1:42" ht="36" customHeight="1" x14ac:dyDescent="0.25">
      <c r="A318" s="191">
        <v>2</v>
      </c>
      <c r="B318" s="191" t="s">
        <v>195</v>
      </c>
      <c r="C318" s="191" t="s">
        <v>126</v>
      </c>
      <c r="D318" s="232" t="s">
        <v>289</v>
      </c>
      <c r="E318" s="232"/>
      <c r="F318" s="232"/>
      <c r="G318" s="232"/>
      <c r="H318" s="232"/>
      <c r="I318" s="232"/>
      <c r="J318" s="232"/>
      <c r="K318" s="232"/>
      <c r="L318" s="232"/>
      <c r="M318" s="232"/>
      <c r="N318" s="232"/>
      <c r="O318" s="232"/>
      <c r="P318" s="232"/>
      <c r="Q318" s="232"/>
      <c r="R318" s="232"/>
      <c r="S318" s="232"/>
      <c r="T318" s="232"/>
      <c r="U318" s="232"/>
      <c r="V318" s="232"/>
      <c r="W318" s="232"/>
      <c r="X318" s="232"/>
      <c r="Y318" s="232"/>
      <c r="Z318" s="232"/>
      <c r="AA318" s="232"/>
      <c r="AB318" s="232"/>
      <c r="AD318" s="34"/>
      <c r="AE318" s="34"/>
      <c r="AF318" s="34"/>
      <c r="AG318" s="34"/>
      <c r="AH318" s="34"/>
      <c r="AI318" s="34"/>
      <c r="AJ318" s="34"/>
      <c r="AK318" s="34"/>
      <c r="AL318" s="34"/>
      <c r="AM318" s="34"/>
      <c r="AN318" s="34"/>
      <c r="AO318" s="34"/>
      <c r="AP318" s="34"/>
    </row>
    <row r="319" spans="1:42" ht="36" customHeight="1" x14ac:dyDescent="0.25">
      <c r="A319" s="191">
        <v>3</v>
      </c>
      <c r="B319" s="191" t="s">
        <v>196</v>
      </c>
      <c r="C319" s="191" t="s">
        <v>68</v>
      </c>
      <c r="D319" s="232" t="s">
        <v>298</v>
      </c>
      <c r="E319" s="232"/>
      <c r="F319" s="232"/>
      <c r="G319" s="232"/>
      <c r="H319" s="232"/>
      <c r="I319" s="232"/>
      <c r="J319" s="232"/>
      <c r="K319" s="232"/>
      <c r="L319" s="232"/>
      <c r="M319" s="232"/>
      <c r="N319" s="232"/>
      <c r="O319" s="232"/>
      <c r="P319" s="232"/>
      <c r="Q319" s="232"/>
      <c r="R319" s="232"/>
      <c r="S319" s="232"/>
      <c r="T319" s="232"/>
      <c r="U319" s="232"/>
      <c r="V319" s="232"/>
      <c r="W319" s="232"/>
      <c r="X319" s="232"/>
      <c r="Y319" s="232"/>
      <c r="Z319" s="232"/>
      <c r="AA319" s="232"/>
      <c r="AB319" s="232"/>
      <c r="AD319" s="34"/>
      <c r="AE319" s="34"/>
      <c r="AF319" s="34"/>
      <c r="AG319" s="34"/>
      <c r="AH319" s="34"/>
      <c r="AI319" s="34"/>
      <c r="AJ319" s="34"/>
      <c r="AK319" s="34"/>
      <c r="AL319" s="34"/>
      <c r="AM319" s="34"/>
      <c r="AN319" s="34"/>
      <c r="AO319" s="34"/>
      <c r="AP319" s="34"/>
    </row>
    <row r="320" spans="1:42" ht="23.25" customHeight="1" x14ac:dyDescent="0.25">
      <c r="A320" s="191">
        <v>4</v>
      </c>
      <c r="B320" s="191" t="s">
        <v>197</v>
      </c>
      <c r="C320" s="191" t="s">
        <v>3</v>
      </c>
      <c r="D320" s="231" t="s">
        <v>297</v>
      </c>
      <c r="E320" s="231"/>
      <c r="F320" s="231"/>
      <c r="G320" s="231"/>
      <c r="H320" s="231"/>
      <c r="I320" s="231"/>
      <c r="J320" s="231"/>
      <c r="K320" s="231"/>
      <c r="L320" s="231"/>
      <c r="M320" s="231"/>
      <c r="N320" s="231"/>
      <c r="O320" s="231"/>
      <c r="P320" s="231"/>
      <c r="Q320" s="231"/>
      <c r="R320" s="231"/>
      <c r="S320" s="231"/>
      <c r="T320" s="231"/>
      <c r="U320" s="231"/>
      <c r="V320" s="231"/>
      <c r="W320" s="231"/>
      <c r="X320" s="231"/>
      <c r="Y320" s="231"/>
      <c r="Z320" s="231"/>
      <c r="AA320" s="231"/>
      <c r="AB320" s="231"/>
      <c r="AD320" s="34"/>
      <c r="AE320" s="34"/>
      <c r="AF320" s="34"/>
      <c r="AG320" s="34"/>
      <c r="AH320" s="34"/>
      <c r="AI320" s="34"/>
      <c r="AJ320" s="34"/>
      <c r="AK320" s="34"/>
      <c r="AL320" s="34"/>
      <c r="AM320" s="34"/>
      <c r="AN320" s="34"/>
      <c r="AO320" s="34"/>
      <c r="AP320" s="34"/>
    </row>
    <row r="321" spans="1:42" ht="19.5" customHeight="1" x14ac:dyDescent="0.25">
      <c r="A321" s="201"/>
      <c r="B321" s="243" t="s">
        <v>280</v>
      </c>
      <c r="C321" s="243"/>
      <c r="D321" s="243"/>
      <c r="E321" s="243"/>
      <c r="F321" s="243"/>
      <c r="G321" s="243"/>
      <c r="H321" s="243"/>
      <c r="I321" s="243"/>
      <c r="J321" s="243"/>
      <c r="K321" s="243"/>
      <c r="L321" s="243"/>
      <c r="M321" s="243"/>
      <c r="N321" s="243"/>
      <c r="O321" s="243"/>
      <c r="P321" s="243"/>
      <c r="Q321" s="243"/>
      <c r="R321" s="202"/>
      <c r="S321" s="202"/>
      <c r="T321" s="202"/>
      <c r="U321" s="202"/>
      <c r="V321" s="202"/>
      <c r="W321" s="202"/>
      <c r="X321" s="202"/>
      <c r="Y321" s="202"/>
      <c r="Z321" s="202"/>
      <c r="AA321" s="202"/>
      <c r="AB321" s="202"/>
      <c r="AD321" s="34"/>
      <c r="AE321" s="34"/>
      <c r="AF321" s="34"/>
      <c r="AG321" s="34"/>
      <c r="AH321" s="34"/>
      <c r="AI321" s="34"/>
      <c r="AJ321" s="34"/>
      <c r="AK321" s="34"/>
      <c r="AL321" s="34"/>
      <c r="AM321" s="34"/>
      <c r="AN321" s="34"/>
      <c r="AO321" s="34"/>
      <c r="AP321" s="34"/>
    </row>
    <row r="322" spans="1:42" ht="65.25" customHeight="1" x14ac:dyDescent="0.25">
      <c r="A322" s="191">
        <v>1</v>
      </c>
      <c r="B322" s="191" t="s">
        <v>194</v>
      </c>
      <c r="C322" s="191" t="s">
        <v>68</v>
      </c>
      <c r="D322" s="232" t="s">
        <v>304</v>
      </c>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232"/>
      <c r="AA322" s="232"/>
      <c r="AB322" s="232"/>
      <c r="AD322" s="34"/>
      <c r="AE322" s="34"/>
      <c r="AF322" s="34"/>
      <c r="AG322" s="34"/>
      <c r="AH322" s="34"/>
      <c r="AI322" s="34"/>
      <c r="AJ322" s="34"/>
      <c r="AK322" s="34"/>
      <c r="AL322" s="34"/>
      <c r="AM322" s="34"/>
      <c r="AN322" s="34"/>
      <c r="AO322" s="34"/>
      <c r="AP322" s="34"/>
    </row>
    <row r="323" spans="1:42" ht="18.75" customHeight="1" x14ac:dyDescent="0.25">
      <c r="A323" s="191">
        <v>2</v>
      </c>
      <c r="B323" s="191" t="s">
        <v>195</v>
      </c>
      <c r="C323" s="191" t="s">
        <v>126</v>
      </c>
      <c r="D323" s="232" t="s">
        <v>17</v>
      </c>
      <c r="E323" s="232"/>
      <c r="F323" s="232"/>
      <c r="G323" s="232"/>
      <c r="H323" s="232"/>
      <c r="I323" s="232"/>
      <c r="J323" s="232"/>
      <c r="K323" s="232"/>
      <c r="L323" s="232"/>
      <c r="M323" s="232"/>
      <c r="N323" s="232"/>
      <c r="O323" s="232"/>
      <c r="P323" s="232"/>
      <c r="Q323" s="232"/>
      <c r="R323" s="232"/>
      <c r="S323" s="232"/>
      <c r="T323" s="232"/>
      <c r="U323" s="232"/>
      <c r="V323" s="232"/>
      <c r="W323" s="232"/>
      <c r="X323" s="232"/>
      <c r="Y323" s="232"/>
      <c r="Z323" s="232"/>
      <c r="AA323" s="232"/>
      <c r="AB323" s="232"/>
      <c r="AD323" s="34"/>
      <c r="AE323" s="34"/>
      <c r="AF323" s="34"/>
      <c r="AG323" s="34"/>
      <c r="AH323" s="34"/>
      <c r="AI323" s="34"/>
      <c r="AJ323" s="34"/>
      <c r="AK323" s="34"/>
      <c r="AL323" s="34"/>
      <c r="AM323" s="34"/>
      <c r="AN323" s="34"/>
      <c r="AO323" s="34"/>
      <c r="AP323" s="34"/>
    </row>
    <row r="324" spans="1:42" ht="51" customHeight="1" x14ac:dyDescent="0.25">
      <c r="A324" s="191">
        <v>3</v>
      </c>
      <c r="B324" s="191" t="s">
        <v>196</v>
      </c>
      <c r="C324" s="191" t="s">
        <v>68</v>
      </c>
      <c r="D324" s="232" t="s">
        <v>5</v>
      </c>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D324" s="34"/>
      <c r="AE324" s="34"/>
      <c r="AF324" s="34"/>
      <c r="AG324" s="34"/>
      <c r="AH324" s="34"/>
      <c r="AI324" s="34"/>
      <c r="AJ324" s="34"/>
      <c r="AK324" s="34"/>
      <c r="AL324" s="34"/>
      <c r="AM324" s="34"/>
      <c r="AN324" s="34"/>
      <c r="AO324" s="34"/>
      <c r="AP324" s="34"/>
    </row>
    <row r="325" spans="1:42" ht="18.75" customHeight="1" x14ac:dyDescent="0.25">
      <c r="A325" s="191">
        <v>4</v>
      </c>
      <c r="B325" s="191" t="s">
        <v>197</v>
      </c>
      <c r="C325" s="191" t="s">
        <v>3</v>
      </c>
      <c r="D325" s="232" t="s">
        <v>7</v>
      </c>
      <c r="E325" s="232"/>
      <c r="F325" s="232"/>
      <c r="G325" s="232"/>
      <c r="H325" s="232"/>
      <c r="I325" s="232"/>
      <c r="J325" s="232"/>
      <c r="K325" s="232"/>
      <c r="L325" s="232"/>
      <c r="M325" s="232"/>
      <c r="N325" s="232"/>
      <c r="O325" s="232"/>
      <c r="P325" s="232"/>
      <c r="Q325" s="232"/>
      <c r="R325" s="232"/>
      <c r="S325" s="232"/>
      <c r="T325" s="232"/>
      <c r="U325" s="232"/>
      <c r="V325" s="232"/>
      <c r="W325" s="232"/>
      <c r="X325" s="232"/>
      <c r="Y325" s="232"/>
      <c r="Z325" s="232"/>
      <c r="AA325" s="232"/>
      <c r="AB325" s="232"/>
      <c r="AD325" s="34"/>
      <c r="AE325" s="34"/>
      <c r="AF325" s="34"/>
      <c r="AG325" s="34"/>
      <c r="AH325" s="34"/>
      <c r="AI325" s="34"/>
      <c r="AJ325" s="34"/>
      <c r="AK325" s="34"/>
      <c r="AL325" s="34"/>
      <c r="AM325" s="34"/>
      <c r="AN325" s="34"/>
      <c r="AO325" s="34"/>
      <c r="AP325" s="34"/>
    </row>
    <row r="326" spans="1:42" ht="20.25" customHeight="1" x14ac:dyDescent="0.25">
      <c r="A326" s="201"/>
      <c r="B326" s="243" t="s">
        <v>114</v>
      </c>
      <c r="C326" s="243"/>
      <c r="D326" s="243"/>
      <c r="E326" s="243"/>
      <c r="F326" s="243"/>
      <c r="G326" s="243"/>
      <c r="H326" s="243"/>
      <c r="I326" s="243"/>
      <c r="J326" s="243"/>
      <c r="K326" s="243"/>
      <c r="L326" s="243"/>
      <c r="M326" s="243"/>
      <c r="N326" s="243"/>
      <c r="O326" s="243"/>
      <c r="P326" s="243"/>
      <c r="Q326" s="243"/>
      <c r="R326" s="243"/>
      <c r="S326" s="243"/>
      <c r="T326" s="243"/>
      <c r="U326" s="197"/>
      <c r="V326" s="197"/>
      <c r="W326" s="197"/>
      <c r="X326" s="197"/>
      <c r="Y326" s="197"/>
      <c r="Z326" s="197"/>
      <c r="AA326" s="197"/>
      <c r="AB326" s="197"/>
      <c r="AC326" s="206"/>
      <c r="AD326" s="206"/>
      <c r="AE326" s="34"/>
      <c r="AF326" s="34"/>
      <c r="AG326" s="34"/>
      <c r="AH326" s="34"/>
      <c r="AI326" s="34"/>
      <c r="AJ326" s="34"/>
      <c r="AK326" s="34"/>
      <c r="AL326" s="34"/>
      <c r="AM326" s="34"/>
      <c r="AN326" s="34"/>
      <c r="AO326" s="34"/>
      <c r="AP326" s="34"/>
    </row>
    <row r="327" spans="1:42" ht="52.5" customHeight="1" x14ac:dyDescent="0.25">
      <c r="A327" s="191">
        <v>1</v>
      </c>
      <c r="B327" s="191" t="s">
        <v>194</v>
      </c>
      <c r="C327" s="191" t="s">
        <v>68</v>
      </c>
      <c r="D327" s="241" t="s">
        <v>291</v>
      </c>
      <c r="E327" s="241"/>
      <c r="F327" s="241"/>
      <c r="G327" s="241"/>
      <c r="H327" s="241"/>
      <c r="I327" s="241"/>
      <c r="J327" s="241"/>
      <c r="K327" s="241"/>
      <c r="L327" s="241"/>
      <c r="M327" s="241"/>
      <c r="N327" s="241"/>
      <c r="O327" s="241"/>
      <c r="P327" s="241"/>
      <c r="Q327" s="241"/>
      <c r="R327" s="241"/>
      <c r="S327" s="241"/>
      <c r="T327" s="241"/>
      <c r="U327" s="241"/>
      <c r="V327" s="241"/>
      <c r="W327" s="241"/>
      <c r="X327" s="241"/>
      <c r="Y327" s="241"/>
      <c r="Z327" s="241"/>
      <c r="AA327" s="241"/>
      <c r="AB327" s="241"/>
      <c r="AC327" s="206"/>
      <c r="AD327" s="206"/>
      <c r="AE327" s="34"/>
      <c r="AF327" s="34"/>
      <c r="AG327" s="34"/>
      <c r="AH327" s="34"/>
      <c r="AI327" s="34"/>
      <c r="AJ327" s="34"/>
      <c r="AK327" s="34"/>
      <c r="AL327" s="34"/>
      <c r="AM327" s="34"/>
      <c r="AN327" s="34"/>
      <c r="AO327" s="34"/>
      <c r="AP327" s="34"/>
    </row>
    <row r="328" spans="1:42" ht="63" customHeight="1" x14ac:dyDescent="0.25">
      <c r="A328" s="191">
        <v>2</v>
      </c>
      <c r="B328" s="191" t="s">
        <v>195</v>
      </c>
      <c r="C328" s="191" t="s">
        <v>15</v>
      </c>
      <c r="D328" s="241" t="s">
        <v>292</v>
      </c>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241"/>
      <c r="AB328" s="241"/>
      <c r="AC328" s="207"/>
      <c r="AD328" s="207"/>
      <c r="AE328" s="34"/>
      <c r="AF328" s="34"/>
      <c r="AG328" s="34"/>
      <c r="AH328" s="34"/>
      <c r="AI328" s="34"/>
      <c r="AJ328" s="34"/>
      <c r="AK328" s="34"/>
      <c r="AL328" s="34"/>
      <c r="AM328" s="34"/>
      <c r="AN328" s="34"/>
      <c r="AO328" s="34"/>
      <c r="AP328" s="34"/>
    </row>
    <row r="329" spans="1:42" ht="100.5" customHeight="1" x14ac:dyDescent="0.25">
      <c r="A329" s="191">
        <v>3</v>
      </c>
      <c r="B329" s="191" t="s">
        <v>196</v>
      </c>
      <c r="C329" s="191" t="s">
        <v>68</v>
      </c>
      <c r="D329" s="241" t="s">
        <v>293</v>
      </c>
      <c r="E329" s="241"/>
      <c r="F329" s="241"/>
      <c r="G329" s="241"/>
      <c r="H329" s="241"/>
      <c r="I329" s="241"/>
      <c r="J329" s="241"/>
      <c r="K329" s="241"/>
      <c r="L329" s="241"/>
      <c r="M329" s="241"/>
      <c r="N329" s="241"/>
      <c r="O329" s="241"/>
      <c r="P329" s="241"/>
      <c r="Q329" s="241"/>
      <c r="R329" s="241"/>
      <c r="S329" s="241"/>
      <c r="T329" s="241"/>
      <c r="U329" s="241"/>
      <c r="V329" s="241"/>
      <c r="W329" s="241"/>
      <c r="X329" s="241"/>
      <c r="Y329" s="241"/>
      <c r="Z329" s="241"/>
      <c r="AA329" s="241"/>
      <c r="AB329" s="241"/>
      <c r="AD329" s="34"/>
      <c r="AE329" s="34"/>
      <c r="AF329" s="34"/>
      <c r="AG329" s="34"/>
      <c r="AH329" s="34"/>
      <c r="AI329" s="34"/>
      <c r="AJ329" s="34"/>
      <c r="AK329" s="34"/>
      <c r="AL329" s="34"/>
      <c r="AM329" s="34"/>
      <c r="AN329" s="34"/>
      <c r="AO329" s="34"/>
      <c r="AP329" s="34"/>
    </row>
    <row r="330" spans="1:42" ht="21" customHeight="1" x14ac:dyDescent="0.25">
      <c r="A330" s="191">
        <v>4</v>
      </c>
      <c r="B330" s="191" t="s">
        <v>197</v>
      </c>
      <c r="C330" s="191" t="s">
        <v>3</v>
      </c>
      <c r="D330" s="232" t="s">
        <v>14</v>
      </c>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c r="AA330" s="232"/>
      <c r="AB330" s="232"/>
      <c r="AD330" s="34"/>
      <c r="AE330" s="34"/>
      <c r="AF330" s="34"/>
      <c r="AG330" s="34"/>
      <c r="AH330" s="34"/>
      <c r="AI330" s="34"/>
      <c r="AJ330" s="34"/>
      <c r="AK330" s="34"/>
      <c r="AL330" s="34"/>
      <c r="AM330" s="34"/>
      <c r="AN330" s="34"/>
      <c r="AO330" s="34"/>
      <c r="AP330" s="34"/>
    </row>
    <row r="331" spans="1:42" ht="20.25" customHeight="1" x14ac:dyDescent="0.25">
      <c r="A331" s="191"/>
      <c r="B331" s="244" t="s">
        <v>115</v>
      </c>
      <c r="C331" s="245"/>
      <c r="D331" s="245"/>
      <c r="E331" s="245"/>
      <c r="F331" s="245"/>
      <c r="G331" s="245"/>
      <c r="H331" s="245"/>
      <c r="I331" s="245"/>
      <c r="J331" s="245"/>
      <c r="K331" s="245"/>
      <c r="L331" s="245"/>
      <c r="M331" s="245"/>
      <c r="N331" s="245"/>
      <c r="O331" s="245"/>
      <c r="P331" s="245"/>
      <c r="Q331" s="245"/>
      <c r="R331" s="245"/>
      <c r="S331" s="245"/>
      <c r="T331" s="245"/>
      <c r="U331" s="245"/>
      <c r="V331" s="245"/>
      <c r="W331" s="245"/>
      <c r="X331" s="245"/>
      <c r="Y331" s="245"/>
      <c r="Z331" s="245"/>
      <c r="AA331" s="245"/>
      <c r="AB331" s="246"/>
      <c r="AD331" s="34"/>
      <c r="AE331" s="34"/>
      <c r="AF331" s="34"/>
      <c r="AG331" s="34"/>
      <c r="AH331" s="34"/>
      <c r="AI331" s="34"/>
      <c r="AJ331" s="34"/>
      <c r="AK331" s="34"/>
      <c r="AL331" s="34"/>
      <c r="AM331" s="34"/>
      <c r="AN331" s="34"/>
      <c r="AO331" s="34"/>
      <c r="AP331" s="34"/>
    </row>
    <row r="332" spans="1:42" ht="20.100000000000001" customHeight="1" x14ac:dyDescent="0.25">
      <c r="A332" s="191">
        <v>1</v>
      </c>
      <c r="B332" s="191" t="s">
        <v>194</v>
      </c>
      <c r="C332" s="191" t="s">
        <v>68</v>
      </c>
      <c r="D332" s="232" t="s">
        <v>16</v>
      </c>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c r="AA332" s="232"/>
      <c r="AB332" s="232"/>
      <c r="AD332" s="34"/>
      <c r="AE332" s="34"/>
      <c r="AF332" s="34"/>
      <c r="AG332" s="34"/>
      <c r="AH332" s="34"/>
      <c r="AI332" s="34"/>
      <c r="AJ332" s="34"/>
      <c r="AK332" s="34"/>
      <c r="AL332" s="34"/>
      <c r="AM332" s="34"/>
      <c r="AN332" s="34"/>
      <c r="AO332" s="34"/>
      <c r="AP332" s="34"/>
    </row>
    <row r="333" spans="1:42" ht="20.100000000000001" customHeight="1" x14ac:dyDescent="0.25">
      <c r="A333" s="191">
        <v>2</v>
      </c>
      <c r="B333" s="191" t="s">
        <v>195</v>
      </c>
      <c r="C333" s="191" t="s">
        <v>149</v>
      </c>
      <c r="D333" s="232"/>
      <c r="E333" s="232"/>
      <c r="F333" s="232"/>
      <c r="G333" s="232"/>
      <c r="H333" s="232"/>
      <c r="I333" s="232"/>
      <c r="J333" s="232"/>
      <c r="K333" s="232"/>
      <c r="L333" s="232"/>
      <c r="M333" s="232"/>
      <c r="N333" s="232"/>
      <c r="O333" s="232"/>
      <c r="P333" s="232"/>
      <c r="Q333" s="232"/>
      <c r="R333" s="232"/>
      <c r="S333" s="232"/>
      <c r="T333" s="232"/>
      <c r="U333" s="232"/>
      <c r="V333" s="232"/>
      <c r="W333" s="232"/>
      <c r="X333" s="232"/>
      <c r="Y333" s="232"/>
      <c r="Z333" s="232"/>
      <c r="AA333" s="232"/>
      <c r="AB333" s="232"/>
      <c r="AD333" s="34"/>
      <c r="AE333" s="34"/>
      <c r="AF333" s="34"/>
      <c r="AG333" s="34"/>
      <c r="AH333" s="34"/>
      <c r="AI333" s="34"/>
      <c r="AJ333" s="34"/>
      <c r="AK333" s="34"/>
      <c r="AL333" s="34"/>
      <c r="AM333" s="34"/>
      <c r="AN333" s="34"/>
      <c r="AO333" s="34"/>
      <c r="AP333" s="34"/>
    </row>
    <row r="334" spans="1:42" ht="20.100000000000001" customHeight="1" x14ac:dyDescent="0.25">
      <c r="A334" s="191">
        <v>3</v>
      </c>
      <c r="B334" s="191" t="s">
        <v>196</v>
      </c>
      <c r="C334" s="191" t="s">
        <v>68</v>
      </c>
      <c r="D334" s="232"/>
      <c r="E334" s="232"/>
      <c r="F334" s="232"/>
      <c r="G334" s="232"/>
      <c r="H334" s="232"/>
      <c r="I334" s="232"/>
      <c r="J334" s="232"/>
      <c r="K334" s="232"/>
      <c r="L334" s="232"/>
      <c r="M334" s="232"/>
      <c r="N334" s="232"/>
      <c r="O334" s="232"/>
      <c r="P334" s="232"/>
      <c r="Q334" s="232"/>
      <c r="R334" s="232"/>
      <c r="S334" s="232"/>
      <c r="T334" s="232"/>
      <c r="U334" s="232"/>
      <c r="V334" s="232"/>
      <c r="W334" s="232"/>
      <c r="X334" s="232"/>
      <c r="Y334" s="232"/>
      <c r="Z334" s="232"/>
      <c r="AA334" s="232"/>
      <c r="AB334" s="232"/>
      <c r="AD334" s="34"/>
      <c r="AE334" s="34"/>
      <c r="AF334" s="34"/>
      <c r="AG334" s="34"/>
      <c r="AH334" s="34"/>
      <c r="AI334" s="34"/>
      <c r="AJ334" s="34"/>
      <c r="AK334" s="34"/>
      <c r="AL334" s="34"/>
      <c r="AM334" s="34"/>
      <c r="AN334" s="34"/>
      <c r="AO334" s="34"/>
      <c r="AP334" s="34"/>
    </row>
    <row r="335" spans="1:42" ht="20.100000000000001" customHeight="1" x14ac:dyDescent="0.25">
      <c r="A335" s="191">
        <v>4</v>
      </c>
      <c r="B335" s="191" t="s">
        <v>197</v>
      </c>
      <c r="C335" s="191" t="s">
        <v>3</v>
      </c>
      <c r="D335" s="232"/>
      <c r="E335" s="232"/>
      <c r="F335" s="232"/>
      <c r="G335" s="232"/>
      <c r="H335" s="232"/>
      <c r="I335" s="232"/>
      <c r="J335" s="232"/>
      <c r="K335" s="232"/>
      <c r="L335" s="232"/>
      <c r="M335" s="232"/>
      <c r="N335" s="232"/>
      <c r="O335" s="232"/>
      <c r="P335" s="232"/>
      <c r="Q335" s="232"/>
      <c r="R335" s="232"/>
      <c r="S335" s="232"/>
      <c r="T335" s="232"/>
      <c r="U335" s="232"/>
      <c r="V335" s="232"/>
      <c r="W335" s="232"/>
      <c r="X335" s="232"/>
      <c r="Y335" s="232"/>
      <c r="Z335" s="232"/>
      <c r="AA335" s="232"/>
      <c r="AB335" s="232"/>
      <c r="AD335" s="34"/>
      <c r="AE335" s="34"/>
      <c r="AF335" s="34"/>
      <c r="AG335" s="34"/>
      <c r="AH335" s="34"/>
      <c r="AI335" s="34"/>
      <c r="AJ335" s="34"/>
      <c r="AK335" s="34"/>
      <c r="AL335" s="34"/>
      <c r="AM335" s="34"/>
      <c r="AN335" s="34"/>
      <c r="AO335" s="34"/>
      <c r="AP335" s="34"/>
    </row>
    <row r="336" spans="1:42" ht="17.25" customHeight="1" x14ac:dyDescent="0.25">
      <c r="A336" s="201"/>
      <c r="B336" s="477" t="s">
        <v>116</v>
      </c>
      <c r="C336" s="478"/>
      <c r="D336" s="478"/>
      <c r="E336" s="478"/>
      <c r="F336" s="478"/>
      <c r="G336" s="478"/>
      <c r="H336" s="478"/>
      <c r="I336" s="478"/>
      <c r="J336" s="478"/>
      <c r="K336" s="478"/>
      <c r="L336" s="478"/>
      <c r="M336" s="478"/>
      <c r="N336" s="478"/>
      <c r="O336" s="478"/>
      <c r="P336" s="478"/>
      <c r="Q336" s="478"/>
      <c r="R336" s="478"/>
      <c r="S336" s="478"/>
      <c r="T336" s="478"/>
      <c r="U336" s="478"/>
      <c r="V336" s="478"/>
      <c r="W336" s="478"/>
      <c r="X336" s="478"/>
      <c r="Y336" s="478"/>
      <c r="Z336" s="478"/>
      <c r="AA336" s="478"/>
      <c r="AB336" s="479"/>
      <c r="AD336" s="34"/>
      <c r="AE336" s="34"/>
      <c r="AF336" s="34"/>
      <c r="AG336" s="34"/>
      <c r="AH336" s="34"/>
      <c r="AI336" s="34"/>
      <c r="AJ336" s="34"/>
      <c r="AK336" s="34"/>
      <c r="AL336" s="34"/>
      <c r="AM336" s="34"/>
      <c r="AN336" s="34"/>
      <c r="AO336" s="34"/>
      <c r="AP336" s="34"/>
    </row>
    <row r="337" spans="1:42" ht="66.75" customHeight="1" x14ac:dyDescent="0.25">
      <c r="A337" s="191">
        <v>1</v>
      </c>
      <c r="B337" s="191" t="s">
        <v>194</v>
      </c>
      <c r="C337" s="191" t="s">
        <v>68</v>
      </c>
      <c r="D337" s="241" t="s">
        <v>309</v>
      </c>
      <c r="E337" s="241"/>
      <c r="F337" s="241"/>
      <c r="G337" s="241"/>
      <c r="H337" s="241"/>
      <c r="I337" s="241"/>
      <c r="J337" s="241"/>
      <c r="K337" s="241"/>
      <c r="L337" s="241"/>
      <c r="M337" s="241"/>
      <c r="N337" s="241"/>
      <c r="O337" s="241"/>
      <c r="P337" s="241"/>
      <c r="Q337" s="241"/>
      <c r="R337" s="241"/>
      <c r="S337" s="241"/>
      <c r="T337" s="241"/>
      <c r="U337" s="241"/>
      <c r="V337" s="241"/>
      <c r="W337" s="241"/>
      <c r="X337" s="241"/>
      <c r="Y337" s="241"/>
      <c r="Z337" s="241"/>
      <c r="AA337" s="241"/>
      <c r="AB337" s="241"/>
      <c r="AD337" s="34"/>
      <c r="AE337" s="34"/>
      <c r="AF337" s="34"/>
      <c r="AG337" s="34"/>
      <c r="AH337" s="34"/>
      <c r="AI337" s="34"/>
      <c r="AJ337" s="34"/>
      <c r="AK337" s="34"/>
      <c r="AL337" s="34"/>
      <c r="AM337" s="34"/>
      <c r="AN337" s="34"/>
      <c r="AO337" s="34"/>
      <c r="AP337" s="34"/>
    </row>
    <row r="338" spans="1:42" ht="36" customHeight="1" x14ac:dyDescent="0.25">
      <c r="A338" s="191">
        <v>2</v>
      </c>
      <c r="B338" s="191" t="s">
        <v>195</v>
      </c>
      <c r="C338" s="191" t="s">
        <v>126</v>
      </c>
      <c r="D338" s="232" t="s">
        <v>18</v>
      </c>
      <c r="E338" s="232"/>
      <c r="F338" s="232"/>
      <c r="G338" s="232"/>
      <c r="H338" s="232"/>
      <c r="I338" s="232"/>
      <c r="J338" s="232"/>
      <c r="K338" s="232"/>
      <c r="L338" s="232"/>
      <c r="M338" s="232"/>
      <c r="N338" s="232"/>
      <c r="O338" s="232"/>
      <c r="P338" s="232"/>
      <c r="Q338" s="232"/>
      <c r="R338" s="232"/>
      <c r="S338" s="232"/>
      <c r="T338" s="232"/>
      <c r="U338" s="232"/>
      <c r="V338" s="232"/>
      <c r="W338" s="232"/>
      <c r="X338" s="232"/>
      <c r="Y338" s="232"/>
      <c r="Z338" s="232"/>
      <c r="AA338" s="232"/>
      <c r="AB338" s="232"/>
      <c r="AD338" s="34"/>
      <c r="AE338" s="34"/>
      <c r="AF338" s="34"/>
      <c r="AG338" s="34"/>
      <c r="AH338" s="34"/>
      <c r="AI338" s="34"/>
      <c r="AJ338" s="34"/>
      <c r="AK338" s="34"/>
      <c r="AL338" s="34"/>
      <c r="AM338" s="34"/>
      <c r="AN338" s="34"/>
      <c r="AO338" s="34"/>
      <c r="AP338" s="34"/>
    </row>
    <row r="339" spans="1:42" ht="36" customHeight="1" x14ac:dyDescent="0.25">
      <c r="A339" s="191">
        <v>3</v>
      </c>
      <c r="B339" s="191" t="s">
        <v>196</v>
      </c>
      <c r="C339" s="191" t="s">
        <v>68</v>
      </c>
      <c r="D339" s="232" t="s">
        <v>21</v>
      </c>
      <c r="E339" s="232"/>
      <c r="F339" s="232"/>
      <c r="G339" s="232"/>
      <c r="H339" s="232"/>
      <c r="I339" s="232"/>
      <c r="J339" s="232"/>
      <c r="K339" s="232"/>
      <c r="L339" s="232"/>
      <c r="M339" s="232"/>
      <c r="N339" s="232"/>
      <c r="O339" s="232"/>
      <c r="P339" s="232"/>
      <c r="Q339" s="232"/>
      <c r="R339" s="232"/>
      <c r="S339" s="232"/>
      <c r="T339" s="232"/>
      <c r="U339" s="232"/>
      <c r="V339" s="232"/>
      <c r="W339" s="232"/>
      <c r="X339" s="232"/>
      <c r="Y339" s="232"/>
      <c r="Z339" s="232"/>
      <c r="AA339" s="232"/>
      <c r="AB339" s="232"/>
      <c r="AD339" s="34"/>
      <c r="AE339" s="34"/>
      <c r="AF339" s="34"/>
      <c r="AG339" s="34"/>
      <c r="AH339" s="34"/>
      <c r="AI339" s="34"/>
      <c r="AJ339" s="34"/>
      <c r="AK339" s="34"/>
      <c r="AL339" s="34"/>
      <c r="AM339" s="34"/>
      <c r="AN339" s="34"/>
      <c r="AO339" s="34"/>
      <c r="AP339" s="34"/>
    </row>
    <row r="340" spans="1:42" ht="33" customHeight="1" x14ac:dyDescent="0.25">
      <c r="A340" s="191">
        <v>4</v>
      </c>
      <c r="B340" s="191" t="s">
        <v>197</v>
      </c>
      <c r="C340" s="191" t="s">
        <v>3</v>
      </c>
      <c r="D340" s="232" t="s">
        <v>313</v>
      </c>
      <c r="E340" s="232"/>
      <c r="F340" s="232"/>
      <c r="G340" s="232"/>
      <c r="H340" s="232"/>
      <c r="I340" s="232"/>
      <c r="J340" s="232"/>
      <c r="K340" s="232"/>
      <c r="L340" s="232"/>
      <c r="M340" s="232"/>
      <c r="N340" s="232"/>
      <c r="O340" s="232"/>
      <c r="P340" s="232"/>
      <c r="Q340" s="232"/>
      <c r="R340" s="232"/>
      <c r="S340" s="232"/>
      <c r="T340" s="232"/>
      <c r="U340" s="232"/>
      <c r="V340" s="232"/>
      <c r="W340" s="232"/>
      <c r="X340" s="232"/>
      <c r="Y340" s="232"/>
      <c r="Z340" s="232"/>
      <c r="AA340" s="232"/>
      <c r="AB340" s="232"/>
      <c r="AD340" s="34"/>
      <c r="AE340" s="34"/>
      <c r="AF340" s="34"/>
      <c r="AG340" s="34"/>
      <c r="AH340" s="34"/>
      <c r="AI340" s="34"/>
      <c r="AJ340" s="34"/>
      <c r="AK340" s="34"/>
      <c r="AL340" s="34"/>
      <c r="AM340" s="34"/>
      <c r="AN340" s="34"/>
      <c r="AO340" s="34"/>
      <c r="AP340" s="34"/>
    </row>
    <row r="341" spans="1:42" ht="21.75" customHeight="1" x14ac:dyDescent="0.25">
      <c r="A341" s="191"/>
      <c r="B341" s="242" t="s">
        <v>117</v>
      </c>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c r="Y341" s="242"/>
      <c r="Z341" s="242"/>
      <c r="AA341" s="242"/>
      <c r="AB341" s="242"/>
      <c r="AD341" s="34"/>
      <c r="AE341" s="34"/>
      <c r="AF341" s="34"/>
      <c r="AG341" s="34"/>
      <c r="AH341" s="34"/>
      <c r="AI341" s="34"/>
      <c r="AJ341" s="34"/>
      <c r="AK341" s="34"/>
      <c r="AL341" s="34"/>
      <c r="AM341" s="34"/>
      <c r="AN341" s="34"/>
      <c r="AO341" s="34"/>
      <c r="AP341" s="34"/>
    </row>
    <row r="342" spans="1:42" ht="20.25" customHeight="1" x14ac:dyDescent="0.25">
      <c r="A342" s="191">
        <v>1</v>
      </c>
      <c r="B342" s="191" t="s">
        <v>194</v>
      </c>
      <c r="C342" s="191" t="s">
        <v>68</v>
      </c>
      <c r="D342" s="241" t="s">
        <v>294</v>
      </c>
      <c r="E342" s="241"/>
      <c r="F342" s="241"/>
      <c r="G342" s="241"/>
      <c r="H342" s="241"/>
      <c r="I342" s="241"/>
      <c r="J342" s="241"/>
      <c r="K342" s="241"/>
      <c r="L342" s="241"/>
      <c r="M342" s="241"/>
      <c r="N342" s="241"/>
      <c r="O342" s="241"/>
      <c r="P342" s="241"/>
      <c r="Q342" s="241"/>
      <c r="R342" s="241"/>
      <c r="S342" s="241"/>
      <c r="T342" s="241"/>
      <c r="U342" s="241"/>
      <c r="V342" s="241"/>
      <c r="W342" s="241"/>
      <c r="X342" s="241"/>
      <c r="Y342" s="241"/>
      <c r="Z342" s="241"/>
      <c r="AA342" s="241"/>
      <c r="AB342" s="241"/>
      <c r="AD342" s="34"/>
      <c r="AE342" s="34"/>
      <c r="AF342" s="34"/>
      <c r="AG342" s="34"/>
      <c r="AH342" s="34"/>
      <c r="AI342" s="34"/>
      <c r="AJ342" s="34"/>
      <c r="AK342" s="34"/>
      <c r="AL342" s="34"/>
      <c r="AM342" s="34"/>
      <c r="AN342" s="34"/>
      <c r="AO342" s="34"/>
      <c r="AP342" s="34"/>
    </row>
    <row r="343" spans="1:42" ht="20.100000000000001" customHeight="1" x14ac:dyDescent="0.25">
      <c r="A343" s="191">
        <v>2</v>
      </c>
      <c r="B343" s="191" t="s">
        <v>195</v>
      </c>
      <c r="C343" s="191" t="s">
        <v>126</v>
      </c>
      <c r="D343" s="232" t="s">
        <v>24</v>
      </c>
      <c r="E343" s="232"/>
      <c r="F343" s="232"/>
      <c r="G343" s="232"/>
      <c r="H343" s="232"/>
      <c r="I343" s="232"/>
      <c r="J343" s="232"/>
      <c r="K343" s="232"/>
      <c r="L343" s="232"/>
      <c r="M343" s="232"/>
      <c r="N343" s="232"/>
      <c r="O343" s="232"/>
      <c r="P343" s="232"/>
      <c r="Q343" s="232"/>
      <c r="R343" s="232"/>
      <c r="S343" s="232"/>
      <c r="T343" s="232"/>
      <c r="U343" s="232"/>
      <c r="V343" s="232"/>
      <c r="W343" s="232"/>
      <c r="X343" s="232"/>
      <c r="Y343" s="232"/>
      <c r="Z343" s="232"/>
      <c r="AA343" s="232"/>
      <c r="AB343" s="232"/>
      <c r="AD343" s="34"/>
      <c r="AE343" s="34"/>
      <c r="AF343" s="34"/>
      <c r="AG343" s="34"/>
      <c r="AH343" s="34"/>
      <c r="AI343" s="34"/>
      <c r="AJ343" s="34"/>
      <c r="AK343" s="34"/>
      <c r="AL343" s="34"/>
      <c r="AM343" s="34"/>
      <c r="AN343" s="34"/>
      <c r="AO343" s="34"/>
      <c r="AP343" s="34"/>
    </row>
    <row r="344" spans="1:42" ht="20.100000000000001" customHeight="1" x14ac:dyDescent="0.25">
      <c r="A344" s="191">
        <v>3</v>
      </c>
      <c r="B344" s="191" t="s">
        <v>196</v>
      </c>
      <c r="C344" s="191" t="s">
        <v>68</v>
      </c>
      <c r="D344" s="232" t="s">
        <v>295</v>
      </c>
      <c r="E344" s="232"/>
      <c r="F344" s="232"/>
      <c r="G344" s="232"/>
      <c r="H344" s="232"/>
      <c r="I344" s="232"/>
      <c r="J344" s="232"/>
      <c r="K344" s="232"/>
      <c r="L344" s="232"/>
      <c r="M344" s="232"/>
      <c r="N344" s="232"/>
      <c r="O344" s="232"/>
      <c r="P344" s="232"/>
      <c r="Q344" s="232"/>
      <c r="R344" s="232"/>
      <c r="S344" s="232"/>
      <c r="T344" s="232"/>
      <c r="U344" s="232"/>
      <c r="V344" s="232"/>
      <c r="W344" s="232"/>
      <c r="X344" s="232"/>
      <c r="Y344" s="232"/>
      <c r="Z344" s="232"/>
      <c r="AA344" s="232"/>
      <c r="AB344" s="232"/>
      <c r="AD344" s="34"/>
      <c r="AE344" s="34"/>
      <c r="AF344" s="34"/>
      <c r="AG344" s="34"/>
      <c r="AH344" s="34"/>
      <c r="AI344" s="34"/>
      <c r="AJ344" s="34"/>
      <c r="AK344" s="34"/>
      <c r="AL344" s="34"/>
      <c r="AM344" s="34"/>
      <c r="AN344" s="34"/>
      <c r="AO344" s="34"/>
      <c r="AP344" s="34"/>
    </row>
    <row r="345" spans="1:42" ht="20.100000000000001" customHeight="1" x14ac:dyDescent="0.25">
      <c r="A345" s="191">
        <v>4</v>
      </c>
      <c r="B345" s="191" t="s">
        <v>197</v>
      </c>
      <c r="C345" s="191" t="s">
        <v>3</v>
      </c>
      <c r="D345" s="232" t="s">
        <v>26</v>
      </c>
      <c r="E345" s="232"/>
      <c r="F345" s="232"/>
      <c r="G345" s="232"/>
      <c r="H345" s="232"/>
      <c r="I345" s="232"/>
      <c r="J345" s="232"/>
      <c r="K345" s="232"/>
      <c r="L345" s="232"/>
      <c r="M345" s="232"/>
      <c r="N345" s="232"/>
      <c r="O345" s="232"/>
      <c r="P345" s="232"/>
      <c r="Q345" s="232"/>
      <c r="R345" s="232"/>
      <c r="S345" s="232"/>
      <c r="T345" s="232"/>
      <c r="U345" s="232"/>
      <c r="V345" s="232"/>
      <c r="W345" s="232"/>
      <c r="X345" s="232"/>
      <c r="Y345" s="232"/>
      <c r="Z345" s="232"/>
      <c r="AA345" s="232"/>
      <c r="AB345" s="232"/>
      <c r="AD345" s="34"/>
      <c r="AE345" s="34"/>
      <c r="AF345" s="34"/>
      <c r="AG345" s="34"/>
      <c r="AH345" s="34"/>
      <c r="AI345" s="34"/>
      <c r="AJ345" s="34"/>
      <c r="AK345" s="34"/>
      <c r="AL345" s="34"/>
      <c r="AM345" s="34"/>
      <c r="AN345" s="34"/>
      <c r="AO345" s="34"/>
      <c r="AP345" s="34"/>
    </row>
    <row r="346" spans="1:42" ht="20.25" customHeight="1" x14ac:dyDescent="0.25">
      <c r="A346" s="191"/>
      <c r="B346" s="238" t="s">
        <v>45</v>
      </c>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c r="Y346" s="238"/>
      <c r="Z346" s="238"/>
      <c r="AA346" s="238"/>
      <c r="AB346" s="238"/>
      <c r="AD346" s="34"/>
      <c r="AE346" s="34"/>
      <c r="AF346" s="34"/>
      <c r="AG346" s="34"/>
      <c r="AH346" s="34"/>
      <c r="AI346" s="34"/>
      <c r="AJ346" s="34"/>
      <c r="AK346" s="34"/>
      <c r="AL346" s="34"/>
      <c r="AM346" s="34"/>
      <c r="AN346" s="34"/>
      <c r="AO346" s="34"/>
      <c r="AP346" s="34"/>
    </row>
    <row r="347" spans="1:42" ht="15.75" customHeight="1" x14ac:dyDescent="0.25">
      <c r="A347" s="191">
        <v>1</v>
      </c>
      <c r="B347" s="191" t="s">
        <v>194</v>
      </c>
      <c r="C347" s="191" t="s">
        <v>68</v>
      </c>
      <c r="D347" s="241" t="s">
        <v>314</v>
      </c>
      <c r="E347" s="241"/>
      <c r="F347" s="241"/>
      <c r="G347" s="241"/>
      <c r="H347" s="241"/>
      <c r="I347" s="241"/>
      <c r="J347" s="241"/>
      <c r="K347" s="241"/>
      <c r="L347" s="241"/>
      <c r="M347" s="241"/>
      <c r="N347" s="241"/>
      <c r="O347" s="241"/>
      <c r="P347" s="241"/>
      <c r="Q347" s="241"/>
      <c r="R347" s="241"/>
      <c r="S347" s="241"/>
      <c r="T347" s="241"/>
      <c r="U347" s="241"/>
      <c r="V347" s="241"/>
      <c r="W347" s="241"/>
      <c r="X347" s="241"/>
      <c r="Y347" s="241"/>
      <c r="Z347" s="241"/>
      <c r="AA347" s="241"/>
      <c r="AB347" s="241"/>
      <c r="AD347" s="34"/>
      <c r="AE347" s="34"/>
      <c r="AF347" s="34"/>
      <c r="AG347" s="34"/>
      <c r="AH347" s="34"/>
      <c r="AI347" s="34"/>
      <c r="AJ347" s="34"/>
      <c r="AK347" s="34"/>
      <c r="AL347" s="34"/>
      <c r="AM347" s="34"/>
      <c r="AN347" s="34"/>
      <c r="AO347" s="34"/>
      <c r="AP347" s="34"/>
    </row>
    <row r="348" spans="1:42" ht="33.75" customHeight="1" x14ac:dyDescent="0.25">
      <c r="A348" s="191">
        <v>2</v>
      </c>
      <c r="B348" s="191" t="s">
        <v>195</v>
      </c>
      <c r="C348" s="191" t="s">
        <v>126</v>
      </c>
      <c r="D348" s="232" t="s">
        <v>322</v>
      </c>
      <c r="E348" s="232"/>
      <c r="F348" s="232"/>
      <c r="G348" s="232"/>
      <c r="H348" s="232"/>
      <c r="I348" s="232"/>
      <c r="J348" s="232"/>
      <c r="K348" s="232"/>
      <c r="L348" s="232"/>
      <c r="M348" s="232"/>
      <c r="N348" s="232"/>
      <c r="O348" s="232"/>
      <c r="P348" s="232"/>
      <c r="Q348" s="232"/>
      <c r="R348" s="232"/>
      <c r="S348" s="232"/>
      <c r="T348" s="232"/>
      <c r="U348" s="232"/>
      <c r="V348" s="232"/>
      <c r="W348" s="232"/>
      <c r="X348" s="232"/>
      <c r="Y348" s="232"/>
      <c r="Z348" s="232"/>
      <c r="AA348" s="232"/>
      <c r="AB348" s="232"/>
      <c r="AD348" s="34"/>
      <c r="AE348" s="34"/>
      <c r="AF348" s="34"/>
      <c r="AG348" s="34"/>
      <c r="AH348" s="34"/>
      <c r="AI348" s="34"/>
      <c r="AJ348" s="34"/>
      <c r="AK348" s="34"/>
      <c r="AL348" s="34"/>
      <c r="AM348" s="34"/>
      <c r="AN348" s="34"/>
      <c r="AO348" s="34"/>
      <c r="AP348" s="34"/>
    </row>
    <row r="349" spans="1:42" ht="18" customHeight="1" x14ac:dyDescent="0.25">
      <c r="A349" s="191">
        <v>3</v>
      </c>
      <c r="B349" s="191" t="s">
        <v>196</v>
      </c>
      <c r="C349" s="191" t="s">
        <v>68</v>
      </c>
      <c r="D349" s="241" t="s">
        <v>316</v>
      </c>
      <c r="E349" s="241"/>
      <c r="F349" s="241"/>
      <c r="G349" s="241"/>
      <c r="H349" s="241"/>
      <c r="I349" s="241"/>
      <c r="J349" s="241"/>
      <c r="K349" s="241"/>
      <c r="L349" s="241"/>
      <c r="M349" s="241"/>
      <c r="N349" s="241"/>
      <c r="O349" s="241"/>
      <c r="P349" s="241"/>
      <c r="Q349" s="241"/>
      <c r="R349" s="241"/>
      <c r="S349" s="241"/>
      <c r="T349" s="241"/>
      <c r="U349" s="241"/>
      <c r="V349" s="241"/>
      <c r="W349" s="241"/>
      <c r="X349" s="241"/>
      <c r="Y349" s="241"/>
      <c r="Z349" s="241"/>
      <c r="AA349" s="241"/>
      <c r="AB349" s="241"/>
      <c r="AD349" s="34"/>
      <c r="AE349" s="34"/>
      <c r="AF349" s="34"/>
      <c r="AG349" s="34"/>
      <c r="AH349" s="34"/>
      <c r="AI349" s="34"/>
      <c r="AJ349" s="34"/>
      <c r="AK349" s="34"/>
      <c r="AL349" s="34"/>
      <c r="AM349" s="34"/>
      <c r="AN349" s="34"/>
      <c r="AO349" s="34"/>
      <c r="AP349" s="34"/>
    </row>
    <row r="350" spans="1:42" ht="15.75" customHeight="1" x14ac:dyDescent="0.25">
      <c r="A350" s="191">
        <v>4</v>
      </c>
      <c r="B350" s="191" t="s">
        <v>197</v>
      </c>
      <c r="C350" s="191" t="s">
        <v>3</v>
      </c>
      <c r="D350" s="232" t="s">
        <v>321</v>
      </c>
      <c r="E350" s="232"/>
      <c r="F350" s="232"/>
      <c r="G350" s="232"/>
      <c r="H350" s="232"/>
      <c r="I350" s="232"/>
      <c r="J350" s="232"/>
      <c r="K350" s="232"/>
      <c r="L350" s="232"/>
      <c r="M350" s="232"/>
      <c r="N350" s="232"/>
      <c r="O350" s="232"/>
      <c r="P350" s="232"/>
      <c r="Q350" s="232"/>
      <c r="R350" s="232"/>
      <c r="S350" s="232"/>
      <c r="T350" s="232"/>
      <c r="U350" s="232"/>
      <c r="V350" s="232"/>
      <c r="W350" s="232"/>
      <c r="X350" s="232"/>
      <c r="Y350" s="232"/>
      <c r="Z350" s="232"/>
      <c r="AA350" s="232"/>
      <c r="AB350" s="232"/>
      <c r="AD350" s="34"/>
      <c r="AE350" s="34"/>
      <c r="AF350" s="34"/>
      <c r="AG350" s="34"/>
      <c r="AH350" s="34"/>
      <c r="AI350" s="34"/>
      <c r="AJ350" s="34"/>
      <c r="AK350" s="34"/>
      <c r="AL350" s="34"/>
      <c r="AM350" s="34"/>
      <c r="AN350" s="34"/>
      <c r="AO350" s="34"/>
      <c r="AP350" s="34"/>
    </row>
    <row r="351" spans="1:42" ht="16.5" customHeight="1" x14ac:dyDescent="0.25">
      <c r="A351" s="44"/>
      <c r="B351" s="233" t="s">
        <v>46</v>
      </c>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c r="AA351" s="234"/>
      <c r="AB351" s="234"/>
      <c r="AD351" s="34"/>
      <c r="AE351" s="34"/>
      <c r="AF351" s="34"/>
      <c r="AG351" s="34"/>
      <c r="AH351" s="34"/>
      <c r="AI351" s="34"/>
      <c r="AJ351" s="34"/>
      <c r="AK351" s="34"/>
      <c r="AL351" s="34"/>
      <c r="AM351" s="34"/>
      <c r="AN351" s="34"/>
      <c r="AO351" s="34"/>
      <c r="AP351" s="34"/>
    </row>
    <row r="352" spans="1:42" ht="18" customHeight="1" x14ac:dyDescent="0.25">
      <c r="A352" s="191">
        <v>1</v>
      </c>
      <c r="B352" s="191" t="s">
        <v>194</v>
      </c>
      <c r="C352" s="191" t="s">
        <v>68</v>
      </c>
      <c r="D352" s="232" t="s">
        <v>33</v>
      </c>
      <c r="E352" s="232"/>
      <c r="F352" s="232"/>
      <c r="G352" s="232"/>
      <c r="H352" s="232"/>
      <c r="I352" s="232"/>
      <c r="J352" s="232"/>
      <c r="K352" s="232"/>
      <c r="L352" s="232"/>
      <c r="M352" s="232"/>
      <c r="N352" s="232"/>
      <c r="O352" s="232"/>
      <c r="P352" s="232"/>
      <c r="Q352" s="232"/>
      <c r="R352" s="232"/>
      <c r="S352" s="232"/>
      <c r="T352" s="232"/>
      <c r="U352" s="232"/>
      <c r="V352" s="232"/>
      <c r="W352" s="232"/>
      <c r="X352" s="232"/>
      <c r="Y352" s="232"/>
      <c r="Z352" s="232"/>
      <c r="AA352" s="232"/>
      <c r="AB352" s="232"/>
      <c r="AD352" s="34"/>
      <c r="AE352" s="34"/>
      <c r="AF352" s="34"/>
      <c r="AG352" s="34"/>
      <c r="AH352" s="34"/>
      <c r="AI352" s="34"/>
      <c r="AJ352" s="34"/>
      <c r="AK352" s="34"/>
      <c r="AL352" s="34"/>
      <c r="AM352" s="34"/>
      <c r="AN352" s="34"/>
      <c r="AO352" s="34"/>
      <c r="AP352" s="34"/>
    </row>
    <row r="353" spans="1:42" ht="15.75" customHeight="1" x14ac:dyDescent="0.25">
      <c r="A353" s="191">
        <v>2</v>
      </c>
      <c r="B353" s="191" t="s">
        <v>195</v>
      </c>
      <c r="C353" s="191" t="s">
        <v>126</v>
      </c>
      <c r="D353" s="232" t="s">
        <v>32</v>
      </c>
      <c r="E353" s="232"/>
      <c r="F353" s="232"/>
      <c r="G353" s="232"/>
      <c r="H353" s="232"/>
      <c r="I353" s="232"/>
      <c r="J353" s="232"/>
      <c r="K353" s="232"/>
      <c r="L353" s="232"/>
      <c r="M353" s="232"/>
      <c r="N353" s="232"/>
      <c r="O353" s="232"/>
      <c r="P353" s="232"/>
      <c r="Q353" s="232"/>
      <c r="R353" s="232"/>
      <c r="S353" s="232"/>
      <c r="T353" s="232"/>
      <c r="U353" s="232"/>
      <c r="V353" s="232"/>
      <c r="W353" s="232"/>
      <c r="X353" s="232"/>
      <c r="Y353" s="232"/>
      <c r="Z353" s="232"/>
      <c r="AA353" s="232"/>
      <c r="AB353" s="232"/>
      <c r="AD353" s="34"/>
      <c r="AE353" s="34"/>
      <c r="AF353" s="34"/>
      <c r="AG353" s="34"/>
      <c r="AH353" s="34"/>
      <c r="AI353" s="34"/>
      <c r="AJ353" s="34"/>
      <c r="AK353" s="34"/>
      <c r="AL353" s="34"/>
      <c r="AM353" s="34"/>
      <c r="AN353" s="34"/>
      <c r="AO353" s="34"/>
      <c r="AP353" s="34"/>
    </row>
    <row r="354" spans="1:42" ht="15.75" customHeight="1" x14ac:dyDescent="0.25">
      <c r="A354" s="191">
        <v>3</v>
      </c>
      <c r="B354" s="191" t="s">
        <v>196</v>
      </c>
      <c r="C354" s="191" t="s">
        <v>68</v>
      </c>
      <c r="D354" s="232" t="s">
        <v>34</v>
      </c>
      <c r="E354" s="232"/>
      <c r="F354" s="232"/>
      <c r="G354" s="232"/>
      <c r="H354" s="232"/>
      <c r="I354" s="232"/>
      <c r="J354" s="232"/>
      <c r="K354" s="232"/>
      <c r="L354" s="232"/>
      <c r="M354" s="232"/>
      <c r="N354" s="232"/>
      <c r="O354" s="232"/>
      <c r="P354" s="232"/>
      <c r="Q354" s="232"/>
      <c r="R354" s="232"/>
      <c r="S354" s="232"/>
      <c r="T354" s="232"/>
      <c r="U354" s="232"/>
      <c r="V354" s="232"/>
      <c r="W354" s="232"/>
      <c r="X354" s="232"/>
      <c r="Y354" s="232"/>
      <c r="Z354" s="232"/>
      <c r="AA354" s="232"/>
      <c r="AB354" s="232"/>
      <c r="AD354" s="34"/>
      <c r="AE354" s="34"/>
      <c r="AF354" s="34"/>
      <c r="AG354" s="34"/>
      <c r="AH354" s="34"/>
      <c r="AI354" s="34"/>
      <c r="AJ354" s="34"/>
      <c r="AK354" s="34"/>
      <c r="AL354" s="34"/>
      <c r="AM354" s="34"/>
      <c r="AN354" s="34"/>
      <c r="AO354" s="34"/>
      <c r="AP354" s="34"/>
    </row>
    <row r="355" spans="1:42" ht="15.75" customHeight="1" x14ac:dyDescent="0.25">
      <c r="A355" s="191">
        <v>4</v>
      </c>
      <c r="B355" s="191" t="s">
        <v>197</v>
      </c>
      <c r="C355" s="191" t="s">
        <v>3</v>
      </c>
      <c r="D355" s="232" t="s">
        <v>35</v>
      </c>
      <c r="E355" s="232"/>
      <c r="F355" s="232"/>
      <c r="G355" s="232"/>
      <c r="H355" s="232"/>
      <c r="I355" s="232"/>
      <c r="J355" s="232"/>
      <c r="K355" s="232"/>
      <c r="L355" s="232"/>
      <c r="M355" s="232"/>
      <c r="N355" s="232"/>
      <c r="O355" s="232"/>
      <c r="P355" s="232"/>
      <c r="Q355" s="232"/>
      <c r="R355" s="232"/>
      <c r="S355" s="232"/>
      <c r="T355" s="232"/>
      <c r="U355" s="232"/>
      <c r="V355" s="232"/>
      <c r="W355" s="232"/>
      <c r="X355" s="232"/>
      <c r="Y355" s="232"/>
      <c r="Z355" s="232"/>
      <c r="AA355" s="232"/>
      <c r="AB355" s="232"/>
      <c r="AD355" s="34"/>
      <c r="AE355" s="34"/>
      <c r="AF355" s="34"/>
      <c r="AG355" s="34"/>
      <c r="AH355" s="34"/>
      <c r="AI355" s="34"/>
      <c r="AJ355" s="34"/>
      <c r="AK355" s="34"/>
      <c r="AL355" s="34"/>
      <c r="AM355" s="34"/>
      <c r="AN355" s="34"/>
      <c r="AO355" s="34"/>
      <c r="AP355" s="34"/>
    </row>
    <row r="356" spans="1:42" ht="15.75" customHeight="1" x14ac:dyDescent="0.25">
      <c r="A356" s="201"/>
      <c r="B356" s="237" t="s">
        <v>31</v>
      </c>
      <c r="C356" s="237"/>
      <c r="D356" s="237"/>
      <c r="E356" s="237"/>
      <c r="F356" s="237"/>
      <c r="G356" s="237"/>
      <c r="H356" s="237"/>
      <c r="I356" s="237"/>
      <c r="J356" s="237"/>
      <c r="K356" s="237"/>
      <c r="L356" s="237"/>
      <c r="M356" s="237"/>
      <c r="N356" s="237"/>
      <c r="O356" s="237"/>
      <c r="P356" s="237"/>
      <c r="Q356" s="237"/>
      <c r="R356" s="237"/>
      <c r="S356" s="237"/>
      <c r="T356" s="237"/>
      <c r="U356" s="237"/>
      <c r="V356" s="237"/>
      <c r="W356" s="237"/>
      <c r="X356" s="237"/>
      <c r="Y356" s="237"/>
      <c r="Z356" s="237"/>
      <c r="AA356" s="237"/>
      <c r="AB356" s="237"/>
      <c r="AD356" s="34"/>
      <c r="AE356" s="34"/>
      <c r="AF356" s="34"/>
      <c r="AG356" s="34"/>
      <c r="AH356" s="34"/>
      <c r="AI356" s="34"/>
      <c r="AJ356" s="34"/>
      <c r="AK356" s="34"/>
      <c r="AL356" s="34"/>
      <c r="AM356" s="34"/>
      <c r="AN356" s="34"/>
      <c r="AO356" s="34"/>
      <c r="AP356" s="34"/>
    </row>
    <row r="357" spans="1:42" ht="33" customHeight="1" x14ac:dyDescent="0.25">
      <c r="A357" s="191">
        <v>1</v>
      </c>
      <c r="B357" s="191" t="s">
        <v>194</v>
      </c>
      <c r="C357" s="191" t="s">
        <v>68</v>
      </c>
      <c r="D357" s="232" t="s">
        <v>310</v>
      </c>
      <c r="E357" s="232"/>
      <c r="F357" s="232"/>
      <c r="G357" s="232"/>
      <c r="H357" s="232"/>
      <c r="I357" s="232"/>
      <c r="J357" s="232"/>
      <c r="K357" s="232"/>
      <c r="L357" s="232"/>
      <c r="M357" s="232"/>
      <c r="N357" s="232"/>
      <c r="O357" s="232"/>
      <c r="P357" s="232"/>
      <c r="Q357" s="232"/>
      <c r="R357" s="232"/>
      <c r="S357" s="232"/>
      <c r="T357" s="232"/>
      <c r="U357" s="232"/>
      <c r="V357" s="232"/>
      <c r="W357" s="232"/>
      <c r="X357" s="232"/>
      <c r="Y357" s="232"/>
      <c r="Z357" s="232"/>
      <c r="AA357" s="232"/>
      <c r="AB357" s="232"/>
      <c r="AD357" s="34"/>
      <c r="AE357" s="34"/>
      <c r="AF357" s="34"/>
      <c r="AG357" s="34"/>
      <c r="AH357" s="34"/>
      <c r="AI357" s="34"/>
      <c r="AJ357" s="34"/>
      <c r="AK357" s="34"/>
      <c r="AL357" s="34"/>
      <c r="AM357" s="34"/>
      <c r="AN357" s="34"/>
      <c r="AO357" s="34"/>
      <c r="AP357" s="34"/>
    </row>
    <row r="358" spans="1:42" ht="41.25" customHeight="1" x14ac:dyDescent="0.25">
      <c r="A358" s="191">
        <v>2</v>
      </c>
      <c r="B358" s="191" t="s">
        <v>195</v>
      </c>
      <c r="C358" s="191" t="s">
        <v>126</v>
      </c>
      <c r="D358" s="232" t="s">
        <v>311</v>
      </c>
      <c r="E358" s="232"/>
      <c r="F358" s="232"/>
      <c r="G358" s="232"/>
      <c r="H358" s="232"/>
      <c r="I358" s="232"/>
      <c r="J358" s="232"/>
      <c r="K358" s="232"/>
      <c r="L358" s="232"/>
      <c r="M358" s="232"/>
      <c r="N358" s="232"/>
      <c r="O358" s="232"/>
      <c r="P358" s="232"/>
      <c r="Q358" s="232"/>
      <c r="R358" s="232"/>
      <c r="S358" s="232"/>
      <c r="T358" s="232"/>
      <c r="U358" s="232"/>
      <c r="V358" s="232"/>
      <c r="W358" s="232"/>
      <c r="X358" s="232"/>
      <c r="Y358" s="232"/>
      <c r="Z358" s="232"/>
      <c r="AA358" s="232"/>
      <c r="AB358" s="232"/>
      <c r="AD358" s="34"/>
      <c r="AE358" s="34"/>
      <c r="AF358" s="34"/>
      <c r="AG358" s="34"/>
      <c r="AH358" s="34"/>
      <c r="AI358" s="34"/>
      <c r="AJ358" s="34"/>
      <c r="AK358" s="34"/>
      <c r="AL358" s="34"/>
      <c r="AM358" s="34"/>
      <c r="AN358" s="34"/>
      <c r="AO358" s="34"/>
      <c r="AP358" s="34"/>
    </row>
    <row r="359" spans="1:42" ht="51" customHeight="1" x14ac:dyDescent="0.25">
      <c r="A359" s="191">
        <v>3</v>
      </c>
      <c r="B359" s="191" t="s">
        <v>196</v>
      </c>
      <c r="C359" s="191" t="s">
        <v>68</v>
      </c>
      <c r="D359" s="232" t="s">
        <v>312</v>
      </c>
      <c r="E359" s="232"/>
      <c r="F359" s="232"/>
      <c r="G359" s="232"/>
      <c r="H359" s="232"/>
      <c r="I359" s="232"/>
      <c r="J359" s="232"/>
      <c r="K359" s="232"/>
      <c r="L359" s="232"/>
      <c r="M359" s="232"/>
      <c r="N359" s="232"/>
      <c r="O359" s="232"/>
      <c r="P359" s="232"/>
      <c r="Q359" s="232"/>
      <c r="R359" s="232"/>
      <c r="S359" s="232"/>
      <c r="T359" s="232"/>
      <c r="U359" s="232"/>
      <c r="V359" s="232"/>
      <c r="W359" s="232"/>
      <c r="X359" s="232"/>
      <c r="Y359" s="232"/>
      <c r="Z359" s="232"/>
      <c r="AA359" s="232"/>
      <c r="AB359" s="232"/>
      <c r="AD359" s="34"/>
      <c r="AE359" s="34"/>
      <c r="AF359" s="34"/>
      <c r="AG359" s="34"/>
      <c r="AH359" s="34"/>
      <c r="AI359" s="34"/>
      <c r="AJ359" s="34"/>
      <c r="AK359" s="34"/>
      <c r="AL359" s="34"/>
      <c r="AM359" s="34"/>
      <c r="AN359" s="34"/>
      <c r="AO359" s="34"/>
      <c r="AP359" s="34"/>
    </row>
    <row r="360" spans="1:42" ht="18" customHeight="1" x14ac:dyDescent="0.25">
      <c r="A360" s="191">
        <v>4</v>
      </c>
      <c r="B360" s="191" t="s">
        <v>197</v>
      </c>
      <c r="C360" s="191" t="s">
        <v>3</v>
      </c>
      <c r="D360" s="232" t="s">
        <v>278</v>
      </c>
      <c r="E360" s="232"/>
      <c r="F360" s="232"/>
      <c r="G360" s="232"/>
      <c r="H360" s="232"/>
      <c r="I360" s="232"/>
      <c r="J360" s="232"/>
      <c r="K360" s="232"/>
      <c r="L360" s="232"/>
      <c r="M360" s="232"/>
      <c r="N360" s="232"/>
      <c r="O360" s="232"/>
      <c r="P360" s="232"/>
      <c r="Q360" s="232"/>
      <c r="R360" s="232"/>
      <c r="S360" s="232"/>
      <c r="T360" s="232"/>
      <c r="U360" s="232"/>
      <c r="V360" s="232"/>
      <c r="W360" s="232"/>
      <c r="X360" s="232"/>
      <c r="Y360" s="232"/>
      <c r="Z360" s="232"/>
      <c r="AA360" s="232"/>
      <c r="AB360" s="232"/>
      <c r="AD360" s="34"/>
      <c r="AE360" s="34"/>
      <c r="AF360" s="34"/>
      <c r="AG360" s="34"/>
      <c r="AH360" s="34"/>
      <c r="AI360" s="34"/>
      <c r="AJ360" s="34"/>
      <c r="AK360" s="34"/>
      <c r="AL360" s="34"/>
      <c r="AM360" s="34"/>
      <c r="AN360" s="34"/>
      <c r="AO360" s="34"/>
      <c r="AP360" s="34"/>
    </row>
    <row r="361" spans="1:42" ht="15.75" customHeight="1" x14ac:dyDescent="0.25">
      <c r="A361" s="201"/>
      <c r="B361" s="201"/>
      <c r="C361" s="201"/>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c r="AA361" s="219"/>
      <c r="AB361" s="219"/>
      <c r="AD361" s="34"/>
      <c r="AE361" s="34"/>
      <c r="AF361" s="34"/>
      <c r="AG361" s="34"/>
      <c r="AH361" s="34"/>
      <c r="AI361" s="34"/>
      <c r="AJ361" s="34"/>
      <c r="AK361" s="34"/>
      <c r="AL361" s="34"/>
      <c r="AM361" s="34"/>
      <c r="AN361" s="34"/>
      <c r="AO361" s="34"/>
      <c r="AP361" s="34"/>
    </row>
    <row r="362" spans="1:42" x14ac:dyDescent="0.25">
      <c r="B362" s="41"/>
      <c r="C362" s="41"/>
      <c r="D362" s="41"/>
      <c r="E362" s="41"/>
      <c r="F362" s="41"/>
      <c r="G362" s="41"/>
      <c r="H362" s="41"/>
      <c r="I362" s="41"/>
      <c r="J362" s="41"/>
      <c r="AD362" s="34"/>
      <c r="AE362" s="34"/>
      <c r="AF362" s="34"/>
      <c r="AG362" s="34"/>
      <c r="AH362" s="34"/>
      <c r="AI362" s="34"/>
      <c r="AJ362" s="34"/>
      <c r="AK362" s="34"/>
      <c r="AL362" s="34"/>
      <c r="AM362" s="34"/>
      <c r="AN362" s="34"/>
      <c r="AO362" s="34"/>
      <c r="AP362" s="34"/>
    </row>
    <row r="363" spans="1:42" ht="15.75" x14ac:dyDescent="0.25">
      <c r="A363" s="449" t="s">
        <v>66</v>
      </c>
      <c r="B363" s="449"/>
      <c r="C363" s="449"/>
      <c r="D363" s="449"/>
      <c r="E363" s="449"/>
      <c r="F363" s="449"/>
      <c r="G363" s="449"/>
      <c r="H363" s="449"/>
      <c r="I363" s="449"/>
      <c r="J363" s="449"/>
      <c r="K363" s="449"/>
      <c r="L363" s="449"/>
      <c r="M363" s="449"/>
      <c r="N363" s="449"/>
      <c r="O363" s="449"/>
      <c r="P363" s="449"/>
      <c r="Q363" s="449"/>
      <c r="R363" s="449"/>
      <c r="S363" s="72"/>
      <c r="AD363" s="34"/>
      <c r="AE363" s="34"/>
      <c r="AF363" s="34"/>
      <c r="AG363" s="34"/>
      <c r="AH363" s="34"/>
      <c r="AI363" s="34"/>
      <c r="AJ363" s="34"/>
      <c r="AK363" s="34"/>
      <c r="AL363" s="34"/>
      <c r="AM363" s="34"/>
      <c r="AN363" s="34"/>
      <c r="AO363" s="34"/>
      <c r="AP363" s="34"/>
    </row>
    <row r="364" spans="1:42" ht="33.75" customHeight="1" x14ac:dyDescent="0.25">
      <c r="A364" s="510" t="s">
        <v>317</v>
      </c>
      <c r="B364" s="510"/>
      <c r="C364" s="510"/>
      <c r="D364" s="510"/>
      <c r="E364" s="510"/>
      <c r="F364" s="510"/>
      <c r="G364" s="510"/>
      <c r="H364" s="510"/>
      <c r="I364" s="510"/>
      <c r="J364" s="510"/>
      <c r="K364" s="510"/>
      <c r="L364" s="510"/>
      <c r="M364" s="510"/>
      <c r="N364" s="510"/>
      <c r="O364" s="510"/>
      <c r="P364" s="510"/>
      <c r="Q364" s="510"/>
      <c r="R364" s="510"/>
      <c r="S364" s="510"/>
      <c r="T364" s="510"/>
      <c r="U364" s="510"/>
      <c r="V364" s="510"/>
      <c r="W364" s="510"/>
      <c r="X364" s="510"/>
      <c r="Y364" s="510"/>
      <c r="Z364" s="510"/>
      <c r="AA364" s="510"/>
      <c r="AB364" s="510"/>
      <c r="AD364" s="34"/>
      <c r="AE364" s="34"/>
      <c r="AF364" s="34"/>
      <c r="AG364" s="34"/>
      <c r="AH364" s="34"/>
      <c r="AI364" s="34"/>
      <c r="AJ364" s="34"/>
      <c r="AK364" s="34"/>
      <c r="AL364" s="34"/>
      <c r="AM364" s="34"/>
      <c r="AN364" s="34"/>
      <c r="AO364" s="34"/>
      <c r="AP364" s="34"/>
    </row>
    <row r="365" spans="1:42" x14ac:dyDescent="0.25">
      <c r="B365" s="41"/>
      <c r="C365" s="41"/>
      <c r="D365" s="41"/>
      <c r="E365" s="41"/>
      <c r="F365" s="41"/>
      <c r="G365" s="41"/>
      <c r="H365" s="41"/>
      <c r="I365" s="41"/>
      <c r="J365" s="41"/>
      <c r="AD365" s="34"/>
      <c r="AE365" s="34"/>
      <c r="AF365" s="34"/>
      <c r="AG365" s="34"/>
      <c r="AH365" s="34"/>
      <c r="AI365" s="34"/>
      <c r="AJ365" s="34"/>
      <c r="AK365" s="34"/>
      <c r="AL365" s="34"/>
      <c r="AM365" s="34"/>
      <c r="AN365" s="34"/>
      <c r="AO365" s="34"/>
      <c r="AP365" s="34"/>
    </row>
    <row r="366" spans="1:42" ht="15.75" x14ac:dyDescent="0.25">
      <c r="B366" s="98" t="s">
        <v>232</v>
      </c>
      <c r="C366" s="41"/>
      <c r="D366" s="41"/>
      <c r="E366" s="41"/>
      <c r="F366" s="41"/>
      <c r="G366" s="41"/>
      <c r="H366" s="41"/>
      <c r="I366" s="41"/>
      <c r="J366" s="41"/>
      <c r="AD366" s="34"/>
      <c r="AE366" s="34"/>
      <c r="AF366" s="34"/>
      <c r="AG366" s="34"/>
      <c r="AH366" s="34"/>
      <c r="AI366" s="34"/>
      <c r="AJ366" s="34"/>
      <c r="AK366" s="34"/>
      <c r="AL366" s="34"/>
      <c r="AM366" s="34"/>
      <c r="AN366" s="34"/>
      <c r="AO366" s="34"/>
      <c r="AP366" s="34"/>
    </row>
    <row r="367" spans="1:42" x14ac:dyDescent="0.25">
      <c r="B367" s="41"/>
      <c r="C367" s="41"/>
      <c r="D367" s="41"/>
      <c r="E367" s="41"/>
      <c r="F367" s="41"/>
      <c r="G367" s="41"/>
      <c r="H367" s="41"/>
      <c r="I367" s="41"/>
      <c r="J367" s="41"/>
      <c r="AD367" s="34"/>
      <c r="AE367" s="34"/>
      <c r="AF367" s="34"/>
      <c r="AG367" s="34"/>
      <c r="AH367" s="34"/>
      <c r="AI367" s="34"/>
      <c r="AJ367" s="34"/>
      <c r="AK367" s="34"/>
      <c r="AL367" s="34"/>
      <c r="AM367" s="34"/>
      <c r="AN367" s="34"/>
      <c r="AO367" s="34"/>
      <c r="AP367" s="34"/>
    </row>
    <row r="368" spans="1:42" ht="15.75" x14ac:dyDescent="0.25">
      <c r="B368" s="138" t="s">
        <v>290</v>
      </c>
      <c r="C368" s="41"/>
      <c r="D368" s="41"/>
      <c r="E368" s="41"/>
      <c r="F368" s="41"/>
      <c r="G368" s="41"/>
      <c r="H368" s="41"/>
      <c r="I368" s="41"/>
      <c r="J368" s="41"/>
      <c r="AD368" s="34"/>
      <c r="AE368" s="34"/>
      <c r="AF368" s="34"/>
      <c r="AG368" s="34"/>
      <c r="AH368" s="34"/>
      <c r="AI368" s="34"/>
      <c r="AJ368" s="34"/>
      <c r="AK368" s="34"/>
      <c r="AL368" s="34"/>
      <c r="AM368" s="34"/>
      <c r="AN368" s="34"/>
      <c r="AO368" s="34"/>
      <c r="AP368" s="34"/>
    </row>
    <row r="369" spans="2:42" x14ac:dyDescent="0.25">
      <c r="AD369" s="34"/>
      <c r="AE369" s="34"/>
      <c r="AF369" s="34"/>
      <c r="AG369" s="34"/>
      <c r="AH369" s="34"/>
      <c r="AI369" s="34"/>
      <c r="AJ369" s="34"/>
      <c r="AK369" s="34"/>
      <c r="AL369" s="34"/>
      <c r="AM369" s="34"/>
      <c r="AN369" s="34"/>
      <c r="AO369" s="34"/>
      <c r="AP369" s="34"/>
    </row>
    <row r="370" spans="2:42" x14ac:dyDescent="0.25">
      <c r="AD370" s="34"/>
      <c r="AE370" s="34"/>
      <c r="AF370" s="34"/>
      <c r="AG370" s="34"/>
      <c r="AH370" s="34"/>
      <c r="AI370" s="34"/>
      <c r="AJ370" s="34"/>
      <c r="AK370" s="34"/>
      <c r="AL370" s="34"/>
      <c r="AM370" s="34"/>
      <c r="AN370" s="34"/>
      <c r="AO370" s="34"/>
      <c r="AP370" s="34"/>
    </row>
    <row r="371" spans="2:42" ht="15.75" x14ac:dyDescent="0.25">
      <c r="B371" s="32"/>
    </row>
    <row r="372" spans="2:42" ht="15.75" x14ac:dyDescent="0.25">
      <c r="B372" s="85" t="s">
        <v>263</v>
      </c>
      <c r="M372" s="431"/>
      <c r="N372" s="431"/>
      <c r="O372" s="431"/>
      <c r="P372" s="431"/>
      <c r="T372" s="267" t="s">
        <v>63</v>
      </c>
      <c r="U372" s="267"/>
      <c r="V372" s="267"/>
    </row>
    <row r="373" spans="2:42" ht="15.75" x14ac:dyDescent="0.25">
      <c r="B373" s="141"/>
      <c r="M373" s="430" t="s">
        <v>109</v>
      </c>
      <c r="N373" s="430"/>
      <c r="O373" s="430"/>
      <c r="P373" s="430"/>
      <c r="T373" s="285" t="s">
        <v>64</v>
      </c>
      <c r="U373" s="285"/>
      <c r="V373" s="285"/>
    </row>
    <row r="374" spans="2:42" ht="15.75" x14ac:dyDescent="0.25">
      <c r="B374" s="141"/>
      <c r="M374" s="144"/>
      <c r="N374" s="144"/>
      <c r="O374" s="144"/>
      <c r="P374" s="144"/>
      <c r="T374" s="143"/>
      <c r="U374" s="143"/>
      <c r="V374" s="143"/>
    </row>
    <row r="375" spans="2:42" x14ac:dyDescent="0.25">
      <c r="B375" s="72"/>
      <c r="T375" s="142"/>
      <c r="U375" s="72"/>
    </row>
    <row r="376" spans="2:42" ht="33" customHeight="1" x14ac:dyDescent="0.25">
      <c r="B376" s="480" t="s">
        <v>87</v>
      </c>
      <c r="C376" s="480"/>
      <c r="D376" s="480"/>
      <c r="E376" s="480"/>
      <c r="F376" s="480"/>
      <c r="G376" s="480"/>
      <c r="H376" s="480"/>
      <c r="I376" s="480"/>
      <c r="J376" s="480"/>
      <c r="K376" s="480"/>
      <c r="M376" s="431"/>
      <c r="N376" s="431"/>
      <c r="O376" s="431"/>
      <c r="P376" s="431"/>
      <c r="T376" s="267" t="s">
        <v>65</v>
      </c>
      <c r="U376" s="267"/>
      <c r="V376" s="267"/>
    </row>
    <row r="377" spans="2:42" x14ac:dyDescent="0.25">
      <c r="M377" s="430" t="s">
        <v>109</v>
      </c>
      <c r="N377" s="430"/>
      <c r="O377" s="430"/>
      <c r="P377" s="430"/>
      <c r="T377" s="285" t="s">
        <v>64</v>
      </c>
      <c r="U377" s="285"/>
      <c r="V377" s="285"/>
    </row>
  </sheetData>
  <mergeCells count="1254">
    <mergeCell ref="P204:Q204"/>
    <mergeCell ref="P202:Q202"/>
    <mergeCell ref="R185:S185"/>
    <mergeCell ref="T184:U184"/>
    <mergeCell ref="R127:S127"/>
    <mergeCell ref="P130:Q130"/>
    <mergeCell ref="P145:Q145"/>
    <mergeCell ref="L148:M148"/>
    <mergeCell ref="T145:U145"/>
    <mergeCell ref="T129:U129"/>
    <mergeCell ref="T130:U130"/>
    <mergeCell ref="T139:U139"/>
    <mergeCell ref="B272:E272"/>
    <mergeCell ref="D305:AB305"/>
    <mergeCell ref="D304:AB304"/>
    <mergeCell ref="P203:Q203"/>
    <mergeCell ref="B199:E199"/>
    <mergeCell ref="B192:E192"/>
    <mergeCell ref="L204:M204"/>
    <mergeCell ref="R204:S204"/>
    <mergeCell ref="T202:U202"/>
    <mergeCell ref="T203:U203"/>
    <mergeCell ref="T108:U108"/>
    <mergeCell ref="P108:Q108"/>
    <mergeCell ref="R133:S133"/>
    <mergeCell ref="T118:U118"/>
    <mergeCell ref="T117:U117"/>
    <mergeCell ref="P119:Q119"/>
    <mergeCell ref="T109:U109"/>
    <mergeCell ref="P211:Q211"/>
    <mergeCell ref="T180:U180"/>
    <mergeCell ref="T185:U185"/>
    <mergeCell ref="L146:M146"/>
    <mergeCell ref="T187:U187"/>
    <mergeCell ref="P123:Q123"/>
    <mergeCell ref="T138:U138"/>
    <mergeCell ref="R132:S132"/>
    <mergeCell ref="T132:U132"/>
    <mergeCell ref="A363:R363"/>
    <mergeCell ref="R195:S195"/>
    <mergeCell ref="R196:S196"/>
    <mergeCell ref="R265:S265"/>
    <mergeCell ref="T254:U254"/>
    <mergeCell ref="D307:AB307"/>
    <mergeCell ref="D308:AB308"/>
    <mergeCell ref="P280:Q280"/>
    <mergeCell ref="T222:U222"/>
    <mergeCell ref="B280:E280"/>
    <mergeCell ref="A364:AB364"/>
    <mergeCell ref="B117:J117"/>
    <mergeCell ref="L117:M117"/>
    <mergeCell ref="P117:Q117"/>
    <mergeCell ref="R117:S117"/>
    <mergeCell ref="T278:U278"/>
    <mergeCell ref="L285:M285"/>
    <mergeCell ref="V171:W171"/>
    <mergeCell ref="V206:W206"/>
    <mergeCell ref="R275:S275"/>
    <mergeCell ref="R182:S182"/>
    <mergeCell ref="B186:E186"/>
    <mergeCell ref="L186:M186"/>
    <mergeCell ref="L217:M217"/>
    <mergeCell ref="P217:Q217"/>
    <mergeCell ref="T211:U211"/>
    <mergeCell ref="R211:S211"/>
    <mergeCell ref="P186:Q186"/>
    <mergeCell ref="B202:E202"/>
    <mergeCell ref="B203:E203"/>
    <mergeCell ref="R50:S50"/>
    <mergeCell ref="R143:S143"/>
    <mergeCell ref="B51:E51"/>
    <mergeCell ref="R51:S51"/>
    <mergeCell ref="T53:U53"/>
    <mergeCell ref="P48:Q48"/>
    <mergeCell ref="L127:M127"/>
    <mergeCell ref="P125:Q125"/>
    <mergeCell ref="P109:Q109"/>
    <mergeCell ref="R109:S109"/>
    <mergeCell ref="R20:Y20"/>
    <mergeCell ref="C24:Z24"/>
    <mergeCell ref="C32:Z32"/>
    <mergeCell ref="C38:Z38"/>
    <mergeCell ref="C39:Z39"/>
    <mergeCell ref="B177:AB177"/>
    <mergeCell ref="L144:M144"/>
    <mergeCell ref="V124:W124"/>
    <mergeCell ref="B132:E132"/>
    <mergeCell ref="K84:K85"/>
    <mergeCell ref="C25:Z25"/>
    <mergeCell ref="P47:U47"/>
    <mergeCell ref="C41:Z41"/>
    <mergeCell ref="C34:Z34"/>
    <mergeCell ref="C35:Z35"/>
    <mergeCell ref="C37:Z37"/>
    <mergeCell ref="C33:Z33"/>
    <mergeCell ref="C42:Z42"/>
    <mergeCell ref="T52:U52"/>
    <mergeCell ref="K47:M47"/>
    <mergeCell ref="T55:U55"/>
    <mergeCell ref="R19:Y19"/>
    <mergeCell ref="C31:Z31"/>
    <mergeCell ref="T54:U54"/>
    <mergeCell ref="B54:E54"/>
    <mergeCell ref="P50:Q50"/>
    <mergeCell ref="B50:E50"/>
    <mergeCell ref="C40:Z40"/>
    <mergeCell ref="B52:E52"/>
    <mergeCell ref="R52:S52"/>
    <mergeCell ref="R55:S55"/>
    <mergeCell ref="B53:E53"/>
    <mergeCell ref="P55:Q55"/>
    <mergeCell ref="B47:E48"/>
    <mergeCell ref="R53:S53"/>
    <mergeCell ref="B55:E55"/>
    <mergeCell ref="P52:Q52"/>
    <mergeCell ref="P51:Q51"/>
    <mergeCell ref="T50:U50"/>
    <mergeCell ref="R227:S227"/>
    <mergeCell ref="T216:U216"/>
    <mergeCell ref="R215:S215"/>
    <mergeCell ref="T217:U217"/>
    <mergeCell ref="R216:S216"/>
    <mergeCell ref="R223:S223"/>
    <mergeCell ref="T221:U221"/>
    <mergeCell ref="R219:S219"/>
    <mergeCell ref="T219:U219"/>
    <mergeCell ref="T220:U220"/>
    <mergeCell ref="R220:S220"/>
    <mergeCell ref="R218:S218"/>
    <mergeCell ref="T243:U243"/>
    <mergeCell ref="R226:S226"/>
    <mergeCell ref="R237:S237"/>
    <mergeCell ref="T234:U234"/>
    <mergeCell ref="R236:S236"/>
    <mergeCell ref="R222:S222"/>
    <mergeCell ref="T223:U223"/>
    <mergeCell ref="B241:E241"/>
    <mergeCell ref="P205:Q205"/>
    <mergeCell ref="L230:M230"/>
    <mergeCell ref="P240:Q240"/>
    <mergeCell ref="R225:S225"/>
    <mergeCell ref="L213:M213"/>
    <mergeCell ref="B236:E236"/>
    <mergeCell ref="B237:J237"/>
    <mergeCell ref="B235:E235"/>
    <mergeCell ref="T227:U227"/>
    <mergeCell ref="L228:M228"/>
    <mergeCell ref="P226:Q226"/>
    <mergeCell ref="T226:U226"/>
    <mergeCell ref="T238:U238"/>
    <mergeCell ref="T236:U236"/>
    <mergeCell ref="B234:E234"/>
    <mergeCell ref="B233:E233"/>
    <mergeCell ref="L233:M233"/>
    <mergeCell ref="T224:U224"/>
    <mergeCell ref="R228:S228"/>
    <mergeCell ref="T229:U229"/>
    <mergeCell ref="T225:U225"/>
    <mergeCell ref="T228:U228"/>
    <mergeCell ref="T232:U232"/>
    <mergeCell ref="R224:S224"/>
    <mergeCell ref="R231:S231"/>
    <mergeCell ref="T231:U231"/>
    <mergeCell ref="T230:U230"/>
    <mergeCell ref="B204:E204"/>
    <mergeCell ref="R221:S221"/>
    <mergeCell ref="R208:S208"/>
    <mergeCell ref="R209:S209"/>
    <mergeCell ref="B208:E208"/>
    <mergeCell ref="P208:Q208"/>
    <mergeCell ref="L208:M208"/>
    <mergeCell ref="B213:E213"/>
    <mergeCell ref="B217:E217"/>
    <mergeCell ref="R217:S217"/>
    <mergeCell ref="B206:E206"/>
    <mergeCell ref="V207:W207"/>
    <mergeCell ref="P218:Q218"/>
    <mergeCell ref="T215:U215"/>
    <mergeCell ref="R210:S210"/>
    <mergeCell ref="B215:E215"/>
    <mergeCell ref="L206:M206"/>
    <mergeCell ref="V209:W209"/>
    <mergeCell ref="T207:U207"/>
    <mergeCell ref="T190:U190"/>
    <mergeCell ref="R189:S189"/>
    <mergeCell ref="R190:S190"/>
    <mergeCell ref="R192:S192"/>
    <mergeCell ref="T191:U191"/>
    <mergeCell ref="V208:W208"/>
    <mergeCell ref="T204:U204"/>
    <mergeCell ref="R202:S202"/>
    <mergeCell ref="R203:S203"/>
    <mergeCell ref="B196:E196"/>
    <mergeCell ref="L182:M182"/>
    <mergeCell ref="P182:Q182"/>
    <mergeCell ref="B182:E182"/>
    <mergeCell ref="L185:M185"/>
    <mergeCell ref="B185:E185"/>
    <mergeCell ref="P185:Q185"/>
    <mergeCell ref="L196:M196"/>
    <mergeCell ref="B193:E193"/>
    <mergeCell ref="P188:Q188"/>
    <mergeCell ref="P196:Q196"/>
    <mergeCell ref="L192:M192"/>
    <mergeCell ref="T182:U182"/>
    <mergeCell ref="R186:S186"/>
    <mergeCell ref="T186:U186"/>
    <mergeCell ref="R183:S183"/>
    <mergeCell ref="T183:U183"/>
    <mergeCell ref="T192:U192"/>
    <mergeCell ref="R187:S187"/>
    <mergeCell ref="T189:U189"/>
    <mergeCell ref="R169:S169"/>
    <mergeCell ref="T176:U176"/>
    <mergeCell ref="B179:E179"/>
    <mergeCell ref="L176:M176"/>
    <mergeCell ref="P176:Q176"/>
    <mergeCell ref="T179:U179"/>
    <mergeCell ref="L179:M179"/>
    <mergeCell ref="R176:S176"/>
    <mergeCell ref="T178:U178"/>
    <mergeCell ref="R178:S178"/>
    <mergeCell ref="R179:S179"/>
    <mergeCell ref="L168:M168"/>
    <mergeCell ref="L169:M169"/>
    <mergeCell ref="P170:Q170"/>
    <mergeCell ref="P179:Q179"/>
    <mergeCell ref="T169:U169"/>
    <mergeCell ref="L170:M170"/>
    <mergeCell ref="R170:S170"/>
    <mergeCell ref="P169:Q169"/>
    <mergeCell ref="T173:U173"/>
    <mergeCell ref="T162:U162"/>
    <mergeCell ref="R163:S163"/>
    <mergeCell ref="B169:E169"/>
    <mergeCell ref="T167:U167"/>
    <mergeCell ref="T165:U165"/>
    <mergeCell ref="B165:E165"/>
    <mergeCell ref="L165:M165"/>
    <mergeCell ref="R166:S166"/>
    <mergeCell ref="R167:S167"/>
    <mergeCell ref="P165:Q165"/>
    <mergeCell ref="R165:S165"/>
    <mergeCell ref="L166:M166"/>
    <mergeCell ref="P166:Q166"/>
    <mergeCell ref="V153:W153"/>
    <mergeCell ref="R156:S156"/>
    <mergeCell ref="B155:E155"/>
    <mergeCell ref="R158:S158"/>
    <mergeCell ref="B161:J161"/>
    <mergeCell ref="R164:S164"/>
    <mergeCell ref="B164:E164"/>
    <mergeCell ref="P162:Q162"/>
    <mergeCell ref="P164:Q164"/>
    <mergeCell ref="P161:Q161"/>
    <mergeCell ref="P156:Q156"/>
    <mergeCell ref="L151:M151"/>
    <mergeCell ref="P151:Q151"/>
    <mergeCell ref="L161:M161"/>
    <mergeCell ref="P163:Q163"/>
    <mergeCell ref="L162:M162"/>
    <mergeCell ref="T156:U156"/>
    <mergeCell ref="T151:U151"/>
    <mergeCell ref="L154:M154"/>
    <mergeCell ref="L153:M153"/>
    <mergeCell ref="L152:M152"/>
    <mergeCell ref="L156:M156"/>
    <mergeCell ref="R154:S154"/>
    <mergeCell ref="P153:Q153"/>
    <mergeCell ref="P152:Q152"/>
    <mergeCell ref="T152:U152"/>
    <mergeCell ref="R135:S135"/>
    <mergeCell ref="B152:E152"/>
    <mergeCell ref="B144:E144"/>
    <mergeCell ref="R149:S149"/>
    <mergeCell ref="B146:E146"/>
    <mergeCell ref="R138:S138"/>
    <mergeCell ref="B148:E148"/>
    <mergeCell ref="P146:Q146"/>
    <mergeCell ref="T135:U135"/>
    <mergeCell ref="T137:U137"/>
    <mergeCell ref="T143:U143"/>
    <mergeCell ref="R136:S136"/>
    <mergeCell ref="B143:Q143"/>
    <mergeCell ref="B138:E138"/>
    <mergeCell ref="B139:E139"/>
    <mergeCell ref="P141:Q141"/>
    <mergeCell ref="P140:Q140"/>
    <mergeCell ref="T140:U140"/>
    <mergeCell ref="L109:O109"/>
    <mergeCell ref="L132:M132"/>
    <mergeCell ref="T113:U113"/>
    <mergeCell ref="T112:U112"/>
    <mergeCell ref="L115:M115"/>
    <mergeCell ref="R115:S115"/>
    <mergeCell ref="R122:S122"/>
    <mergeCell ref="P121:Q121"/>
    <mergeCell ref="T124:U124"/>
    <mergeCell ref="R125:S125"/>
    <mergeCell ref="B122:J122"/>
    <mergeCell ref="B115:J115"/>
    <mergeCell ref="B116:J116"/>
    <mergeCell ref="P116:Q116"/>
    <mergeCell ref="R121:S121"/>
    <mergeCell ref="R124:S124"/>
    <mergeCell ref="L119:M119"/>
    <mergeCell ref="L123:M123"/>
    <mergeCell ref="R119:S119"/>
    <mergeCell ref="T125:U125"/>
    <mergeCell ref="T131:U131"/>
    <mergeCell ref="R126:S126"/>
    <mergeCell ref="T121:U121"/>
    <mergeCell ref="R129:S129"/>
    <mergeCell ref="T128:U128"/>
    <mergeCell ref="T122:U122"/>
    <mergeCell ref="T123:U123"/>
    <mergeCell ref="R130:S130"/>
    <mergeCell ref="R128:S128"/>
    <mergeCell ref="T120:U120"/>
    <mergeCell ref="T119:U119"/>
    <mergeCell ref="P120:Q120"/>
    <mergeCell ref="P122:Q122"/>
    <mergeCell ref="L122:M122"/>
    <mergeCell ref="T295:U295"/>
    <mergeCell ref="T188:U188"/>
    <mergeCell ref="R279:S279"/>
    <mergeCell ref="T279:U279"/>
    <mergeCell ref="T276:U276"/>
    <mergeCell ref="B295:E295"/>
    <mergeCell ref="R294:S294"/>
    <mergeCell ref="P292:Q292"/>
    <mergeCell ref="L294:M294"/>
    <mergeCell ref="T126:U126"/>
    <mergeCell ref="L126:M126"/>
    <mergeCell ref="B126:J126"/>
    <mergeCell ref="P131:Q131"/>
    <mergeCell ref="T127:U127"/>
    <mergeCell ref="R188:S188"/>
    <mergeCell ref="R240:S240"/>
    <mergeCell ref="T240:U240"/>
    <mergeCell ref="T194:U194"/>
    <mergeCell ref="B289:E289"/>
    <mergeCell ref="B286:E286"/>
    <mergeCell ref="L286:M286"/>
    <mergeCell ref="P281:Q281"/>
    <mergeCell ref="P282:Q282"/>
    <mergeCell ref="L197:M197"/>
    <mergeCell ref="P197:Q197"/>
    <mergeCell ref="P286:Q286"/>
    <mergeCell ref="B282:E282"/>
    <mergeCell ref="L283:M283"/>
    <mergeCell ref="B284:E284"/>
    <mergeCell ref="T277:U277"/>
    <mergeCell ref="T274:U274"/>
    <mergeCell ref="R293:S293"/>
    <mergeCell ref="B292:E292"/>
    <mergeCell ref="R292:S292"/>
    <mergeCell ref="L292:M292"/>
    <mergeCell ref="L281:O281"/>
    <mergeCell ref="B283:E283"/>
    <mergeCell ref="B287:E287"/>
    <mergeCell ref="L287:M287"/>
    <mergeCell ref="R281:S281"/>
    <mergeCell ref="L282:O282"/>
    <mergeCell ref="T262:U262"/>
    <mergeCell ref="T261:U261"/>
    <mergeCell ref="R274:S274"/>
    <mergeCell ref="T275:U275"/>
    <mergeCell ref="B275:Q275"/>
    <mergeCell ref="B274:E274"/>
    <mergeCell ref="L272:M272"/>
    <mergeCell ref="B268:E268"/>
    <mergeCell ref="L268:M268"/>
    <mergeCell ref="R268:S268"/>
    <mergeCell ref="L262:M262"/>
    <mergeCell ref="P262:Q262"/>
    <mergeCell ref="B262:E262"/>
    <mergeCell ref="R264:S264"/>
    <mergeCell ref="R261:S261"/>
    <mergeCell ref="R262:S262"/>
    <mergeCell ref="B264:E264"/>
    <mergeCell ref="B263:Q263"/>
    <mergeCell ref="B376:K376"/>
    <mergeCell ref="T264:U264"/>
    <mergeCell ref="T376:V376"/>
    <mergeCell ref="L256:M256"/>
    <mergeCell ref="P256:Q256"/>
    <mergeCell ref="B258:E258"/>
    <mergeCell ref="L258:M258"/>
    <mergeCell ref="P257:Q257"/>
    <mergeCell ref="B267:E267"/>
    <mergeCell ref="L264:M264"/>
    <mergeCell ref="L249:M249"/>
    <mergeCell ref="B240:E240"/>
    <mergeCell ref="L240:M240"/>
    <mergeCell ref="L241:M241"/>
    <mergeCell ref="B243:E243"/>
    <mergeCell ref="B246:J246"/>
    <mergeCell ref="B247:J247"/>
    <mergeCell ref="B245:E245"/>
    <mergeCell ref="L248:M248"/>
    <mergeCell ref="B248:J248"/>
    <mergeCell ref="T239:U239"/>
    <mergeCell ref="R233:S233"/>
    <mergeCell ref="T235:U235"/>
    <mergeCell ref="T237:U237"/>
    <mergeCell ref="R234:S234"/>
    <mergeCell ref="R239:S239"/>
    <mergeCell ref="R235:S235"/>
    <mergeCell ref="R238:S238"/>
    <mergeCell ref="T233:U233"/>
    <mergeCell ref="B200:E200"/>
    <mergeCell ref="T197:U197"/>
    <mergeCell ref="B209:E209"/>
    <mergeCell ref="B336:AB336"/>
    <mergeCell ref="L198:M198"/>
    <mergeCell ref="V210:W210"/>
    <mergeCell ref="T241:U241"/>
    <mergeCell ref="R229:S229"/>
    <mergeCell ref="R230:S230"/>
    <mergeCell ref="P235:Q235"/>
    <mergeCell ref="L199:M199"/>
    <mergeCell ref="P199:Q199"/>
    <mergeCell ref="P198:Q198"/>
    <mergeCell ref="L200:M200"/>
    <mergeCell ref="R197:S197"/>
    <mergeCell ref="T210:U210"/>
    <mergeCell ref="P200:Q200"/>
    <mergeCell ref="P201:Q201"/>
    <mergeCell ref="L203:M203"/>
    <mergeCell ref="L202:M202"/>
    <mergeCell ref="T208:U208"/>
    <mergeCell ref="T206:U206"/>
    <mergeCell ref="R199:S199"/>
    <mergeCell ref="R200:S200"/>
    <mergeCell ref="T205:U205"/>
    <mergeCell ref="T200:U200"/>
    <mergeCell ref="T201:U201"/>
    <mergeCell ref="R201:S201"/>
    <mergeCell ref="R193:S193"/>
    <mergeCell ref="R194:S194"/>
    <mergeCell ref="T193:U193"/>
    <mergeCell ref="P207:Q207"/>
    <mergeCell ref="R205:S205"/>
    <mergeCell ref="R207:S207"/>
    <mergeCell ref="P206:Q206"/>
    <mergeCell ref="R198:S198"/>
    <mergeCell ref="T198:U198"/>
    <mergeCell ref="T196:U196"/>
    <mergeCell ref="L178:M178"/>
    <mergeCell ref="P178:Q178"/>
    <mergeCell ref="B178:E178"/>
    <mergeCell ref="P194:Q194"/>
    <mergeCell ref="P192:Q192"/>
    <mergeCell ref="T209:U209"/>
    <mergeCell ref="B205:E205"/>
    <mergeCell ref="L205:M205"/>
    <mergeCell ref="R206:S206"/>
    <mergeCell ref="B207:E207"/>
    <mergeCell ref="R145:S145"/>
    <mergeCell ref="T146:U146"/>
    <mergeCell ref="B180:J180"/>
    <mergeCell ref="L163:M163"/>
    <mergeCell ref="R180:S180"/>
    <mergeCell ref="B171:J171"/>
    <mergeCell ref="T166:U166"/>
    <mergeCell ref="T171:U171"/>
    <mergeCell ref="B170:J170"/>
    <mergeCell ref="L180:M180"/>
    <mergeCell ref="T133:U133"/>
    <mergeCell ref="T134:U134"/>
    <mergeCell ref="T141:U141"/>
    <mergeCell ref="P139:Q139"/>
    <mergeCell ref="R139:S139"/>
    <mergeCell ref="T149:U149"/>
    <mergeCell ref="T148:U148"/>
    <mergeCell ref="R147:S147"/>
    <mergeCell ref="R144:S144"/>
    <mergeCell ref="R146:S146"/>
    <mergeCell ref="R137:S137"/>
    <mergeCell ref="R141:S141"/>
    <mergeCell ref="R140:S140"/>
    <mergeCell ref="P138:Q138"/>
    <mergeCell ref="P135:Q135"/>
    <mergeCell ref="R131:S131"/>
    <mergeCell ref="P133:Q133"/>
    <mergeCell ref="P132:Q132"/>
    <mergeCell ref="P134:Q134"/>
    <mergeCell ref="R134:S134"/>
    <mergeCell ref="B125:J125"/>
    <mergeCell ref="B124:J124"/>
    <mergeCell ref="L124:M124"/>
    <mergeCell ref="L131:M131"/>
    <mergeCell ref="P127:Q127"/>
    <mergeCell ref="P128:Q128"/>
    <mergeCell ref="L125:M125"/>
    <mergeCell ref="P126:Q126"/>
    <mergeCell ref="P124:Q124"/>
    <mergeCell ref="L128:M128"/>
    <mergeCell ref="R114:S114"/>
    <mergeCell ref="R116:S116"/>
    <mergeCell ref="B120:J120"/>
    <mergeCell ref="L120:M120"/>
    <mergeCell ref="B119:J119"/>
    <mergeCell ref="R118:S118"/>
    <mergeCell ref="B118:J118"/>
    <mergeCell ref="P118:Q118"/>
    <mergeCell ref="P114:Q114"/>
    <mergeCell ref="L116:M116"/>
    <mergeCell ref="V106:W106"/>
    <mergeCell ref="T106:U106"/>
    <mergeCell ref="R107:S107"/>
    <mergeCell ref="P107:Q107"/>
    <mergeCell ref="D325:AB325"/>
    <mergeCell ref="T242:U242"/>
    <mergeCell ref="B244:E244"/>
    <mergeCell ref="T244:U244"/>
    <mergeCell ref="R120:S120"/>
    <mergeCell ref="T110:U110"/>
    <mergeCell ref="P113:Q113"/>
    <mergeCell ref="P111:Q111"/>
    <mergeCell ref="T105:U105"/>
    <mergeCell ref="T99:U99"/>
    <mergeCell ref="R106:S106"/>
    <mergeCell ref="P105:Q105"/>
    <mergeCell ref="P106:Q106"/>
    <mergeCell ref="R113:S113"/>
    <mergeCell ref="P112:Q112"/>
    <mergeCell ref="T111:U111"/>
    <mergeCell ref="T101:U101"/>
    <mergeCell ref="R101:S101"/>
    <mergeCell ref="P101:Q101"/>
    <mergeCell ref="P115:Q115"/>
    <mergeCell ref="R111:S111"/>
    <mergeCell ref="T102:U102"/>
    <mergeCell ref="R102:S102"/>
    <mergeCell ref="T107:U107"/>
    <mergeCell ref="R110:S110"/>
    <mergeCell ref="P110:Q110"/>
    <mergeCell ref="P100:Q100"/>
    <mergeCell ref="R100:S100"/>
    <mergeCell ref="T100:U100"/>
    <mergeCell ref="T104:U104"/>
    <mergeCell ref="T83:U83"/>
    <mergeCell ref="T60:U60"/>
    <mergeCell ref="T61:U61"/>
    <mergeCell ref="P61:Q61"/>
    <mergeCell ref="R82:S82"/>
    <mergeCell ref="P83:Q83"/>
    <mergeCell ref="L98:O98"/>
    <mergeCell ref="T98:U98"/>
    <mergeCell ref="R99:S99"/>
    <mergeCell ref="L92:M93"/>
    <mergeCell ref="R97:S97"/>
    <mergeCell ref="T97:U97"/>
    <mergeCell ref="P97:Q97"/>
    <mergeCell ref="P99:Q99"/>
    <mergeCell ref="R98:S98"/>
    <mergeCell ref="P98:Q98"/>
    <mergeCell ref="V81:Y81"/>
    <mergeCell ref="T82:U82"/>
    <mergeCell ref="R57:S57"/>
    <mergeCell ref="R58:S58"/>
    <mergeCell ref="T58:U58"/>
    <mergeCell ref="T96:U96"/>
    <mergeCell ref="T86:U86"/>
    <mergeCell ref="X84:X85"/>
    <mergeCell ref="Y84:Y85"/>
    <mergeCell ref="R61:S61"/>
    <mergeCell ref="P82:Q82"/>
    <mergeCell ref="P60:Q60"/>
    <mergeCell ref="B60:E60"/>
    <mergeCell ref="T57:U57"/>
    <mergeCell ref="B61:E61"/>
    <mergeCell ref="C71:AA71"/>
    <mergeCell ref="C72:AA72"/>
    <mergeCell ref="C73:AA73"/>
    <mergeCell ref="R60:S60"/>
    <mergeCell ref="P81:U81"/>
    <mergeCell ref="T59:U59"/>
    <mergeCell ref="B59:E59"/>
    <mergeCell ref="R59:S59"/>
    <mergeCell ref="B56:E56"/>
    <mergeCell ref="P57:Q57"/>
    <mergeCell ref="R56:S56"/>
    <mergeCell ref="B57:E57"/>
    <mergeCell ref="B58:E58"/>
    <mergeCell ref="P58:Q58"/>
    <mergeCell ref="P56:Q56"/>
    <mergeCell ref="P94:Q94"/>
    <mergeCell ref="R94:S94"/>
    <mergeCell ref="R83:S83"/>
    <mergeCell ref="B84:E84"/>
    <mergeCell ref="P96:Q96"/>
    <mergeCell ref="B87:E87"/>
    <mergeCell ref="B94:E94"/>
    <mergeCell ref="M84:M85"/>
    <mergeCell ref="P59:Q59"/>
    <mergeCell ref="T87:U87"/>
    <mergeCell ref="R86:S86"/>
    <mergeCell ref="A90:R90"/>
    <mergeCell ref="R84:S85"/>
    <mergeCell ref="T84:U85"/>
    <mergeCell ref="P87:Q87"/>
    <mergeCell ref="R87:S87"/>
    <mergeCell ref="P86:Q86"/>
    <mergeCell ref="L84:L85"/>
    <mergeCell ref="Z92:AB92"/>
    <mergeCell ref="T93:U93"/>
    <mergeCell ref="V92:Y92"/>
    <mergeCell ref="R96:S96"/>
    <mergeCell ref="B95:AB95"/>
    <mergeCell ref="P92:U92"/>
    <mergeCell ref="R93:S93"/>
    <mergeCell ref="T94:U94"/>
    <mergeCell ref="B92:E93"/>
    <mergeCell ref="B96:E96"/>
    <mergeCell ref="B98:J98"/>
    <mergeCell ref="L107:O107"/>
    <mergeCell ref="L118:M118"/>
    <mergeCell ref="B112:J112"/>
    <mergeCell ref="A92:A93"/>
    <mergeCell ref="L94:M94"/>
    <mergeCell ref="L113:M113"/>
    <mergeCell ref="B100:J100"/>
    <mergeCell ref="L102:O102"/>
    <mergeCell ref="B104:J104"/>
    <mergeCell ref="B99:J99"/>
    <mergeCell ref="L103:O103"/>
    <mergeCell ref="B106:J106"/>
    <mergeCell ref="L134:M134"/>
    <mergeCell ref="B103:J103"/>
    <mergeCell ref="L108:O108"/>
    <mergeCell ref="L99:O99"/>
    <mergeCell ref="L105:M105"/>
    <mergeCell ref="B109:J109"/>
    <mergeCell ref="B127:J127"/>
    <mergeCell ref="A81:A82"/>
    <mergeCell ref="K81:M81"/>
    <mergeCell ref="B81:E82"/>
    <mergeCell ref="B97:J97"/>
    <mergeCell ref="L97:O97"/>
    <mergeCell ref="B85:E85"/>
    <mergeCell ref="B86:E86"/>
    <mergeCell ref="B83:E83"/>
    <mergeCell ref="K92:K93"/>
    <mergeCell ref="L96:M96"/>
    <mergeCell ref="B141:E141"/>
    <mergeCell ref="B140:E140"/>
    <mergeCell ref="L140:M140"/>
    <mergeCell ref="L135:M135"/>
    <mergeCell ref="B133:E133"/>
    <mergeCell ref="P137:Q137"/>
    <mergeCell ref="L133:M133"/>
    <mergeCell ref="L141:M141"/>
    <mergeCell ref="B130:E130"/>
    <mergeCell ref="L138:M138"/>
    <mergeCell ref="B135:E135"/>
    <mergeCell ref="L130:M130"/>
    <mergeCell ref="B145:E145"/>
    <mergeCell ref="B123:J123"/>
    <mergeCell ref="L145:M145"/>
    <mergeCell ref="B128:J128"/>
    <mergeCell ref="B131:E131"/>
    <mergeCell ref="B134:E134"/>
    <mergeCell ref="B147:E147"/>
    <mergeCell ref="R153:S153"/>
    <mergeCell ref="T155:U155"/>
    <mergeCell ref="R155:S155"/>
    <mergeCell ref="L147:M147"/>
    <mergeCell ref="L121:M121"/>
    <mergeCell ref="B121:E121"/>
    <mergeCell ref="T144:U144"/>
    <mergeCell ref="P144:Q144"/>
    <mergeCell ref="B129:Q129"/>
    <mergeCell ref="V156:W156"/>
    <mergeCell ref="L159:M159"/>
    <mergeCell ref="P158:Q158"/>
    <mergeCell ref="R150:S150"/>
    <mergeCell ref="P147:Q147"/>
    <mergeCell ref="R148:S148"/>
    <mergeCell ref="T147:U147"/>
    <mergeCell ref="L155:M155"/>
    <mergeCell ref="P155:Q155"/>
    <mergeCell ref="V155:W155"/>
    <mergeCell ref="B160:J160"/>
    <mergeCell ref="L160:M160"/>
    <mergeCell ref="R151:S151"/>
    <mergeCell ref="R152:S152"/>
    <mergeCell ref="T160:U160"/>
    <mergeCell ref="T159:U159"/>
    <mergeCell ref="P160:Q160"/>
    <mergeCell ref="P159:Q159"/>
    <mergeCell ref="T153:U153"/>
    <mergeCell ref="T154:U154"/>
    <mergeCell ref="B108:J108"/>
    <mergeCell ref="B162:J162"/>
    <mergeCell ref="M377:P377"/>
    <mergeCell ref="M376:P376"/>
    <mergeCell ref="M372:P372"/>
    <mergeCell ref="M373:P373"/>
    <mergeCell ref="B174:E174"/>
    <mergeCell ref="L164:M164"/>
    <mergeCell ref="B167:E167"/>
    <mergeCell ref="B166:E166"/>
    <mergeCell ref="R105:S105"/>
    <mergeCell ref="R104:S104"/>
    <mergeCell ref="B101:J101"/>
    <mergeCell ref="L101:O101"/>
    <mergeCell ref="B102:J102"/>
    <mergeCell ref="L104:O104"/>
    <mergeCell ref="B105:E105"/>
    <mergeCell ref="L110:O110"/>
    <mergeCell ref="P93:Q93"/>
    <mergeCell ref="L114:M114"/>
    <mergeCell ref="L111:O111"/>
    <mergeCell ref="B113:E113"/>
    <mergeCell ref="R123:S123"/>
    <mergeCell ref="P102:Q102"/>
    <mergeCell ref="L100:O100"/>
    <mergeCell ref="L112:O112"/>
    <mergeCell ref="B111:J111"/>
    <mergeCell ref="B110:J110"/>
    <mergeCell ref="L139:M139"/>
    <mergeCell ref="R103:S103"/>
    <mergeCell ref="T103:U103"/>
    <mergeCell ref="P103:Q103"/>
    <mergeCell ref="A47:A48"/>
    <mergeCell ref="B49:E49"/>
    <mergeCell ref="P49:Q49"/>
    <mergeCell ref="T49:U49"/>
    <mergeCell ref="R49:S49"/>
    <mergeCell ref="R161:S161"/>
    <mergeCell ref="B159:J159"/>
    <mergeCell ref="P167:Q167"/>
    <mergeCell ref="V135:W135"/>
    <mergeCell ref="B136:E136"/>
    <mergeCell ref="L136:M136"/>
    <mergeCell ref="B137:E137"/>
    <mergeCell ref="L137:M137"/>
    <mergeCell ref="P136:Q136"/>
    <mergeCell ref="L167:M167"/>
    <mergeCell ref="B150:E150"/>
    <mergeCell ref="T163:U163"/>
    <mergeCell ref="T168:U168"/>
    <mergeCell ref="R168:S168"/>
    <mergeCell ref="T157:U157"/>
    <mergeCell ref="T161:U161"/>
    <mergeCell ref="R160:S160"/>
    <mergeCell ref="T158:U158"/>
    <mergeCell ref="T164:U164"/>
    <mergeCell ref="R162:S162"/>
    <mergeCell ref="B151:E151"/>
    <mergeCell ref="B157:Q157"/>
    <mergeCell ref="B158:E158"/>
    <mergeCell ref="L158:M158"/>
    <mergeCell ref="P154:Q154"/>
    <mergeCell ref="P150:Q150"/>
    <mergeCell ref="B156:E156"/>
    <mergeCell ref="B153:E153"/>
    <mergeCell ref="B154:E154"/>
    <mergeCell ref="L150:M150"/>
    <mergeCell ref="R171:S171"/>
    <mergeCell ref="T172:U172"/>
    <mergeCell ref="B188:E188"/>
    <mergeCell ref="L187:M187"/>
    <mergeCell ref="P187:Q187"/>
    <mergeCell ref="P195:Q195"/>
    <mergeCell ref="P180:Q180"/>
    <mergeCell ref="T181:U181"/>
    <mergeCell ref="R181:S181"/>
    <mergeCell ref="P181:Q181"/>
    <mergeCell ref="P190:Q190"/>
    <mergeCell ref="P191:Q191"/>
    <mergeCell ref="L188:M188"/>
    <mergeCell ref="B183:E183"/>
    <mergeCell ref="B187:E187"/>
    <mergeCell ref="L189:M189"/>
    <mergeCell ref="B190:E190"/>
    <mergeCell ref="L190:M190"/>
    <mergeCell ref="V170:W170"/>
    <mergeCell ref="T174:U174"/>
    <mergeCell ref="T175:U175"/>
    <mergeCell ref="R175:S175"/>
    <mergeCell ref="L175:M175"/>
    <mergeCell ref="P175:Q175"/>
    <mergeCell ref="P174:Q174"/>
    <mergeCell ref="R173:S173"/>
    <mergeCell ref="V173:W173"/>
    <mergeCell ref="T170:U170"/>
    <mergeCell ref="B176:E176"/>
    <mergeCell ref="L172:M172"/>
    <mergeCell ref="P172:Q172"/>
    <mergeCell ref="V172:W172"/>
    <mergeCell ref="B173:J173"/>
    <mergeCell ref="R174:S174"/>
    <mergeCell ref="B175:E175"/>
    <mergeCell ref="L181:M181"/>
    <mergeCell ref="L215:M215"/>
    <mergeCell ref="R213:S213"/>
    <mergeCell ref="T213:U213"/>
    <mergeCell ref="B216:E216"/>
    <mergeCell ref="P213:Q213"/>
    <mergeCell ref="L194:M194"/>
    <mergeCell ref="B201:E201"/>
    <mergeCell ref="B191:E191"/>
    <mergeCell ref="L211:M211"/>
    <mergeCell ref="V216:W216"/>
    <mergeCell ref="P215:Q215"/>
    <mergeCell ref="B214:E214"/>
    <mergeCell ref="L214:M214"/>
    <mergeCell ref="P214:Q214"/>
    <mergeCell ref="B239:E239"/>
    <mergeCell ref="L239:M239"/>
    <mergeCell ref="B228:J228"/>
    <mergeCell ref="L238:M238"/>
    <mergeCell ref="B238:E238"/>
    <mergeCell ref="T214:U214"/>
    <mergeCell ref="B230:J230"/>
    <mergeCell ref="B229:J229"/>
    <mergeCell ref="B223:E223"/>
    <mergeCell ref="B225:J225"/>
    <mergeCell ref="P225:Q225"/>
    <mergeCell ref="L224:M224"/>
    <mergeCell ref="L225:M225"/>
    <mergeCell ref="L227:M227"/>
    <mergeCell ref="L229:M229"/>
    <mergeCell ref="B232:E232"/>
    <mergeCell ref="L232:M232"/>
    <mergeCell ref="P246:Q246"/>
    <mergeCell ref="R246:S246"/>
    <mergeCell ref="R245:S245"/>
    <mergeCell ref="L247:M247"/>
    <mergeCell ref="P247:Q247"/>
    <mergeCell ref="L245:M245"/>
    <mergeCell ref="R241:S241"/>
    <mergeCell ref="P245:Q245"/>
    <mergeCell ref="L243:M243"/>
    <mergeCell ref="P243:Q243"/>
    <mergeCell ref="P241:Q241"/>
    <mergeCell ref="L244:M244"/>
    <mergeCell ref="P244:Q244"/>
    <mergeCell ref="R244:S244"/>
    <mergeCell ref="R242:S242"/>
    <mergeCell ref="T249:U249"/>
    <mergeCell ref="P249:Q249"/>
    <mergeCell ref="R249:S249"/>
    <mergeCell ref="B249:J249"/>
    <mergeCell ref="T246:U246"/>
    <mergeCell ref="T247:U247"/>
    <mergeCell ref="T248:U248"/>
    <mergeCell ref="R247:S247"/>
    <mergeCell ref="P248:Q248"/>
    <mergeCell ref="L246:M246"/>
    <mergeCell ref="T252:U252"/>
    <mergeCell ref="T251:U251"/>
    <mergeCell ref="R254:S254"/>
    <mergeCell ref="P251:Q251"/>
    <mergeCell ref="P254:Q254"/>
    <mergeCell ref="B250:AB250"/>
    <mergeCell ref="B252:E252"/>
    <mergeCell ref="L252:M252"/>
    <mergeCell ref="B251:E251"/>
    <mergeCell ref="R251:S251"/>
    <mergeCell ref="P252:Q252"/>
    <mergeCell ref="L251:M251"/>
    <mergeCell ref="R252:S252"/>
    <mergeCell ref="R253:S253"/>
    <mergeCell ref="T253:U253"/>
    <mergeCell ref="B255:E255"/>
    <mergeCell ref="R255:S255"/>
    <mergeCell ref="B253:E253"/>
    <mergeCell ref="L253:M253"/>
    <mergeCell ref="L254:M254"/>
    <mergeCell ref="L255:M255"/>
    <mergeCell ref="L257:M257"/>
    <mergeCell ref="B259:E259"/>
    <mergeCell ref="L259:M259"/>
    <mergeCell ref="P259:Q259"/>
    <mergeCell ref="B256:E256"/>
    <mergeCell ref="P255:Q255"/>
    <mergeCell ref="T256:U256"/>
    <mergeCell ref="V262:W262"/>
    <mergeCell ref="V257:W257"/>
    <mergeCell ref="T257:U257"/>
    <mergeCell ref="B257:E257"/>
    <mergeCell ref="P258:Q258"/>
    <mergeCell ref="B261:E261"/>
    <mergeCell ref="L261:M261"/>
    <mergeCell ref="P261:Q261"/>
    <mergeCell ref="R257:S257"/>
    <mergeCell ref="T265:U265"/>
    <mergeCell ref="B265:E265"/>
    <mergeCell ref="T258:U258"/>
    <mergeCell ref="T260:U260"/>
    <mergeCell ref="B260:E260"/>
    <mergeCell ref="L260:M260"/>
    <mergeCell ref="R260:S260"/>
    <mergeCell ref="R259:S259"/>
    <mergeCell ref="P264:Q264"/>
    <mergeCell ref="P260:Q260"/>
    <mergeCell ref="P272:Q272"/>
    <mergeCell ref="R272:S272"/>
    <mergeCell ref="T272:U272"/>
    <mergeCell ref="P273:Q273"/>
    <mergeCell ref="T263:U263"/>
    <mergeCell ref="P270:Q270"/>
    <mergeCell ref="R266:S266"/>
    <mergeCell ref="R273:S273"/>
    <mergeCell ref="B269:AB269"/>
    <mergeCell ref="B270:E270"/>
    <mergeCell ref="P274:Q274"/>
    <mergeCell ref="T270:U270"/>
    <mergeCell ref="B273:E273"/>
    <mergeCell ref="P271:Q271"/>
    <mergeCell ref="P266:Q266"/>
    <mergeCell ref="T273:U273"/>
    <mergeCell ref="T267:U267"/>
    <mergeCell ref="L267:M267"/>
    <mergeCell ref="P267:Q267"/>
    <mergeCell ref="T268:U268"/>
    <mergeCell ref="P276:Q276"/>
    <mergeCell ref="B277:J277"/>
    <mergeCell ref="L277:O277"/>
    <mergeCell ref="L276:M276"/>
    <mergeCell ref="T266:U266"/>
    <mergeCell ref="L270:M270"/>
    <mergeCell ref="L274:M274"/>
    <mergeCell ref="B271:E271"/>
    <mergeCell ref="L271:M271"/>
    <mergeCell ref="T271:U271"/>
    <mergeCell ref="L280:M280"/>
    <mergeCell ref="B281:J281"/>
    <mergeCell ref="T280:U280"/>
    <mergeCell ref="T281:U281"/>
    <mergeCell ref="R280:S280"/>
    <mergeCell ref="P277:Q277"/>
    <mergeCell ref="L279:O279"/>
    <mergeCell ref="P279:Q279"/>
    <mergeCell ref="B279:J279"/>
    <mergeCell ref="L278:O278"/>
    <mergeCell ref="T284:U284"/>
    <mergeCell ref="R286:S286"/>
    <mergeCell ref="R284:S284"/>
    <mergeCell ref="T285:U285"/>
    <mergeCell ref="T286:U286"/>
    <mergeCell ref="R282:S282"/>
    <mergeCell ref="T282:U282"/>
    <mergeCell ref="T283:U283"/>
    <mergeCell ref="R285:S285"/>
    <mergeCell ref="P285:Q285"/>
    <mergeCell ref="R283:S283"/>
    <mergeCell ref="P284:Q284"/>
    <mergeCell ref="P283:Q283"/>
    <mergeCell ref="B285:E285"/>
    <mergeCell ref="L284:M284"/>
    <mergeCell ref="P238:Q238"/>
    <mergeCell ref="L289:M289"/>
    <mergeCell ref="P294:Q294"/>
    <mergeCell ref="P296:Q296"/>
    <mergeCell ref="L296:M296"/>
    <mergeCell ref="P293:Q293"/>
    <mergeCell ref="L293:M293"/>
    <mergeCell ref="P289:Q289"/>
    <mergeCell ref="P242:Q242"/>
    <mergeCell ref="P290:Q290"/>
    <mergeCell ref="R243:S243"/>
    <mergeCell ref="R267:S267"/>
    <mergeCell ref="P239:Q239"/>
    <mergeCell ref="R270:S270"/>
    <mergeCell ref="B266:E266"/>
    <mergeCell ref="L265:M265"/>
    <mergeCell ref="P265:Q265"/>
    <mergeCell ref="L266:M266"/>
    <mergeCell ref="P253:Q253"/>
    <mergeCell ref="B254:E254"/>
    <mergeCell ref="B218:E218"/>
    <mergeCell ref="P220:Q220"/>
    <mergeCell ref="P219:Q219"/>
    <mergeCell ref="L226:M226"/>
    <mergeCell ref="L218:M218"/>
    <mergeCell ref="L219:M219"/>
    <mergeCell ref="B224:E224"/>
    <mergeCell ref="B221:Q221"/>
    <mergeCell ref="B220:E220"/>
    <mergeCell ref="B219:E219"/>
    <mergeCell ref="B114:J114"/>
    <mergeCell ref="L173:M173"/>
    <mergeCell ref="P173:Q173"/>
    <mergeCell ref="B195:E195"/>
    <mergeCell ref="R184:S184"/>
    <mergeCell ref="T195:U195"/>
    <mergeCell ref="B189:E189"/>
    <mergeCell ref="R191:S191"/>
    <mergeCell ref="B194:E194"/>
    <mergeCell ref="L193:M193"/>
    <mergeCell ref="B14:C14"/>
    <mergeCell ref="R54:S54"/>
    <mergeCell ref="B107:J107"/>
    <mergeCell ref="V122:W122"/>
    <mergeCell ref="T114:U114"/>
    <mergeCell ref="R108:S108"/>
    <mergeCell ref="V108:W108"/>
    <mergeCell ref="R112:S112"/>
    <mergeCell ref="T116:U116"/>
    <mergeCell ref="T115:U115"/>
    <mergeCell ref="M9:T9"/>
    <mergeCell ref="M10:T10"/>
    <mergeCell ref="B22:Y22"/>
    <mergeCell ref="P54:Q54"/>
    <mergeCell ref="B13:C13"/>
    <mergeCell ref="K14:R14"/>
    <mergeCell ref="P53:Q53"/>
    <mergeCell ref="T51:U51"/>
    <mergeCell ref="B16:C16"/>
    <mergeCell ref="B19:C19"/>
    <mergeCell ref="T56:U56"/>
    <mergeCell ref="L106:O106"/>
    <mergeCell ref="B149:E149"/>
    <mergeCell ref="L149:M149"/>
    <mergeCell ref="P148:Q148"/>
    <mergeCell ref="D324:AB324"/>
    <mergeCell ref="L237:M237"/>
    <mergeCell ref="N237:O237"/>
    <mergeCell ref="B242:E242"/>
    <mergeCell ref="L242:M242"/>
    <mergeCell ref="E20:K20"/>
    <mergeCell ref="E19:K19"/>
    <mergeCell ref="M19:P19"/>
    <mergeCell ref="M20:P20"/>
    <mergeCell ref="R232:S232"/>
    <mergeCell ref="B17:C17"/>
    <mergeCell ref="B20:C20"/>
    <mergeCell ref="K17:R17"/>
    <mergeCell ref="P168:Q168"/>
    <mergeCell ref="P104:Q104"/>
    <mergeCell ref="L210:M210"/>
    <mergeCell ref="L223:M223"/>
    <mergeCell ref="P223:Q223"/>
    <mergeCell ref="P229:Q229"/>
    <mergeCell ref="N231:O231"/>
    <mergeCell ref="P228:Q228"/>
    <mergeCell ref="P230:Q230"/>
    <mergeCell ref="V110:W110"/>
    <mergeCell ref="V111:W111"/>
    <mergeCell ref="V159:W159"/>
    <mergeCell ref="P149:Q149"/>
    <mergeCell ref="V115:W115"/>
    <mergeCell ref="V123:W123"/>
    <mergeCell ref="V134:W134"/>
    <mergeCell ref="V126:W126"/>
    <mergeCell ref="T150:U150"/>
    <mergeCell ref="R157:S157"/>
    <mergeCell ref="AA13:AB13"/>
    <mergeCell ref="AA16:AB16"/>
    <mergeCell ref="AA19:AB19"/>
    <mergeCell ref="AA14:AB14"/>
    <mergeCell ref="AA17:AB17"/>
    <mergeCell ref="R159:S159"/>
    <mergeCell ref="T136:U136"/>
    <mergeCell ref="C36:Z36"/>
    <mergeCell ref="V84:V85"/>
    <mergeCell ref="R48:S48"/>
    <mergeCell ref="AA20:AB20"/>
    <mergeCell ref="V47:Y47"/>
    <mergeCell ref="L195:M195"/>
    <mergeCell ref="P189:Q189"/>
    <mergeCell ref="P84:Q85"/>
    <mergeCell ref="V188:W188"/>
    <mergeCell ref="R172:S172"/>
    <mergeCell ref="P193:Q193"/>
    <mergeCell ref="T48:U48"/>
    <mergeCell ref="L191:M191"/>
    <mergeCell ref="B168:J168"/>
    <mergeCell ref="P184:Q184"/>
    <mergeCell ref="B184:E184"/>
    <mergeCell ref="L183:M183"/>
    <mergeCell ref="L184:M184"/>
    <mergeCell ref="B172:J172"/>
    <mergeCell ref="P171:Q171"/>
    <mergeCell ref="L174:M174"/>
    <mergeCell ref="P183:Q183"/>
    <mergeCell ref="L171:M171"/>
    <mergeCell ref="L209:M209"/>
    <mergeCell ref="L220:M220"/>
    <mergeCell ref="P227:Q227"/>
    <mergeCell ref="P224:Q224"/>
    <mergeCell ref="B197:E197"/>
    <mergeCell ref="B227:J227"/>
    <mergeCell ref="P222:Q222"/>
    <mergeCell ref="B222:E222"/>
    <mergeCell ref="L222:M222"/>
    <mergeCell ref="B226:J226"/>
    <mergeCell ref="T255:U255"/>
    <mergeCell ref="B163:J163"/>
    <mergeCell ref="V240:W240"/>
    <mergeCell ref="V241:W241"/>
    <mergeCell ref="L216:M216"/>
    <mergeCell ref="B198:E198"/>
    <mergeCell ref="L201:M201"/>
    <mergeCell ref="L207:M207"/>
    <mergeCell ref="T199:U199"/>
    <mergeCell ref="V211:W211"/>
    <mergeCell ref="T245:U245"/>
    <mergeCell ref="R278:S278"/>
    <mergeCell ref="R276:S276"/>
    <mergeCell ref="R271:S271"/>
    <mergeCell ref="R263:S263"/>
    <mergeCell ref="R277:S277"/>
    <mergeCell ref="R256:S256"/>
    <mergeCell ref="R248:S248"/>
    <mergeCell ref="T259:U259"/>
    <mergeCell ref="R258:S258"/>
    <mergeCell ref="T293:U293"/>
    <mergeCell ref="T291:U291"/>
    <mergeCell ref="T294:U294"/>
    <mergeCell ref="V296:W296"/>
    <mergeCell ref="P287:Q287"/>
    <mergeCell ref="R291:S291"/>
    <mergeCell ref="R295:S295"/>
    <mergeCell ref="R287:S287"/>
    <mergeCell ref="P291:Q291"/>
    <mergeCell ref="T287:U287"/>
    <mergeCell ref="T289:U289"/>
    <mergeCell ref="P295:Q295"/>
    <mergeCell ref="V298:W298"/>
    <mergeCell ref="R296:S296"/>
    <mergeCell ref="T297:U297"/>
    <mergeCell ref="R297:S297"/>
    <mergeCell ref="T296:U296"/>
    <mergeCell ref="T290:U290"/>
    <mergeCell ref="R290:S290"/>
    <mergeCell ref="R289:S289"/>
    <mergeCell ref="T377:V377"/>
    <mergeCell ref="V297:W297"/>
    <mergeCell ref="T373:V373"/>
    <mergeCell ref="B326:T326"/>
    <mergeCell ref="D327:AB327"/>
    <mergeCell ref="T292:U292"/>
    <mergeCell ref="B297:E297"/>
    <mergeCell ref="L295:M295"/>
    <mergeCell ref="B294:E294"/>
    <mergeCell ref="B300:J300"/>
    <mergeCell ref="T300:U300"/>
    <mergeCell ref="L300:M300"/>
    <mergeCell ref="R299:S299"/>
    <mergeCell ref="T299:U299"/>
    <mergeCell ref="R300:S300"/>
    <mergeCell ref="R298:S298"/>
    <mergeCell ref="T298:U298"/>
    <mergeCell ref="P300:Q300"/>
    <mergeCell ref="P299:Q299"/>
    <mergeCell ref="L297:M297"/>
    <mergeCell ref="P297:Q297"/>
    <mergeCell ref="L298:M298"/>
    <mergeCell ref="P298:Q298"/>
    <mergeCell ref="B290:E290"/>
    <mergeCell ref="B299:J299"/>
    <mergeCell ref="L291:M291"/>
    <mergeCell ref="L290:M290"/>
    <mergeCell ref="B291:E291"/>
    <mergeCell ref="B293:E293"/>
    <mergeCell ref="T372:V372"/>
    <mergeCell ref="P278:Q278"/>
    <mergeCell ref="B288:AB288"/>
    <mergeCell ref="B296:E296"/>
    <mergeCell ref="L273:M273"/>
    <mergeCell ref="B276:E276"/>
    <mergeCell ref="B278:J278"/>
    <mergeCell ref="B298:E298"/>
    <mergeCell ref="B316:Q316"/>
    <mergeCell ref="L299:M299"/>
    <mergeCell ref="T218:U218"/>
    <mergeCell ref="V239:W239"/>
    <mergeCell ref="P231:Q231"/>
    <mergeCell ref="P236:Q236"/>
    <mergeCell ref="P233:Q233"/>
    <mergeCell ref="L234:M234"/>
    <mergeCell ref="P234:Q234"/>
    <mergeCell ref="L235:O236"/>
    <mergeCell ref="P232:Q232"/>
    <mergeCell ref="P237:Q237"/>
    <mergeCell ref="V187:W187"/>
    <mergeCell ref="P210:Q210"/>
    <mergeCell ref="L231:M231"/>
    <mergeCell ref="V176:W176"/>
    <mergeCell ref="P216:Q216"/>
    <mergeCell ref="P209:Q209"/>
    <mergeCell ref="B212:AB212"/>
    <mergeCell ref="B211:E211"/>
    <mergeCell ref="B210:E210"/>
    <mergeCell ref="R214:S214"/>
    <mergeCell ref="D317:AB317"/>
    <mergeCell ref="D318:AB318"/>
    <mergeCell ref="D319:AB319"/>
    <mergeCell ref="B306:AB306"/>
    <mergeCell ref="D312:AB312"/>
    <mergeCell ref="D313:AB313"/>
    <mergeCell ref="D314:AB314"/>
    <mergeCell ref="D309:AB309"/>
    <mergeCell ref="D310:AB310"/>
    <mergeCell ref="D340:AB340"/>
    <mergeCell ref="B341:AB341"/>
    <mergeCell ref="D320:AB320"/>
    <mergeCell ref="B321:Q321"/>
    <mergeCell ref="D322:AB322"/>
    <mergeCell ref="D323:AB323"/>
    <mergeCell ref="D328:AB328"/>
    <mergeCell ref="D332:AB335"/>
    <mergeCell ref="B331:AB331"/>
    <mergeCell ref="D337:AB337"/>
    <mergeCell ref="D338:AB338"/>
    <mergeCell ref="D339:AB339"/>
    <mergeCell ref="D329:AB329"/>
    <mergeCell ref="D330:AB330"/>
    <mergeCell ref="D354:AB354"/>
    <mergeCell ref="D347:AB347"/>
    <mergeCell ref="D348:AB348"/>
    <mergeCell ref="D349:AB349"/>
    <mergeCell ref="D350:AB350"/>
    <mergeCell ref="D342:AB342"/>
    <mergeCell ref="C65:AA65"/>
    <mergeCell ref="C66:AA66"/>
    <mergeCell ref="C67:AA67"/>
    <mergeCell ref="C68:AA68"/>
    <mergeCell ref="C69:AA69"/>
    <mergeCell ref="C70:AA70"/>
    <mergeCell ref="C74:AA74"/>
    <mergeCell ref="C75:AA75"/>
    <mergeCell ref="C76:AA76"/>
    <mergeCell ref="C77:AA77"/>
    <mergeCell ref="B356:AB356"/>
    <mergeCell ref="D357:AB357"/>
    <mergeCell ref="D343:AB343"/>
    <mergeCell ref="D344:AB344"/>
    <mergeCell ref="D345:AB345"/>
    <mergeCell ref="B346:AB346"/>
    <mergeCell ref="D358:AB358"/>
    <mergeCell ref="D359:AB359"/>
    <mergeCell ref="D360:AB360"/>
    <mergeCell ref="B351:AB351"/>
    <mergeCell ref="D355:AB355"/>
    <mergeCell ref="D352:AB352"/>
    <mergeCell ref="D353:AB353"/>
    <mergeCell ref="B142:E142"/>
    <mergeCell ref="L142:M142"/>
    <mergeCell ref="P142:Q142"/>
    <mergeCell ref="R142:S142"/>
    <mergeCell ref="T142:U142"/>
    <mergeCell ref="D315:AB315"/>
    <mergeCell ref="B181:J181"/>
    <mergeCell ref="V175:W175"/>
    <mergeCell ref="B231:E231"/>
    <mergeCell ref="V218:W218"/>
  </mergeCells>
  <phoneticPr fontId="14" type="noConversion"/>
  <pageMargins left="0.19685039370078741" right="0.19685039370078741" top="0.19685039370078741" bottom="0.19685039370078741" header="0.31496062992125984" footer="0.31496062992125984"/>
  <pageSetup paperSize="9" scale="65" orientation="landscape" verticalDpi="0" r:id="rId1"/>
  <rowBreaks count="12" manualBreakCount="12">
    <brk id="42" min="2" max="26" man="1"/>
    <brk id="72" max="27" man="1"/>
    <brk id="100" max="27" man="1"/>
    <brk id="120" max="27" man="1"/>
    <brk id="145" max="27" man="1"/>
    <brk id="171" max="27" man="1"/>
    <brk id="192" max="27" man="1"/>
    <brk id="211" max="27" man="1"/>
    <brk id="236" max="27" man="1"/>
    <brk id="259" max="27" man="1"/>
    <brk id="285" max="27" man="1"/>
    <brk id="309" max="2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1416030</vt:lpstr>
      <vt:lpstr>'1416030'!Область_друку</vt:lpstr>
    </vt:vector>
  </TitlesOfParts>
  <Company>Reanimator Extreme Edition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S_Smal</dc:creator>
  <cp:lastModifiedBy>Ліщук Петро Андрійович</cp:lastModifiedBy>
  <cp:lastPrinted>2023-02-24T12:48:22Z</cp:lastPrinted>
  <dcterms:created xsi:type="dcterms:W3CDTF">2019-01-14T08:15:45Z</dcterms:created>
  <dcterms:modified xsi:type="dcterms:W3CDTF">2023-03-07T10:10:13Z</dcterms:modified>
</cp:coreProperties>
</file>