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березень\2103\Звіти по паспортах УКІ\"/>
    </mc:Choice>
  </mc:AlternateContent>
  <bookViews>
    <workbookView xWindow="-15" yWindow="4590" windowWidth="20460" windowHeight="4635"/>
  </bookViews>
  <sheets>
    <sheet name="1416030" sheetId="1" r:id="rId1"/>
  </sheets>
  <definedNames>
    <definedName name="_xlnm.Print_Area" localSheetId="0">'1416030'!$A$1:$AB$352</definedName>
  </definedNames>
  <calcPr calcId="152511"/>
</workbook>
</file>

<file path=xl/calcChain.xml><?xml version="1.0" encoding="utf-8"?>
<calcChain xmlns="http://schemas.openxmlformats.org/spreadsheetml/2006/main">
  <c r="V202" i="1" l="1"/>
  <c r="V171" i="1"/>
  <c r="V189" i="1"/>
  <c r="V176" i="1"/>
  <c r="Y176" i="1" s="1"/>
  <c r="Y202" i="1"/>
  <c r="V111" i="1"/>
  <c r="V117" i="1"/>
  <c r="V259" i="1"/>
  <c r="P260" i="1"/>
  <c r="V264" i="1"/>
  <c r="P264" i="1"/>
  <c r="Z264" i="1" s="1"/>
  <c r="AB264" i="1" s="1"/>
  <c r="T264" i="1"/>
  <c r="P247" i="1"/>
  <c r="Y189" i="1"/>
  <c r="V262" i="1"/>
  <c r="P262" i="1"/>
  <c r="V260" i="1"/>
  <c r="Y260" i="1" s="1"/>
  <c r="Q262" i="1"/>
  <c r="Q261" i="1"/>
  <c r="P261" i="1"/>
  <c r="Q260" i="1"/>
  <c r="P176" i="1"/>
  <c r="T176" i="1" s="1"/>
  <c r="P175" i="1"/>
  <c r="P181" i="1" s="1"/>
  <c r="V162" i="1"/>
  <c r="V250" i="1"/>
  <c r="Z250" i="1" s="1"/>
  <c r="AB250" i="1" s="1"/>
  <c r="P250" i="1"/>
  <c r="T247" i="1"/>
  <c r="V248" i="1"/>
  <c r="Y248" i="1" s="1"/>
  <c r="V247" i="1"/>
  <c r="Y247" i="1" s="1"/>
  <c r="V112" i="1"/>
  <c r="V226" i="1"/>
  <c r="Y226" i="1"/>
  <c r="V104" i="1"/>
  <c r="V116" i="1" s="1"/>
  <c r="V128" i="1"/>
  <c r="V109" i="1"/>
  <c r="Y109" i="1" s="1"/>
  <c r="W109" i="1"/>
  <c r="V236" i="1"/>
  <c r="Y236" i="1"/>
  <c r="V186" i="1"/>
  <c r="V193" i="1" s="1"/>
  <c r="V184" i="1"/>
  <c r="V181" i="1"/>
  <c r="V188" i="1" s="1"/>
  <c r="V178" i="1"/>
  <c r="V185" i="1" s="1"/>
  <c r="V153" i="1"/>
  <c r="Y153" i="1" s="1"/>
  <c r="V237" i="1"/>
  <c r="V234" i="1" s="1"/>
  <c r="V133" i="1"/>
  <c r="P52" i="1" s="1"/>
  <c r="V122" i="1"/>
  <c r="Y122" i="1" s="1"/>
  <c r="P122" i="1"/>
  <c r="T122" i="1" s="1"/>
  <c r="P123" i="1"/>
  <c r="T123" i="1" s="1"/>
  <c r="P146" i="1"/>
  <c r="V145" i="1"/>
  <c r="P179" i="1"/>
  <c r="P178" i="1"/>
  <c r="Q173" i="1"/>
  <c r="P173" i="1"/>
  <c r="Q172" i="1"/>
  <c r="P172" i="1"/>
  <c r="T172" i="1" s="1"/>
  <c r="Q171" i="1"/>
  <c r="P171" i="1"/>
  <c r="Z171" i="1" s="1"/>
  <c r="P271" i="1"/>
  <c r="P277" i="1" s="1"/>
  <c r="T277" i="1" s="1"/>
  <c r="V272" i="1"/>
  <c r="V275" i="1" s="1"/>
  <c r="V271" i="1"/>
  <c r="Z271" i="1" s="1"/>
  <c r="AB271" i="1" s="1"/>
  <c r="Y128" i="1"/>
  <c r="Z142" i="1"/>
  <c r="Y147" i="1"/>
  <c r="P135" i="1"/>
  <c r="P150" i="1" s="1"/>
  <c r="Z137" i="1"/>
  <c r="AB137" i="1" s="1"/>
  <c r="P268" i="1"/>
  <c r="P274" i="1" s="1"/>
  <c r="T274" i="1" s="1"/>
  <c r="T250" i="1"/>
  <c r="P248" i="1"/>
  <c r="T248" i="1" s="1"/>
  <c r="W245" i="1"/>
  <c r="W247" i="1" s="1"/>
  <c r="V245" i="1"/>
  <c r="V251" i="1" s="1"/>
  <c r="Q245" i="1"/>
  <c r="Q248" i="1"/>
  <c r="P245" i="1"/>
  <c r="P251" i="1" s="1"/>
  <c r="T251" i="1" s="1"/>
  <c r="P242" i="1"/>
  <c r="T242" i="1" s="1"/>
  <c r="P219" i="1"/>
  <c r="T219" i="1" s="1"/>
  <c r="Q237" i="1"/>
  <c r="P237" i="1"/>
  <c r="P230" i="1"/>
  <c r="P236" i="1" s="1"/>
  <c r="Z230" i="1"/>
  <c r="AB230" i="1"/>
  <c r="P231" i="1"/>
  <c r="P234" i="1" s="1"/>
  <c r="P209" i="1"/>
  <c r="T209" i="1"/>
  <c r="P211" i="1"/>
  <c r="P106" i="1"/>
  <c r="V118" i="1" s="1"/>
  <c r="Z106" i="1"/>
  <c r="AB106" i="1"/>
  <c r="P100" i="1"/>
  <c r="Z100" i="1" s="1"/>
  <c r="P97" i="1"/>
  <c r="P108" i="1" s="1"/>
  <c r="T108" i="1" s="1"/>
  <c r="V97" i="1"/>
  <c r="V108" i="1" s="1"/>
  <c r="V254" i="1"/>
  <c r="Y254" i="1"/>
  <c r="Y262" i="1"/>
  <c r="V261" i="1"/>
  <c r="Y261" i="1"/>
  <c r="V267" i="1"/>
  <c r="P60" i="1" s="1"/>
  <c r="P272" i="1"/>
  <c r="P269" i="1"/>
  <c r="T269" i="1" s="1"/>
  <c r="Z269" i="1"/>
  <c r="AB269" i="1" s="1"/>
  <c r="Y268" i="1"/>
  <c r="Y269" i="1"/>
  <c r="T262" i="1"/>
  <c r="T260" i="1"/>
  <c r="T245" i="1"/>
  <c r="K58" i="1"/>
  <c r="M58" i="1" s="1"/>
  <c r="P202" i="1"/>
  <c r="T202" i="1" s="1"/>
  <c r="V191" i="1"/>
  <c r="V190" i="1"/>
  <c r="Y190" i="1" s="1"/>
  <c r="P190" i="1"/>
  <c r="P189" i="1"/>
  <c r="P184" i="1"/>
  <c r="T184" i="1" s="1"/>
  <c r="P191" i="1"/>
  <c r="T191" i="1" s="1"/>
  <c r="T179" i="1"/>
  <c r="Q192" i="1"/>
  <c r="T178" i="1"/>
  <c r="Z173" i="1"/>
  <c r="AB173" i="1" s="1"/>
  <c r="V167" i="1"/>
  <c r="Y167" i="1"/>
  <c r="P167" i="1"/>
  <c r="T167" i="1" s="1"/>
  <c r="V149" i="1"/>
  <c r="V150" i="1"/>
  <c r="P149" i="1"/>
  <c r="T149" i="1" s="1"/>
  <c r="V147" i="1"/>
  <c r="V146" i="1"/>
  <c r="Y146" i="1"/>
  <c r="P147" i="1"/>
  <c r="T147" i="1" s="1"/>
  <c r="Z136" i="1"/>
  <c r="AB136" i="1"/>
  <c r="Y137" i="1"/>
  <c r="V130" i="1"/>
  <c r="Y130" i="1" s="1"/>
  <c r="P130" i="1"/>
  <c r="Z130" i="1" s="1"/>
  <c r="AB130" i="1" s="1"/>
  <c r="T130" i="1"/>
  <c r="P117" i="1"/>
  <c r="Z117" i="1" s="1"/>
  <c r="AB117" i="1" s="1"/>
  <c r="T117" i="1"/>
  <c r="P116" i="1"/>
  <c r="T116" i="1" s="1"/>
  <c r="P110" i="1"/>
  <c r="T110" i="1" s="1"/>
  <c r="P109" i="1"/>
  <c r="T109" i="1" s="1"/>
  <c r="Y112" i="1"/>
  <c r="Y111" i="1"/>
  <c r="V163" i="1"/>
  <c r="Y163" i="1" s="1"/>
  <c r="P58" i="1"/>
  <c r="T58" i="1" s="1"/>
  <c r="P55" i="1"/>
  <c r="T55" i="1"/>
  <c r="K55" i="1"/>
  <c r="M55" i="1"/>
  <c r="V222" i="1"/>
  <c r="Y222" i="1" s="1"/>
  <c r="V221" i="1"/>
  <c r="Y221" i="1" s="1"/>
  <c r="V219" i="1"/>
  <c r="Z219" i="1" s="1"/>
  <c r="AB219" i="1" s="1"/>
  <c r="Y219" i="1"/>
  <c r="Y175" i="1"/>
  <c r="Y171" i="1"/>
  <c r="Y145" i="1"/>
  <c r="Z140" i="1"/>
  <c r="AB140" i="1"/>
  <c r="B33" i="1"/>
  <c r="B34" i="1" s="1"/>
  <c r="B35" i="1" s="1"/>
  <c r="B36" i="1" s="1"/>
  <c r="B37" i="1" s="1"/>
  <c r="B38" i="1" s="1"/>
  <c r="B39" i="1" s="1"/>
  <c r="B40" i="1" s="1"/>
  <c r="B41" i="1" s="1"/>
  <c r="B42" i="1" s="1"/>
  <c r="B68" i="1"/>
  <c r="B69" i="1"/>
  <c r="B70" i="1" s="1"/>
  <c r="B71" i="1" s="1"/>
  <c r="B72" i="1" s="1"/>
  <c r="B73" i="1" s="1"/>
  <c r="B74" i="1" s="1"/>
  <c r="B75" i="1" s="1"/>
  <c r="B76" i="1" s="1"/>
  <c r="B77" i="1" s="1"/>
  <c r="A98" i="1"/>
  <c r="A99" i="1" s="1"/>
  <c r="A100" i="1" s="1"/>
  <c r="T98" i="1"/>
  <c r="Y98" i="1"/>
  <c r="P111" i="1"/>
  <c r="T111" i="1"/>
  <c r="Z99" i="1"/>
  <c r="AB99" i="1" s="1"/>
  <c r="Y99" i="1"/>
  <c r="Y100" i="1"/>
  <c r="T102" i="1"/>
  <c r="Y102" i="1"/>
  <c r="Z102" i="1"/>
  <c r="AB102" i="1"/>
  <c r="A103" i="1"/>
  <c r="A104" i="1" s="1"/>
  <c r="A105" i="1" s="1"/>
  <c r="A106" i="1" s="1"/>
  <c r="T103" i="1"/>
  <c r="Y103" i="1"/>
  <c r="Z103" i="1"/>
  <c r="AB103" i="1" s="1"/>
  <c r="T104" i="1"/>
  <c r="T105" i="1"/>
  <c r="Y105" i="1"/>
  <c r="Z105" i="1"/>
  <c r="AB105" i="1"/>
  <c r="Y106" i="1"/>
  <c r="Q108" i="1"/>
  <c r="A109" i="1"/>
  <c r="A110" i="1"/>
  <c r="A111" i="1" s="1"/>
  <c r="A112" i="1" s="1"/>
  <c r="Q109" i="1"/>
  <c r="Q110" i="1"/>
  <c r="Q111" i="1"/>
  <c r="Q112" i="1"/>
  <c r="A114" i="1"/>
  <c r="A115" i="1"/>
  <c r="A116" i="1" s="1"/>
  <c r="A117" i="1" s="1"/>
  <c r="A118" i="1" s="1"/>
  <c r="P114" i="1"/>
  <c r="T114" i="1"/>
  <c r="V114" i="1"/>
  <c r="Y114" i="1" s="1"/>
  <c r="P115" i="1"/>
  <c r="T115" i="1" s="1"/>
  <c r="V115" i="1"/>
  <c r="Z115" i="1"/>
  <c r="AB115" i="1"/>
  <c r="R121" i="1"/>
  <c r="W121" i="1"/>
  <c r="X121" i="1"/>
  <c r="A122" i="1"/>
  <c r="A123" i="1" s="1"/>
  <c r="Y123" i="1"/>
  <c r="T125" i="1"/>
  <c r="Y125" i="1"/>
  <c r="Z125" i="1"/>
  <c r="AB125" i="1" s="1"/>
  <c r="T134" i="1"/>
  <c r="V144" i="1"/>
  <c r="Y144" i="1" s="1"/>
  <c r="Y135" i="1"/>
  <c r="T136" i="1"/>
  <c r="Y136" i="1"/>
  <c r="T137" i="1"/>
  <c r="T139" i="1"/>
  <c r="Y139" i="1"/>
  <c r="Z139" i="1"/>
  <c r="AB139" i="1" s="1"/>
  <c r="T140" i="1"/>
  <c r="T141" i="1"/>
  <c r="Y141" i="1"/>
  <c r="Z141" i="1"/>
  <c r="AB141" i="1" s="1"/>
  <c r="T142" i="1"/>
  <c r="Y142" i="1"/>
  <c r="AB142" i="1"/>
  <c r="P144" i="1"/>
  <c r="T144" i="1"/>
  <c r="Q150" i="1"/>
  <c r="W150" i="1"/>
  <c r="Z154" i="1"/>
  <c r="AB154" i="1" s="1"/>
  <c r="Y154" i="1"/>
  <c r="Z155" i="1"/>
  <c r="AB155" i="1" s="1"/>
  <c r="Y155" i="1"/>
  <c r="P164" i="1"/>
  <c r="T164" i="1"/>
  <c r="Y156" i="1"/>
  <c r="T158" i="1"/>
  <c r="Y158" i="1"/>
  <c r="Z158" i="1"/>
  <c r="AB158" i="1" s="1"/>
  <c r="T159" i="1"/>
  <c r="Y159" i="1"/>
  <c r="Z159" i="1"/>
  <c r="AB159" i="1" s="1"/>
  <c r="A160" i="1"/>
  <c r="T160" i="1"/>
  <c r="Y160" i="1"/>
  <c r="Z160" i="1"/>
  <c r="AB160" i="1"/>
  <c r="Y162" i="1"/>
  <c r="V164" i="1"/>
  <c r="Z164" i="1" s="1"/>
  <c r="AB164" i="1" s="1"/>
  <c r="Y172" i="1"/>
  <c r="Y173" i="1"/>
  <c r="Q188" i="1"/>
  <c r="Q189" i="1"/>
  <c r="T177" i="1"/>
  <c r="Y177" i="1"/>
  <c r="Z177" i="1"/>
  <c r="AB177" i="1" s="1"/>
  <c r="Y178" i="1"/>
  <c r="Y179" i="1"/>
  <c r="Z179" i="1"/>
  <c r="AB179" i="1"/>
  <c r="Y182" i="1"/>
  <c r="Y183" i="1"/>
  <c r="Q191" i="1"/>
  <c r="W188" i="1"/>
  <c r="W189" i="1"/>
  <c r="W190" i="1"/>
  <c r="W191" i="1"/>
  <c r="W192" i="1"/>
  <c r="Q193" i="1"/>
  <c r="W193" i="1"/>
  <c r="T196" i="1"/>
  <c r="Y196" i="1"/>
  <c r="Z196" i="1"/>
  <c r="AB196" i="1"/>
  <c r="P198" i="1"/>
  <c r="T198" i="1"/>
  <c r="Y198" i="1"/>
  <c r="T200" i="1"/>
  <c r="Y200" i="1"/>
  <c r="Z200" i="1"/>
  <c r="AB200" i="1"/>
  <c r="V205" i="1"/>
  <c r="A206" i="1"/>
  <c r="A207" i="1"/>
  <c r="A208" i="1"/>
  <c r="A209" i="1"/>
  <c r="A210" i="1" s="1"/>
  <c r="A211" i="1" s="1"/>
  <c r="T206" i="1"/>
  <c r="Y206" i="1"/>
  <c r="Z206" i="1"/>
  <c r="AB206" i="1"/>
  <c r="T207" i="1"/>
  <c r="Y207" i="1"/>
  <c r="Z207" i="1"/>
  <c r="AB207" i="1" s="1"/>
  <c r="T208" i="1"/>
  <c r="Y208" i="1"/>
  <c r="Z208" i="1"/>
  <c r="AB208" i="1"/>
  <c r="Y209" i="1"/>
  <c r="Z209" i="1"/>
  <c r="AB209" i="1" s="1"/>
  <c r="T210" i="1"/>
  <c r="Y210" i="1"/>
  <c r="Z210" i="1"/>
  <c r="AB210" i="1" s="1"/>
  <c r="T211" i="1"/>
  <c r="Y211" i="1"/>
  <c r="T213" i="1"/>
  <c r="Y213" i="1"/>
  <c r="Z213" i="1"/>
  <c r="AB213" i="1"/>
  <c r="T214" i="1"/>
  <c r="Y214" i="1"/>
  <c r="Z214" i="1"/>
  <c r="AB214" i="1"/>
  <c r="T215" i="1"/>
  <c r="Y215" i="1"/>
  <c r="Z215" i="1"/>
  <c r="AB215" i="1"/>
  <c r="T216" i="1"/>
  <c r="Y216" i="1"/>
  <c r="Z216" i="1"/>
  <c r="AB216" i="1"/>
  <c r="T217" i="1"/>
  <c r="Y217" i="1"/>
  <c r="Z217" i="1"/>
  <c r="AB217" i="1"/>
  <c r="A220" i="1"/>
  <c r="A221" i="1" s="1"/>
  <c r="A222" i="1" s="1"/>
  <c r="A223" i="1" s="1"/>
  <c r="A224" i="1" s="1"/>
  <c r="P220" i="1"/>
  <c r="T220" i="1" s="1"/>
  <c r="V220" i="1"/>
  <c r="P221" i="1"/>
  <c r="T221" i="1" s="1"/>
  <c r="P223" i="1"/>
  <c r="T223" i="1"/>
  <c r="V223" i="1"/>
  <c r="Z223" i="1" s="1"/>
  <c r="AB223" i="1" s="1"/>
  <c r="V224" i="1"/>
  <c r="Y224" i="1"/>
  <c r="Q226" i="1"/>
  <c r="W226" i="1"/>
  <c r="V229" i="1"/>
  <c r="Y229" i="1" s="1"/>
  <c r="Y230" i="1"/>
  <c r="Y231" i="1"/>
  <c r="T233" i="1"/>
  <c r="Y233" i="1"/>
  <c r="Z233" i="1"/>
  <c r="AB233" i="1"/>
  <c r="Y237" i="1"/>
  <c r="Q239" i="1"/>
  <c r="W239" i="1"/>
  <c r="Y242" i="1"/>
  <c r="Q244" i="1"/>
  <c r="T244" i="1"/>
  <c r="Y244" i="1"/>
  <c r="Z244" i="1"/>
  <c r="AB244" i="1"/>
  <c r="Y245" i="1"/>
  <c r="Q247" i="1"/>
  <c r="K59" i="1"/>
  <c r="K85" i="1" s="1"/>
  <c r="M85" i="1" s="1"/>
  <c r="T256" i="1"/>
  <c r="Y256" i="1"/>
  <c r="Z256" i="1"/>
  <c r="AB256" i="1" s="1"/>
  <c r="T257" i="1"/>
  <c r="Y257" i="1"/>
  <c r="Z257" i="1"/>
  <c r="AB257" i="1"/>
  <c r="P259" i="1"/>
  <c r="AB259" i="1"/>
  <c r="T261" i="1"/>
  <c r="Y264" i="1"/>
  <c r="T155" i="1"/>
  <c r="Z98" i="1"/>
  <c r="AB98" i="1" s="1"/>
  <c r="T99" i="1"/>
  <c r="Y97" i="1"/>
  <c r="Y140" i="1"/>
  <c r="T272" i="1"/>
  <c r="T268" i="1"/>
  <c r="T97" i="1"/>
  <c r="Z178" i="1"/>
  <c r="AB178" i="1"/>
  <c r="P185" i="1"/>
  <c r="P192" i="1" s="1"/>
  <c r="T192" i="1" s="1"/>
  <c r="P186" i="1"/>
  <c r="P193" i="1"/>
  <c r="Y184" i="1"/>
  <c r="T173" i="1"/>
  <c r="Z146" i="1"/>
  <c r="AB146" i="1"/>
  <c r="T154" i="1"/>
  <c r="AB147" i="1"/>
  <c r="V55" i="1"/>
  <c r="Y55" i="1" s="1"/>
  <c r="P162" i="1"/>
  <c r="Z162" i="1"/>
  <c r="AB162" i="1" s="1"/>
  <c r="Z220" i="1"/>
  <c r="AB220" i="1" s="1"/>
  <c r="T254" i="1"/>
  <c r="Z134" i="1"/>
  <c r="Z149" i="1"/>
  <c r="AB149" i="1" s="1"/>
  <c r="Y134" i="1"/>
  <c r="T146" i="1"/>
  <c r="M59" i="1"/>
  <c r="Y220" i="1"/>
  <c r="Q190" i="1"/>
  <c r="Y150" i="1"/>
  <c r="T156" i="1"/>
  <c r="Z198" i="1"/>
  <c r="AB198" i="1"/>
  <c r="V170" i="1"/>
  <c r="P54" i="1" s="1"/>
  <c r="L61" i="1"/>
  <c r="L86" i="1"/>
  <c r="Z172" i="1"/>
  <c r="AB172" i="1"/>
  <c r="Z114" i="1"/>
  <c r="AB114" i="1"/>
  <c r="Z183" i="1"/>
  <c r="AB183" i="1" s="1"/>
  <c r="T183" i="1"/>
  <c r="T128" i="1"/>
  <c r="Z245" i="1"/>
  <c r="AB245" i="1"/>
  <c r="P153" i="1"/>
  <c r="T153" i="1" s="1"/>
  <c r="Z156" i="1"/>
  <c r="AB156" i="1" s="1"/>
  <c r="P163" i="1"/>
  <c r="P166" i="1" s="1"/>
  <c r="R61" i="1"/>
  <c r="T186" i="1"/>
  <c r="Y149" i="1"/>
  <c r="X61" i="1"/>
  <c r="AB134" i="1"/>
  <c r="Y181" i="1"/>
  <c r="T190" i="1"/>
  <c r="Z190" i="1"/>
  <c r="AB190" i="1"/>
  <c r="Z182" i="1"/>
  <c r="AB182" i="1" s="1"/>
  <c r="T182" i="1"/>
  <c r="T189" i="1"/>
  <c r="P59" i="1"/>
  <c r="T59" i="1" s="1"/>
  <c r="Z254" i="1"/>
  <c r="AB254" i="1" s="1"/>
  <c r="Y259" i="1"/>
  <c r="Z262" i="1"/>
  <c r="AB262" i="1" s="1"/>
  <c r="Z261" i="1"/>
  <c r="AB261" i="1"/>
  <c r="Z260" i="1"/>
  <c r="AB260" i="1" s="1"/>
  <c r="Z128" i="1"/>
  <c r="AB128" i="1"/>
  <c r="Z135" i="1"/>
  <c r="AB135" i="1" s="1"/>
  <c r="Z144" i="1"/>
  <c r="AB144" i="1"/>
  <c r="Z268" i="1"/>
  <c r="AB268" i="1" s="1"/>
  <c r="V58" i="1"/>
  <c r="Z242" i="1"/>
  <c r="AB242" i="1" s="1"/>
  <c r="T237" i="1"/>
  <c r="T230" i="1"/>
  <c r="P229" i="1"/>
  <c r="K57" i="1" s="1"/>
  <c r="M57" i="1" s="1"/>
  <c r="P222" i="1"/>
  <c r="T222" i="1" s="1"/>
  <c r="P205" i="1"/>
  <c r="P226" i="1" s="1"/>
  <c r="T226" i="1" s="1"/>
  <c r="P224" i="1"/>
  <c r="Z224" i="1"/>
  <c r="AB224" i="1" s="1"/>
  <c r="Z211" i="1"/>
  <c r="AB211" i="1"/>
  <c r="Z205" i="1"/>
  <c r="AB205" i="1" s="1"/>
  <c r="Y205" i="1"/>
  <c r="P56" i="1"/>
  <c r="T106" i="1"/>
  <c r="Z97" i="1"/>
  <c r="Z133" i="1"/>
  <c r="AB133" i="1" s="1"/>
  <c r="Z222" i="1"/>
  <c r="AB222" i="1" s="1"/>
  <c r="T224" i="1"/>
  <c r="T56" i="1"/>
  <c r="AB97" i="1"/>
  <c r="V127" i="1"/>
  <c r="Y127" i="1" s="1"/>
  <c r="V121" i="1"/>
  <c r="X86" i="1"/>
  <c r="R86" i="1"/>
  <c r="T193" i="1"/>
  <c r="Z221" i="1"/>
  <c r="AB221" i="1"/>
  <c r="T162" i="1"/>
  <c r="T205" i="1"/>
  <c r="T259" i="1"/>
  <c r="Y272" i="1"/>
  <c r="Z272" i="1"/>
  <c r="AB272" i="1"/>
  <c r="V277" i="1"/>
  <c r="Y277" i="1" s="1"/>
  <c r="Y271" i="1"/>
  <c r="Y121" i="1"/>
  <c r="P51" i="1"/>
  <c r="T51" i="1"/>
  <c r="Z153" i="1"/>
  <c r="AB153" i="1"/>
  <c r="P53" i="1"/>
  <c r="T53" i="1" s="1"/>
  <c r="V166" i="1"/>
  <c r="Y166" i="1"/>
  <c r="Y191" i="1"/>
  <c r="Y117" i="1"/>
  <c r="V110" i="1"/>
  <c r="Y110" i="1" s="1"/>
  <c r="Y104" i="1"/>
  <c r="Z111" i="1"/>
  <c r="AB111" i="1" s="1"/>
  <c r="Z104" i="1"/>
  <c r="AB104" i="1" s="1"/>
  <c r="Y115" i="1"/>
  <c r="Y250" i="1"/>
  <c r="Z247" i="1"/>
  <c r="AB247" i="1"/>
  <c r="Y58" i="1"/>
  <c r="Z189" i="1"/>
  <c r="AB189" i="1" s="1"/>
  <c r="Z150" i="1" l="1"/>
  <c r="AB150" i="1" s="1"/>
  <c r="T150" i="1"/>
  <c r="T54" i="1"/>
  <c r="Z108" i="1"/>
  <c r="AB108" i="1" s="1"/>
  <c r="Y108" i="1"/>
  <c r="Z170" i="1"/>
  <c r="AB170" i="1" s="1"/>
  <c r="AB171" i="1"/>
  <c r="Y193" i="1"/>
  <c r="Z193" i="1"/>
  <c r="AB193" i="1" s="1"/>
  <c r="Z166" i="1"/>
  <c r="AB166" i="1" s="1"/>
  <c r="T166" i="1"/>
  <c r="T234" i="1"/>
  <c r="P239" i="1"/>
  <c r="T239" i="1" s="1"/>
  <c r="Z226" i="1"/>
  <c r="AB226" i="1" s="1"/>
  <c r="T181" i="1"/>
  <c r="Z181" i="1"/>
  <c r="AB181" i="1" s="1"/>
  <c r="P188" i="1"/>
  <c r="T188" i="1" s="1"/>
  <c r="Z116" i="1"/>
  <c r="AB116" i="1" s="1"/>
  <c r="Y116" i="1"/>
  <c r="T60" i="1"/>
  <c r="Z96" i="1"/>
  <c r="AB96" i="1" s="1"/>
  <c r="AB100" i="1"/>
  <c r="T52" i="1"/>
  <c r="Y118" i="1"/>
  <c r="Y275" i="1"/>
  <c r="Z275" i="1"/>
  <c r="AB275" i="1" s="1"/>
  <c r="Y234" i="1"/>
  <c r="V239" i="1"/>
  <c r="Z234" i="1"/>
  <c r="AB234" i="1" s="1"/>
  <c r="Y185" i="1"/>
  <c r="Z185" i="1"/>
  <c r="AB185" i="1" s="1"/>
  <c r="V192" i="1"/>
  <c r="Y188" i="1"/>
  <c r="Z188" i="1"/>
  <c r="AB188" i="1" s="1"/>
  <c r="Z251" i="1"/>
  <c r="AB251" i="1" s="1"/>
  <c r="Y251" i="1"/>
  <c r="Z236" i="1"/>
  <c r="AB236" i="1" s="1"/>
  <c r="T236" i="1"/>
  <c r="Z277" i="1"/>
  <c r="AB277" i="1" s="1"/>
  <c r="Z248" i="1"/>
  <c r="AB248" i="1" s="1"/>
  <c r="P267" i="1"/>
  <c r="T175" i="1"/>
  <c r="Z175" i="1"/>
  <c r="AB175" i="1" s="1"/>
  <c r="Z202" i="1"/>
  <c r="AB202" i="1" s="1"/>
  <c r="P96" i="1"/>
  <c r="Y223" i="1"/>
  <c r="Z123" i="1"/>
  <c r="AB123" i="1" s="1"/>
  <c r="Z191" i="1"/>
  <c r="AB191" i="1" s="1"/>
  <c r="Z110" i="1"/>
  <c r="AB110" i="1" s="1"/>
  <c r="P57" i="1"/>
  <c r="T271" i="1"/>
  <c r="Z186" i="1"/>
  <c r="AB186" i="1" s="1"/>
  <c r="Z231" i="1"/>
  <c r="AB231" i="1" s="1"/>
  <c r="K53" i="1"/>
  <c r="P170" i="1"/>
  <c r="Y267" i="1"/>
  <c r="V96" i="1"/>
  <c r="W248" i="1"/>
  <c r="T231" i="1"/>
  <c r="T163" i="1"/>
  <c r="P112" i="1"/>
  <c r="T229" i="1"/>
  <c r="Z237" i="1"/>
  <c r="AB237" i="1" s="1"/>
  <c r="P85" i="1"/>
  <c r="T185" i="1"/>
  <c r="Z176" i="1"/>
  <c r="AB176" i="1" s="1"/>
  <c r="T135" i="1"/>
  <c r="P118" i="1"/>
  <c r="T118" i="1" s="1"/>
  <c r="P127" i="1"/>
  <c r="P275" i="1"/>
  <c r="T275" i="1" s="1"/>
  <c r="P145" i="1"/>
  <c r="Y186" i="1"/>
  <c r="Z109" i="1"/>
  <c r="AB109" i="1" s="1"/>
  <c r="Z163" i="1"/>
  <c r="AB163" i="1" s="1"/>
  <c r="Y133" i="1"/>
  <c r="K56" i="1"/>
  <c r="V59" i="1"/>
  <c r="Y59" i="1" s="1"/>
  <c r="Z184" i="1"/>
  <c r="AB184" i="1" s="1"/>
  <c r="Z147" i="1"/>
  <c r="V274" i="1"/>
  <c r="P133" i="1"/>
  <c r="Y170" i="1"/>
  <c r="T100" i="1"/>
  <c r="P121" i="1"/>
  <c r="Z167" i="1"/>
  <c r="AB167" i="1" s="1"/>
  <c r="Y164" i="1"/>
  <c r="Z229" i="1"/>
  <c r="AB229" i="1" s="1"/>
  <c r="T171" i="1"/>
  <c r="Z122" i="1"/>
  <c r="AB122" i="1" s="1"/>
  <c r="Y239" i="1" l="1"/>
  <c r="Z239" i="1"/>
  <c r="AB239" i="1" s="1"/>
  <c r="P50" i="1"/>
  <c r="Y96" i="1"/>
  <c r="T267" i="1"/>
  <c r="Z267" i="1"/>
  <c r="AB267" i="1" s="1"/>
  <c r="K60" i="1"/>
  <c r="V85" i="1"/>
  <c r="Y85" i="1" s="1"/>
  <c r="T85" i="1"/>
  <c r="Y192" i="1"/>
  <c r="Z192" i="1"/>
  <c r="AB192" i="1" s="1"/>
  <c r="V56" i="1"/>
  <c r="Y56" i="1" s="1"/>
  <c r="M56" i="1"/>
  <c r="V57" i="1"/>
  <c r="Y57" i="1" s="1"/>
  <c r="T57" i="1"/>
  <c r="Z118" i="1"/>
  <c r="AB118" i="1" s="1"/>
  <c r="Z274" i="1"/>
  <c r="AB274" i="1" s="1"/>
  <c r="Y274" i="1"/>
  <c r="V53" i="1"/>
  <c r="Y53" i="1" s="1"/>
  <c r="M53" i="1"/>
  <c r="K51" i="1"/>
  <c r="Z121" i="1"/>
  <c r="AB121" i="1" s="1"/>
  <c r="T121" i="1"/>
  <c r="K52" i="1"/>
  <c r="T133" i="1"/>
  <c r="T145" i="1"/>
  <c r="Z145" i="1"/>
  <c r="AB145" i="1" s="1"/>
  <c r="T170" i="1"/>
  <c r="K54" i="1"/>
  <c r="Z127" i="1"/>
  <c r="AB127" i="1" s="1"/>
  <c r="T127" i="1"/>
  <c r="T112" i="1"/>
  <c r="Z112" i="1"/>
  <c r="AB112" i="1" s="1"/>
  <c r="K50" i="1"/>
  <c r="T96" i="1"/>
  <c r="M60" i="1" l="1"/>
  <c r="V60" i="1"/>
  <c r="Y60" i="1" s="1"/>
  <c r="M54" i="1"/>
  <c r="V54" i="1"/>
  <c r="Y54" i="1" s="1"/>
  <c r="V50" i="1"/>
  <c r="T50" i="1"/>
  <c r="P61" i="1"/>
  <c r="M52" i="1"/>
  <c r="V52" i="1"/>
  <c r="Y52" i="1" s="1"/>
  <c r="V51" i="1"/>
  <c r="Y51" i="1" s="1"/>
  <c r="M51" i="1"/>
  <c r="M50" i="1"/>
  <c r="K61" i="1"/>
  <c r="M61" i="1" l="1"/>
  <c r="K84" i="1"/>
  <c r="P84" i="1"/>
  <c r="T61" i="1"/>
  <c r="V61" i="1"/>
  <c r="Y61" i="1" s="1"/>
  <c r="Y50" i="1"/>
  <c r="P86" i="1" l="1"/>
  <c r="T86" i="1" s="1"/>
  <c r="T84" i="1"/>
  <c r="V84" i="1"/>
  <c r="M84" i="1"/>
  <c r="K86" i="1"/>
  <c r="M86" i="1" s="1"/>
  <c r="Y84" i="1" l="1"/>
  <c r="V86" i="1"/>
  <c r="Y86" i="1" s="1"/>
</calcChain>
</file>

<file path=xl/comments1.xml><?xml version="1.0" encoding="utf-8"?>
<comments xmlns="http://schemas.openxmlformats.org/spreadsheetml/2006/main">
  <authors>
    <author>S_Smal</author>
  </authors>
  <commentList>
    <comment ref="P111" authorId="0" shapeId="0">
      <text>
        <r>
          <rPr>
            <b/>
            <sz val="9"/>
            <color indexed="81"/>
            <rFont val="Tahoma"/>
            <family val="2"/>
            <charset val="204"/>
          </rPr>
          <t>S_Smal:</t>
        </r>
        <r>
          <rPr>
            <sz val="9"/>
            <color indexed="81"/>
            <rFont val="Tahoma"/>
            <family val="2"/>
            <charset val="204"/>
          </rPr>
          <t xml:space="preserve">
1351,829+409,929 - омолодження
210,00 (п.11)+32,430 (п. 13) -Парки і сквери</t>
        </r>
      </text>
    </comment>
  </commentList>
</comments>
</file>

<file path=xl/sharedStrings.xml><?xml version="1.0" encoding="utf-8"?>
<sst xmlns="http://schemas.openxmlformats.org/spreadsheetml/2006/main" count="744" uniqueCount="317">
  <si>
    <t>відс.</t>
  </si>
  <si>
    <t>договір</t>
  </si>
  <si>
    <t>кв. м</t>
  </si>
  <si>
    <t>середня вартість на ліквідацію дрібних деформацій і пошкоджень 1 кв. м вулично-шляхової (дорожньої) мережі</t>
  </si>
  <si>
    <t>середня вартість утримання 1 світлофорного об'єкту ( в т. ч. витрати на поточний ремонт, матеріали)</t>
  </si>
  <si>
    <t>тис. кв.м, од., т</t>
  </si>
  <si>
    <t>Пояснення:  фактичне використання коштів згідно рахунків за спожиті послуги (розподіл природного газу), включення факелу "Вічний вогонь" не здійснювалося, відповідно виникло значне неосвоєння коштів. Вказана причина вплинула на невиконання інших показників.</t>
  </si>
  <si>
    <t>тариф на надання послуг з приймання поверхневих стічних вод</t>
  </si>
  <si>
    <t xml:space="preserve">питома вага орієнтовного об'єму поверхневих стічних вод, що заплановано очистити до об'єму, що необхідно очистити </t>
  </si>
  <si>
    <t>Пояснення: п. 1 показник знизився в зв'язку з фактичним обсягом випадених атмосферних опадів.</t>
  </si>
  <si>
    <t xml:space="preserve">тис. м </t>
  </si>
  <si>
    <t>середні витрати на утримання 100 м території</t>
  </si>
  <si>
    <t>питома вага протяжності територій, що заплановано утримувати до протяжності території, що необхідно утримувати</t>
  </si>
  <si>
    <t>видатки на заготівлю протиожеледних матеріалів</t>
  </si>
  <si>
    <t>площа вулично-шляхової (дорожньої) мережі, на якій планується здійснити ліквідацію дрібних деформацій і пошкоджень</t>
  </si>
  <si>
    <t>площа вулиць, мостів, шляхопроводів (доріг, тротуарів), що планується  утримувати в належному стані протягом року</t>
  </si>
  <si>
    <t>ліквідація стихійних сміттєзвалищ на території ХМТГ</t>
  </si>
  <si>
    <t>поточний ремонт зелених насаджень в поймі р. Південний Буг від вул Свободи до вул. Старокостянтинівське шосе (права сторона) в м. Хмельницький</t>
  </si>
  <si>
    <t xml:space="preserve">відсоток забезпеченості фінансовим ресурсом на проведення робіт з поточного ремонту об'єктів благоустрою до кількості обстежених об'єктів </t>
  </si>
  <si>
    <t>Завдання 9. Послуги з утримання територій загального користування</t>
  </si>
  <si>
    <t>кількість протиожеледних матеріалів, які планується заготовити</t>
  </si>
  <si>
    <t>середні витрати на заготівлю 1 т протиожеледних матеріалів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</si>
  <si>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</si>
  <si>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</si>
  <si>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</si>
  <si>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Василь КАБАЛЬСЬКИЙ</t>
  </si>
  <si>
    <t>(Власне ім'я, ПРІЗВИЩЕ)</t>
  </si>
  <si>
    <t>Наталія ФУР'ЯНОВА</t>
  </si>
  <si>
    <t>9.3. Аналіз стану виконання результативних показників</t>
  </si>
  <si>
    <t>Пояснення щодо причин розбіжностей між фактичними та затвердженими результативними показниками</t>
  </si>
  <si>
    <t>грн</t>
  </si>
  <si>
    <t>9.2. Пояснення щодо причин розбіжностей між фактичними та затвердженими результативними показниками***</t>
  </si>
  <si>
    <t>службова записка відділу з благоустрою</t>
  </si>
  <si>
    <t>середні витрати на знешкодження омели, обрізання крон 1 зеленого насадження</t>
  </si>
  <si>
    <t>обсяг видатків, в т. ч.</t>
  </si>
  <si>
    <t>Начальник відділу бухгалтерського обліку та звітності - головний бухгалтер</t>
  </si>
  <si>
    <t xml:space="preserve">1. </t>
  </si>
  <si>
    <t>0620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</si>
  <si>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</si>
  <si>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</si>
  <si>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</si>
  <si>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</si>
  <si>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</si>
  <si>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</si>
  <si>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</si>
  <si>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</si>
  <si>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</si>
  <si>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</si>
  <si>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</si>
  <si>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</si>
  <si>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</si>
  <si>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</si>
  <si>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</si>
  <si>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</si>
  <si>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</si>
  <si>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</si>
  <si>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</si>
  <si>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</si>
  <si>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 xml:space="preserve">  Організація благоустрою населених пунктів</t>
  </si>
  <si>
    <t>Завдання 1. Збереження та утримання на належному рівні зеленої зони населеного пункту та поліпшення його екологічних умов</t>
  </si>
  <si>
    <t>Завдання 2. Забезпечення благоустрою кладовищ</t>
  </si>
  <si>
    <t>Завдання 3. Проведення поточного / капітального ремонту електричних мереж</t>
  </si>
  <si>
    <t>Завдання 5. Забезпечення утримання в належному технічному стані об’єктів дорожнього господарства</t>
  </si>
  <si>
    <t>Завдання 6. Послуги з постачання та транспортування природного газу для факелу "Вічний вогонь"</t>
  </si>
  <si>
    <t>Завдання 7. Проведення поточного ремонту та утримання об'єктів благоустрою</t>
  </si>
  <si>
    <t>Завдання 8. Утримання в належному стані об’єктів, задіяних в прийомі поверхневого стоку в дощову каналізацію (очисних споруд, насосних станцій, відкритих колекторів)</t>
  </si>
  <si>
    <t>обсяг видатків, в т.ч.:</t>
  </si>
  <si>
    <t>видатки на викошування борщівника Сосновського на території міста</t>
  </si>
  <si>
    <t>середні витрати на ремонт та обслуговання 1 об'єкту малої архітектурної форми</t>
  </si>
  <si>
    <t>рішення сесії міської ради</t>
  </si>
  <si>
    <t>титульний список</t>
  </si>
  <si>
    <t>грн.</t>
  </si>
  <si>
    <t>га</t>
  </si>
  <si>
    <t>од.</t>
  </si>
  <si>
    <t>акт обміру</t>
  </si>
  <si>
    <t>акт обстеження</t>
  </si>
  <si>
    <t>дефектний акт</t>
  </si>
  <si>
    <t>розрахунок</t>
  </si>
  <si>
    <t>розрахунково</t>
  </si>
  <si>
    <t>обсяг видатків</t>
  </si>
  <si>
    <t>питома вага площі кладовищ, що необхідно утримувати, до загальної площі кладовищ, що заплановано утримувати</t>
  </si>
  <si>
    <t>послуги по поточному ремонту та утриманню мереж зовнішнього освітлення</t>
  </si>
  <si>
    <t xml:space="preserve">освітлення міста </t>
  </si>
  <si>
    <t>акт інвентаризації</t>
  </si>
  <si>
    <t>обсяг споживання електроенергії на зовнішнє освітлення в рік</t>
  </si>
  <si>
    <t xml:space="preserve"> </t>
  </si>
  <si>
    <t>середні витрати на утримання об'єктів зовнішнього освітлення на 1 світлоточку</t>
  </si>
  <si>
    <t xml:space="preserve">середні витрати на споживання 1 кВт електроенергії </t>
  </si>
  <si>
    <t>виробнича програма</t>
  </si>
  <si>
    <t>регулювання чисельності тварин</t>
  </si>
  <si>
    <t>утримання бездоглядних тварин в притулку</t>
  </si>
  <si>
    <t>послуга збирання та зберігання небезпечних відходів для подальшої утилізації</t>
  </si>
  <si>
    <t>куб. м</t>
  </si>
  <si>
    <t xml:space="preserve">кількість небезпечних відходів, які планується зібрати </t>
  </si>
  <si>
    <t>т</t>
  </si>
  <si>
    <t>акт надання послуг</t>
  </si>
  <si>
    <t>середні витрати на регулювання чисельності тварин (на одиницю)</t>
  </si>
  <si>
    <t xml:space="preserve">середньомісячні витрати на утримання бездоглядних тварин в притулку </t>
  </si>
  <si>
    <t>середні витрати на збирання та зберігання 1 т небезпечних відходів для подальшої утилізації</t>
  </si>
  <si>
    <t xml:space="preserve">видатки на безпеку руху </t>
  </si>
  <si>
    <t>тис. кв. м</t>
  </si>
  <si>
    <t>кількість  світлофорних об'єктів, які  планується  утримувати</t>
  </si>
  <si>
    <t>об'єкт</t>
  </si>
  <si>
    <t>площа дорожньої розмітки, яку планується нанести</t>
  </si>
  <si>
    <t xml:space="preserve">грн. </t>
  </si>
  <si>
    <t xml:space="preserve">середня вартість  утримання 100 кв.м  вулиць, доріг  в весняно-літній  період  </t>
  </si>
  <si>
    <t>середня вартість 1 кв.м дорожньої розмітки</t>
  </si>
  <si>
    <t>тис. куб. м</t>
  </si>
  <si>
    <t>послуги з утримання дренажних насосних станцій вул. Саварчука, Вокзальній, пров. Зенітному</t>
  </si>
  <si>
    <t xml:space="preserve">оплата послуг МКП "Хмельницькводоканал" з очищення поверхневих стічних вод, які утворюються внаслідок випадання атмосферних опадів та потрапляють в господарсько-побутову каналізацію замість зливової </t>
  </si>
  <si>
    <t>кількість насосних станцій, що утримуються</t>
  </si>
  <si>
    <t>об'єм поверхневих стічних вод, що необхідно та планується очистити</t>
  </si>
  <si>
    <t>об'єм аварійних дерев, що потрібно та планується видалити</t>
  </si>
  <si>
    <t>лист-звернення</t>
  </si>
  <si>
    <t>середні витрати на видаленя 1 куб. м дерева</t>
  </si>
  <si>
    <t xml:space="preserve">обсяг видатків </t>
  </si>
  <si>
    <t xml:space="preserve">кількість працівників </t>
  </si>
  <si>
    <t>штатний розклад</t>
  </si>
  <si>
    <t>середньорічні витрати на заробітну плату 1 працівника</t>
  </si>
  <si>
    <t>середньорічні витрати на комунальні послуги на 1 працівника</t>
  </si>
  <si>
    <t>середньорічні витрати на придбання матеріалів, обладнання на 1 працівника</t>
  </si>
  <si>
    <t>затрат</t>
  </si>
  <si>
    <t>продукту</t>
  </si>
  <si>
    <t>ефективності</t>
  </si>
  <si>
    <t>якості</t>
  </si>
  <si>
    <t>ЗВІТ</t>
  </si>
  <si>
    <t>про виконання паспорта бюджетної програми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</si>
  <si>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</si>
  <si>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</si>
  <si>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</si>
  <si>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</si>
  <si>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</si>
  <si>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</si>
  <si>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</si>
  <si>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</si>
  <si>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Створення сприятливого для життєдіяльності людини довкілля, збереження і охорону навколишнього середовища, забезпечення санітарного благополуччя населення</t>
  </si>
  <si>
    <t>Забезпечення благоустрою кладовищ</t>
  </si>
  <si>
    <t>гривень</t>
  </si>
  <si>
    <t>Послуги по санітарному очищенню і прибирання міста</t>
  </si>
  <si>
    <t>Забезпечення утримання в належному технічному стані об’єктів дорожнього господарства</t>
  </si>
  <si>
    <t>Послуги з постачання та транспортування природного газу для факелу "Вічний вогонь"</t>
  </si>
  <si>
    <t>Проведення поточного ремонту та утримання об'єктів благоустрою</t>
  </si>
  <si>
    <t>Утримання в належному стані об’єктів, задіяних в прийомі поверхневого стоку в дощову каналізацію (очисних споруд, насосних станцій, відкритих колекторів)</t>
  </si>
  <si>
    <t>Послуги з утримання територій загального користування</t>
  </si>
  <si>
    <t>Результативні показники бюджетної програми та аналіз їх виконання</t>
  </si>
  <si>
    <t>Підвищення рівня благоустрою міста</t>
  </si>
  <si>
    <t>кількість обєктів малих архітектурних форм, що необхідно та планується ремонтувати та обслуговувати</t>
  </si>
  <si>
    <t>площа борщівника Сосновського, що необхідно та планується викошувати</t>
  </si>
  <si>
    <t>середні витрати на 1 га території, що обслуговується на рік</t>
  </si>
  <si>
    <t>середні витрати на 1 га площі викошування борщівника Сосновського</t>
  </si>
  <si>
    <t xml:space="preserve">питома вага обсягу території, що заплановано обслуговувати до обсягу, що необхідно обслуговувати  </t>
  </si>
  <si>
    <t xml:space="preserve">питома вага кількості МАФ, що заплановано ремонтувати та обслуговувати до кількості, що необхідно ремонтувати та обслуговувати </t>
  </si>
  <si>
    <t xml:space="preserve">питома вага площі викошування борщівника, що заплановано викосити до площі, що  необхідно викосити </t>
  </si>
  <si>
    <t xml:space="preserve">питома вага об'єму аварійних дерев, що заплановано видалити до об'єму дерев, що необхідно видалити </t>
  </si>
  <si>
    <t xml:space="preserve">кількість світлоточок, які знаходяться на утриманні та плануєтьтся утримувати, здійснювати поточний ремонт </t>
  </si>
  <si>
    <t>10. Узагальнений висновок про виконання бюджетної програми.</t>
  </si>
  <si>
    <t>кількість протоколів про адміністративні правопорушення, що планується скласти в поточному році</t>
  </si>
  <si>
    <t>кількість протоколів про адміністративні правопорушення, що планується скласти в поточному році на 1 працівника</t>
  </si>
  <si>
    <t>Касові видатки (надані кредити з бюджету)</t>
  </si>
  <si>
    <t xml:space="preserve"> продукту</t>
  </si>
  <si>
    <t xml:space="preserve"> якості</t>
  </si>
  <si>
    <t xml:space="preserve"> затрат</t>
  </si>
  <si>
    <t xml:space="preserve"> ефективності</t>
  </si>
  <si>
    <t>(найменування головного розпорядника )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</si>
  <si>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</si>
  <si>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</si>
  <si>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</si>
  <si>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(найменування відповідального виконавця)</t>
  </si>
  <si>
    <t>(найменування бюджетної програми згідно з Типовою програмною класифікацією видатків та кредитування місцевого бюджету)</t>
  </si>
  <si>
    <t>03356163</t>
  </si>
  <si>
    <t>(код за ЄДРПОУ)</t>
  </si>
  <si>
    <t>(код бюджету)</t>
  </si>
  <si>
    <t>Фактичні результативні показники, досягнуті за рахунок касових видатків (наданих кредитів з бюджету)</t>
  </si>
  <si>
    <t>8.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</si>
  <si>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</si>
  <si>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 xml:space="preserve">9. </t>
  </si>
  <si>
    <t>тис. кВт</t>
  </si>
  <si>
    <t>поточний ремонт малих архітектурних споруд - паркан на пров. Проїзному в м. Хмельницькому</t>
  </si>
  <si>
    <t xml:space="preserve">утримання бездоглядних тварин в притулку </t>
  </si>
  <si>
    <t xml:space="preserve">середня вартість  утримання 100 кв.м  вулиць, доріг  в осіньо - зимовий період  </t>
  </si>
  <si>
    <t xml:space="preserve">Пояснення: фактичне використання коштів згідно рахунків за спожиті послуги. </t>
  </si>
  <si>
    <t>Пояснення: фактичне використання коштів відповідно до актів виконаних робіт.</t>
  </si>
  <si>
    <t>Управління комунальної інфраструктури Хмельницької міської ради</t>
  </si>
  <si>
    <t>22564000000</t>
  </si>
  <si>
    <t>кількість природного газу, який постачається до факелу "Вічний вогонь"</t>
  </si>
  <si>
    <t xml:space="preserve">середні витрати 1 куб м природного газу, який постачається до факелу "Вічний вогонь" </t>
  </si>
  <si>
    <t>Програма утримання та розвитку житлово-комунального господарства та благоустрою Хмельницької міської територіальної громади  на 2017-2021 роки (зі змінами)</t>
  </si>
  <si>
    <t>Завдання 4. Послуги по санітарному очищенню і прибирання Хмельницької МТГ</t>
  </si>
  <si>
    <t>від 01 листопада 2022 року № 359)</t>
  </si>
  <si>
    <t>7.1. Аналіз розділу «Видатки (надані кредити з бюджету) та напрями використання бюджетних коштів за бюджетною програмою»</t>
  </si>
  <si>
    <t>видатки на  утримання вулично-шляхової (дорожньої) мережі</t>
  </si>
  <si>
    <t>Напрями використання бюджетних коштів*</t>
  </si>
  <si>
    <t>середні витрати на утримання 1 кв. м площі території</t>
  </si>
  <si>
    <t xml:space="preserve">тис. кв. м </t>
  </si>
  <si>
    <t>Завдання 3. Проведення поточного ремонту електричних мереж</t>
  </si>
  <si>
    <t>Збереження та утримання на належному рівні зеленої зони населеного пункту та поліпшення його екологічних умов</t>
  </si>
  <si>
    <t>Проведення поточного ремонту електричних мереж</t>
  </si>
  <si>
    <t xml:space="preserve">розчистка водовідвідних каналів по місту </t>
  </si>
  <si>
    <t>поточний ремонт зелених насаджень - знешкодження омели на території ХМТГ</t>
  </si>
  <si>
    <t>поточний ремонт зелених насаджень – видалення окремих засохлих та пошкоджених дерев і кущів на території ХМТГ</t>
  </si>
  <si>
    <t xml:space="preserve">послуги по поточному ремонту та утриманню парків і скверів, зелених насаджень, штучних споруд та малих архітектурних форм міста </t>
  </si>
  <si>
    <t>обсяг території, яку необхідно та планується обслуговувати (парки, сквери, квітники, зелені зони, прибережні смуги, тощо)</t>
  </si>
  <si>
    <t>кількість зелених насаджень, на яких необхідно та планується знешкодження омели</t>
  </si>
  <si>
    <t>питома вага кількості зелених насаджень, на яких заплановано здійснювати знешкодження омели до кількості, на яких необхідно здійснювати знешкодження омели</t>
  </si>
  <si>
    <t>обсяг видатків на забезпечення благоустрою кладовищ</t>
  </si>
  <si>
    <t>площа кладовищ, що необхідно та планується утримувати</t>
  </si>
  <si>
    <t>середні витрати утримання 1 га кладовища на рік</t>
  </si>
  <si>
    <t xml:space="preserve">Заступник директора департаменту інфраструктури міста – начальник управління комунальної інфраструктури </t>
  </si>
  <si>
    <t>обсяг видатків на придбання світильників LED</t>
  </si>
  <si>
    <t>кількість світильників LED, які планується придбати</t>
  </si>
  <si>
    <t>середні витрати на придбання 1 світильника LED</t>
  </si>
  <si>
    <t>темп зростання витрат на зовнішнє освітлення міста порівняно з попереднім періодом</t>
  </si>
  <si>
    <t>обсяг видатків (в т.ч. оплата за послуги з постачання та розподілу природного газу для факелу "Вічний вогонь")</t>
  </si>
  <si>
    <t>темп зростання витрат на природний газ, який постачається до факелу "Вічний вогонь" порівняно з попереднім роком</t>
  </si>
  <si>
    <t>рази/ відс.</t>
  </si>
  <si>
    <t>поточний ремонт пам’ятників на території ХМТГ</t>
  </si>
  <si>
    <t>поточний ремонт контейнерних майданчиків на території ХМТГ</t>
  </si>
  <si>
    <t>об'єм водовідвідних каналів, які планується розчистити</t>
  </si>
  <si>
    <t xml:space="preserve">відомість обсягів робіт </t>
  </si>
  <si>
    <t>площа стихійних сміттєзвалищ, яку планується ліквідовувати</t>
  </si>
  <si>
    <t>кількість пам'ятників, які планується відремонтувати</t>
  </si>
  <si>
    <t>кількість контейнерних майданчиків, які планується відремонтувати</t>
  </si>
  <si>
    <t>додаток до договору</t>
  </si>
  <si>
    <t>середні витрати на розчистку 1 куб. м водовідвідних каналів</t>
  </si>
  <si>
    <t xml:space="preserve">середні витрати на ліквідацію 1 кв. м площі стихійних сміттєзвалищ </t>
  </si>
  <si>
    <t>витрати на поточний ремонт зелених насаджень в поймі р. Південний Буг</t>
  </si>
  <si>
    <t>середні витрати на поточний ремонт 1 пам’ятника на території ХМТГ</t>
  </si>
  <si>
    <t>середні витрати на поточний ремонт 1 контейнерного майданчика</t>
  </si>
  <si>
    <t>площа території, яку планується утримувати (косіння трави в місцях загального користування)</t>
  </si>
  <si>
    <t>протяжність території, яку планується утримувати (систематичне очищення вулично-шляхової мережі від снігу, обробка фрикційними та іншими протиожеледними матеріалами)</t>
  </si>
  <si>
    <t>питома вага площі територій, що заплановано утримувати до площі території, що необхідно утримувати</t>
  </si>
  <si>
    <t>од., куб. м</t>
  </si>
  <si>
    <t>пропозиції відділу з благоустрою</t>
  </si>
  <si>
    <t>Пояснення: використання коштів відповідно до фактичного обсягу виконаних робіт та економією коштів по деяких видах робіт.</t>
  </si>
  <si>
    <t xml:space="preserve">Пояснення: не повне освоєння коштів по виконанню послуги збирання та зберігання небезпечних відходів для подальшої утилізації через ненакопиченням відпрацьованих ламп для повного навантаження екобусу не здійснено виїзд до м. Львова з метою їх утилізації. </t>
  </si>
  <si>
    <t>Пояснення: освоєння коштів відповідно до фактичного обсягу випадених атмосферних опадів.</t>
  </si>
  <si>
    <t>Пояснення: економія коштів.</t>
  </si>
  <si>
    <t>Пояснення:  розбіжності відсутні.</t>
  </si>
  <si>
    <t>обсяг видатків на організацію та проведення поховання загиблих та померлих військовослужбовців внаслідок російсько-української війни</t>
  </si>
  <si>
    <t>витрати на поховання 1 військовослужбовця</t>
  </si>
  <si>
    <t>обсяг видатків на облаштування освітлення зупинок</t>
  </si>
  <si>
    <t>кількість зупинок, на яких планується облаштувати освітлення</t>
  </si>
  <si>
    <t>середні витрати на облаштування освітлення на 1 зупинці</t>
  </si>
  <si>
    <t>темп зниження витрат на поточний ремонт та утриманню мереж зовнішнього освітлення порівняно з попереднім періодом</t>
  </si>
  <si>
    <t>темп зниження середньомісячної суми утримання бездоглядних тварин в притулку порівняно з попереднім періодом</t>
  </si>
  <si>
    <t>темп зниження витрат на послугу з поточного утримання ланки із збирання небезпечних відходів у складі побутових порівняно з попереднім періодом</t>
  </si>
  <si>
    <t>темп зростання/ зниження середньої  вартості ліквідації дрібних деформацій і пошкоджень 1 кв.м. вулично-шляхової (дорожньої) мережі в порівнянні з попереднім періодом</t>
  </si>
  <si>
    <t>поточний ремонт - заміну пошкоджених плит на сходах з улаштуванням похилої (пандусу) на вході у підземний перехід на вул. Кам'янецькій, 21/1 А (вихід до ТЦ "Магніт")</t>
  </si>
  <si>
    <t>кількість об'єктів, які планується відремонтувати</t>
  </si>
  <si>
    <t>Завдання 10. Забезпечення діяльності комунального підприємства "Муніципальна дружина"</t>
  </si>
  <si>
    <t>Завдання 11.  Проведення поточного ремонту вулично-дорожньої мережі</t>
  </si>
  <si>
    <t>Проведення поточного ремонту вулично-дорожньої мережі</t>
  </si>
  <si>
    <t>Завдання 11. Проведення поточного ремонту вулично-дорожньої мережі</t>
  </si>
  <si>
    <t>Програма забезпечення контролю за благоустроєм, санітарним станом та стихійною торгівлею на території Хмельницької міської територіальної громади на 2023 - 2024 роки</t>
  </si>
  <si>
    <t>тис. кв.м</t>
  </si>
  <si>
    <t xml:space="preserve">обсяг видатків на виконання робіт з ремонту об’єктів благоустрою (вулично-дорожня мережа), в т. ч.: </t>
  </si>
  <si>
    <t>обсяг видатків на послуги з благоустрою - поточний ремонт дорожнього покриття струменевим методом у м. Хмельницькому</t>
  </si>
  <si>
    <t xml:space="preserve">обсяг видатків на послуги з благоустрою - поточний ремонт дорожнього покриття населених населених пунктів Хмельницької ТГ </t>
  </si>
  <si>
    <t>площа дорожнього покриття, на якій планується здійснювати поточний ремонт струменевим методом</t>
  </si>
  <si>
    <t xml:space="preserve">площа дорожнього покриття на якій планується здійснювати поточний ремонт </t>
  </si>
  <si>
    <t>середні витрати на поточний ремонт  1 кв. м дорожнього покриття (вибоїн струменевим методом)</t>
  </si>
  <si>
    <t>середні витрати на поточний ремонт  1 кв. м дорожнього покриття</t>
  </si>
  <si>
    <t>питома вага площі дорожнього покриття, що заплановано відремонтувати до загальної  площі вулично-дорожньої мережі</t>
  </si>
  <si>
    <t>додаток до титульного списку</t>
  </si>
  <si>
    <t xml:space="preserve">Пояснення: п. 1 економія коштів по виплаті заробітної плати в зв'язку з тим, що 1 працівник підприємства несе службу в ЗСУ.  </t>
  </si>
  <si>
    <t>місцевого бюджету на 01.01.2025 року</t>
  </si>
  <si>
    <t xml:space="preserve">видатки на утримання та ремонт 1 дренажної станції </t>
  </si>
  <si>
    <t>постанова НКРЕКП від 22.12.2021 р. № 2864, 28.05.2024 № 1015</t>
  </si>
  <si>
    <t>Пояснення: в зв'язку з збільшенням обсягу виконаних робіт.</t>
  </si>
  <si>
    <t>в зв'язку з підвищенням вартості електроенергії (згідно додаткової угоди)</t>
  </si>
  <si>
    <t>Пояснення: п. 1 зросла кількість світлоточок згідно проведеної інвентарізації та затвердженої загальної інвентарної відомості , п. 2 зменшення обсягу споживання електроенергії у зв'язку з черговими відключеннями електроенергії.</t>
  </si>
  <si>
    <t>Пояснення: п. 1 середні витрати змінились у зв'язку із збільшенням кількості світлоточок згідно затвердженої інвентарної відомості, п. 2 середні витрати відрізняються в зв'язку з підвищенням вартості електроенергії, п. 5 за рахунок економії коштів.</t>
  </si>
  <si>
    <t>Пояснення: п. 2, 3 фактичне використання коштів відповідно до актів виконаних робіт, економія коштів.</t>
  </si>
  <si>
    <t>Пояснення: п. 1 за рахунок зменшення вартості виконаних робіт виникла економія коштів</t>
  </si>
  <si>
    <t>Пояснення: за рахунок економії коштів виконано більший обсяг робіт.</t>
  </si>
  <si>
    <t xml:space="preserve">Пояснення: зміни у витратах в зв'язку з економією коштів. </t>
  </si>
  <si>
    <t>Виконання бюджетної програми становить 99,2 % до затверджених призначень в 2024 р.</t>
  </si>
  <si>
    <t>Пояснення: 1)  п. 2-5  виникла економія коштів.</t>
  </si>
  <si>
    <t>Пояснення: п. розбіжності відсутні</t>
  </si>
  <si>
    <r>
      <t>Пояснення: п. 2-7 по факту виконаних робіт виникла економія кошті</t>
    </r>
    <r>
      <rPr>
        <sz val="12"/>
        <rFont val="Times New Roman"/>
        <family val="1"/>
        <charset val="204"/>
      </rPr>
      <t>в.</t>
    </r>
  </si>
  <si>
    <t xml:space="preserve">Пояснення: п. 1 економія коштів, п. 2 освоєння коштів відповідно до фактичного обсягу випадених атмосферних опадів  </t>
  </si>
  <si>
    <t xml:space="preserve">Пояснення:  роботи виконані,  економія коштів по виплаті заробітної плати в зв'язку з тим, що 1 працівник підприємства несе службу в ЗСУ.  </t>
  </si>
  <si>
    <t>Пояснення: недоосвоєння коштів пов'язане з зменшенням витрат на зимове прибирання територій в місцях загального користування.</t>
  </si>
  <si>
    <t>Пояснення: п. 1 фактичні об'єми розчистки водовідвідних каналів, п. 2 фактична площа засміченої території,  п. 5 за результатами додаткового обстеження виникла необхідність замість 2 контейнерних майданчиків відремонтувати 3 од.</t>
  </si>
  <si>
    <t>витрати на поточний ремонт 1 об'єкту</t>
  </si>
  <si>
    <t>Пояснення: п. 3 фактична площа викошування борщівника Сосновського, що необхідно та планується викошувати п. 4 фактична кількість зелених насаджень, на яких здійснювалося знешкодження омели відповідно до актів виконаних робіт,  п. 5 фактичний обсяг видалених аварійних дерев (також здійснювалося видалення самосіву) відповідно до актів виконаних робіт.</t>
  </si>
  <si>
    <t xml:space="preserve">Пояснення: п. 1 - середні витрати змінилися відповідно до фактичного використання коштів, 2 - замовники відмовлялися від певних послуг, що вплинуло на зменшення витрат. </t>
  </si>
  <si>
    <t>Пояснення: п. 1  фактично виконано дешевше роботи з обробки території протиожеледними матеріалами.</t>
  </si>
  <si>
    <t>тис. м, тис. кв. м</t>
  </si>
  <si>
    <t xml:space="preserve">Аналіз стану виконання результативних показників: в зв'язку з недоосвоєнням коштів по завданнях, результативні показники виконані в не повному обсязі.  </t>
  </si>
  <si>
    <t>Пояснення: фактична кількість тварин, які утримувалися в притулку, п. 3 фактична кількість небезпечних відходів, які було зібрано у населення (збільшення обсягів зданих відпрацьованих батарейок, електричного та електронного обладнання).</t>
  </si>
  <si>
    <t>Пояснення: п. 1 зміни показника в зв'язку з фактичними витратами на утримання бездоглядних тварин, п. 2 зміни показника в зв'язку з не повним освоєнням коштів за рахунок зменшення витрат на роботу екобусу.</t>
  </si>
  <si>
    <t>Пояснення: економія коштів по виконанню робіт з обробки території протиожеледними матеріалами.</t>
  </si>
  <si>
    <t>Завдання 10. Виконання заходів щодо здійснення контролю за станом благоустрою на території ХМТГ</t>
  </si>
  <si>
    <t>Виконання заходів щодо здійснення контролю за станом благоустрою на території ХМТГ</t>
  </si>
  <si>
    <t xml:space="preserve">Пояснення: п. 2  економія коштів по виплаті заробітної плати в зв'язку з тим, що 1 працівник підприємства несе службу в ЗСУ; п. 3 економія коштів по оплаті комунальних послуг; п. 4 збільшення витрат оскільки здійснювалося придбання форменного одягу. </t>
  </si>
  <si>
    <t xml:space="preserve">Пояснення: п.1 фактичні обсяги виконаних робіт відповідно до актів, п.2 зменшення обсягів робіт з утримання вулично-дорожньої мережі в зимовий період (посипання, очистка доріг від снігу), п. 4  за рахунок нанесення знаків та осьових (повздовжніх) ліній, що займають більшу площу, ніж поперечна розмітка. </t>
  </si>
  <si>
    <t xml:space="preserve">Пояснення: п. 2. в зв'язку з меншим пробігом автомобіля по відлову бездоглядних тварин, виникла економія коштів,  п. 3 фактичні витрати на придбання кормів для бездоглядних  тварин в притулку, п. 4 в зв'язку з ненакопиченням відпрацьованих ламп, термометрів для повного навантаження екобусу не здійснено виїзд до м. Львова з метою їх утилізації, що  вплинуло на не повне освоєння коштів. </t>
  </si>
  <si>
    <t>динаміка кількості протоколів про адміністративні правопорушення, що планується скласти в поточному році до кількості складених протоколів про адміністративні правопорушення порівняно з попереднім роком</t>
  </si>
  <si>
    <t xml:space="preserve">Пояснення: п. 1  середні витрати відрізняються від запланованих в зв'язку із економією коштів по пробігу автомобіля, п. 2 в зв'язку з фактичними витратами на утримання бездоглядних тварин в притулку,  п. 3 середні витрати відрізняються від запланованих в в зв'язку з не повним освоєнням коштів за рахунок зменшення витрат на роботу екобусу. </t>
  </si>
  <si>
    <t>Пояснення: п. 1 в зв'язку з економією коштів.</t>
  </si>
  <si>
    <t xml:space="preserve">Пояснення: п. 2 фактичний обсяг випадених атмосферних опадів. </t>
  </si>
  <si>
    <t>Пояснення: п. 1 середня вартість поточного ремонту 1 кв.м вулично-дорожньої мережі змінилась в звя'зку із збільшенням обсягів робіт суцільним методом, що є дешевшим за ямковий ремонт, п. 2, 3 середня вартість утримання 100 кв. м вулиць, доріг в осіньо - зимовий / весняно-літній періоди за рахунок збільшення витрат машин та механізмів, п. 4 середня вартість утримання 1 світлофорного об'єкту змінилась в зв'язку з обаднанням світлофорних об'єктів безперебійними блоками живлення та заміною існуючих акумуляторів, п. 5 за рахунок нанесення різного виду розмітки.</t>
  </si>
  <si>
    <t>Пояснення: п. 1 - економія коштв,  п. 2 - зменшилися витрати в зв'язку з тим, що не здійснювалася робота фонтанів, п. 3 - фактичні витрати на викошування борщівника Сосновського,  п. 4 фактичні витрати на знешкодження омели 1 зеленого насадження, п. 5 зросли витрати оскільки крім видалення аварійних дерев, здійснювалося також видалення самосіву.</t>
  </si>
  <si>
    <t>темп зниження середньої вартості утримання 1 кв. м  вулиць, доріг  в осінньо-зимовий період в порівнянні з попереднім роком</t>
  </si>
  <si>
    <t>темп зниження/ зростання середньої  вартості утримання  1 кв. м  вулиць, доріг в весняно-літній  період  в порівнянні з попереднім роком</t>
  </si>
  <si>
    <t>темп зниження/ зростання середньої вартості  утримання світлофорних об'єктів в порівнянні з попереднім роком</t>
  </si>
  <si>
    <t>темп зростання/ зниження середньої вартості нанесення дорожньої розмітки в порівнянні з попереднім роком</t>
  </si>
  <si>
    <t>темп зниження середньої вартості заготівлі 1 т протиожеледних матеріалів в порівнянні з попереднім роком</t>
  </si>
  <si>
    <t>Пояснення: п. 1-6 показники якості відрізняються від затверджених за рахунок змін в середніх витратах.</t>
  </si>
  <si>
    <t>Пояснення: в зв'язку з збільшення кількості складених протоколів про адмінпорушення.</t>
  </si>
  <si>
    <t xml:space="preserve">Пояснення: фактична кількість складених протоколів про адмінпорушення. </t>
  </si>
  <si>
    <t>Пояснення: п. 3 в зв'язку з  фактичним виконанням робіт, п. 4 зміни показника в зв'язку з виконанням більшого обсягу робіт, 5 зміни показника в зв'язку з виконанням меншого обсягу робіт.</t>
  </si>
  <si>
    <t>Пояснення: п. 3, 5 фактичне використання коштів відповідно до актів виконаних робіт, економія коштів.</t>
  </si>
  <si>
    <t>Пояснення:  п. 2 зміни за рахунок фактичних витрат на утримання об'єктів зовнішнього освітлення.</t>
  </si>
  <si>
    <t>Пояснення:  п. 3, 4, 6 економія коштів п. 1, 5 відповідно до фактичного виконання робіт.</t>
  </si>
  <si>
    <t>Пояснення:  п.1 зменшення видатків за рахунок виконання меншого обсягу робіт з утримання вулично-дорожньої мережі в зимовий період (посипання, очистка доріг від снігу) в зв'язку з меншою кількістю опадів та економія коштів по інших роботах, п. 2 економія коштів за рахунок безкоштовної передачі від постачальника програмного забезпечення для роботи світлофорних об'єктів, п. 3 економія коштів.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</si>
</sst>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#,##0.000"/>
    <numFmt numFmtId="173" formatCode="#,##0.0"/>
    <numFmt numFmtId="174" formatCode="0.0"/>
    <numFmt numFmtId="175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color indexed="36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1" fillId="0" borderId="0"/>
    <xf numFmtId="0" fontId="6" fillId="0" borderId="0">
      <alignment horizontal="left"/>
    </xf>
    <xf numFmtId="0" fontId="6" fillId="0" borderId="0">
      <alignment horizontal="left"/>
    </xf>
    <xf numFmtId="0" fontId="2" fillId="0" borderId="0"/>
  </cellStyleXfs>
  <cellXfs count="523">
    <xf numFmtId="0" fontId="0" fillId="0" borderId="0" xfId="0"/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left" vertical="center" wrapText="1"/>
    </xf>
    <xf numFmtId="0" fontId="3" fillId="0" borderId="3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3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1" fillId="0" borderId="0" xfId="0" applyFont="1" applyFill="1"/>
    <xf numFmtId="0" fontId="11" fillId="0" borderId="5" xfId="0" applyFont="1" applyFill="1" applyBorder="1"/>
    <xf numFmtId="0" fontId="11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/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3" fillId="0" borderId="0" xfId="3" applyFont="1" applyFill="1" applyAlignment="1"/>
    <xf numFmtId="0" fontId="11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left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0" xfId="0" applyFont="1" applyFill="1"/>
    <xf numFmtId="0" fontId="3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2" fontId="10" fillId="0" borderId="1" xfId="0" applyNumberFormat="1" applyFont="1" applyFill="1" applyBorder="1" applyAlignment="1">
      <alignment horizontal="center" vertical="center"/>
    </xf>
    <xf numFmtId="174" fontId="10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0" xfId="4" applyFont="1" applyAlignment="1"/>
    <xf numFmtId="0" fontId="5" fillId="0" borderId="0" xfId="0" applyFont="1" applyAlignment="1">
      <alignment horizontal="left"/>
    </xf>
    <xf numFmtId="0" fontId="8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9" fillId="0" borderId="0" xfId="0" applyFont="1" applyAlignment="1"/>
    <xf numFmtId="0" fontId="8" fillId="0" borderId="0" xfId="0" applyFont="1" applyAlignment="1">
      <alignment horizontal="center"/>
    </xf>
    <xf numFmtId="0" fontId="3" fillId="0" borderId="0" xfId="4" applyFont="1" applyFill="1" applyBorder="1" applyAlignment="1" applyProtection="1">
      <alignment horizontal="left" wrapText="1"/>
    </xf>
    <xf numFmtId="0" fontId="3" fillId="0" borderId="0" xfId="4" applyFont="1" applyFill="1" applyBorder="1" applyAlignment="1" applyProtection="1">
      <alignment wrapText="1"/>
    </xf>
    <xf numFmtId="0" fontId="3" fillId="0" borderId="1" xfId="3" applyFont="1" applyBorder="1" applyAlignment="1">
      <alignment horizontal="center" vertical="center" wrapText="1"/>
    </xf>
    <xf numFmtId="0" fontId="3" fillId="0" borderId="0" xfId="3" applyFont="1" applyAlignment="1">
      <alignment horizontal="center"/>
    </xf>
    <xf numFmtId="0" fontId="3" fillId="0" borderId="0" xfId="4" applyFont="1"/>
    <xf numFmtId="0" fontId="8" fillId="0" borderId="0" xfId="0" applyFont="1" applyBorder="1"/>
    <xf numFmtId="0" fontId="3" fillId="0" borderId="5" xfId="4" applyFont="1" applyBorder="1"/>
    <xf numFmtId="0" fontId="8" fillId="0" borderId="5" xfId="0" applyFont="1" applyBorder="1"/>
    <xf numFmtId="0" fontId="3" fillId="0" borderId="0" xfId="3" applyFont="1" applyAlignment="1"/>
    <xf numFmtId="0" fontId="2" fillId="0" borderId="0" xfId="4"/>
    <xf numFmtId="0" fontId="0" fillId="0" borderId="0" xfId="0" applyAlignment="1">
      <alignment horizontal="left"/>
    </xf>
    <xf numFmtId="0" fontId="3" fillId="0" borderId="0" xfId="3" applyFont="1" applyBorder="1" applyAlignment="1">
      <alignment horizontal="center" vertical="center" wrapText="1"/>
    </xf>
    <xf numFmtId="0" fontId="8" fillId="0" borderId="0" xfId="0" applyFont="1" applyBorder="1" applyAlignment="1"/>
    <xf numFmtId="0" fontId="10" fillId="0" borderId="0" xfId="0" applyFont="1"/>
    <xf numFmtId="0" fontId="3" fillId="0" borderId="0" xfId="3" applyFont="1" applyBorder="1" applyAlignment="1">
      <alignment vertical="center" wrapText="1"/>
    </xf>
    <xf numFmtId="0" fontId="0" fillId="0" borderId="0" xfId="0" applyBorder="1" applyAlignment="1">
      <alignment horizontal="left"/>
    </xf>
    <xf numFmtId="0" fontId="3" fillId="0" borderId="0" xfId="3" applyFont="1" applyBorder="1" applyAlignment="1"/>
    <xf numFmtId="0" fontId="9" fillId="0" borderId="6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/>
    </xf>
    <xf numFmtId="0" fontId="3" fillId="0" borderId="0" xfId="2" applyFont="1" applyAlignment="1"/>
    <xf numFmtId="0" fontId="10" fillId="0" borderId="1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1" fillId="0" borderId="6" xfId="0" applyFont="1" applyFill="1" applyBorder="1" applyAlignment="1"/>
    <xf numFmtId="0" fontId="3" fillId="0" borderId="0" xfId="4" applyFont="1" applyFill="1" applyBorder="1" applyAlignment="1">
      <alignment vertical="top"/>
    </xf>
    <xf numFmtId="0" fontId="11" fillId="0" borderId="0" xfId="0" applyFont="1" applyFill="1" applyBorder="1" applyAlignment="1"/>
    <xf numFmtId="0" fontId="10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3" fillId="2" borderId="3" xfId="0" applyFont="1" applyFill="1" applyBorder="1" applyAlignment="1">
      <alignment horizontal="center" vertical="center" wrapText="1"/>
    </xf>
    <xf numFmtId="0" fontId="11" fillId="2" borderId="0" xfId="0" applyFont="1" applyFill="1"/>
    <xf numFmtId="2" fontId="10" fillId="2" borderId="1" xfId="0" applyNumberFormat="1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3" fillId="0" borderId="1" xfId="3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2" fontId="3" fillId="3" borderId="1" xfId="3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3" fillId="0" borderId="0" xfId="2" applyFont="1" applyFill="1" applyAlignment="1"/>
    <xf numFmtId="0" fontId="3" fillId="0" borderId="1" xfId="3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Border="1" applyAlignment="1">
      <alignment horizontal="center" vertical="top"/>
    </xf>
    <xf numFmtId="0" fontId="5" fillId="0" borderId="0" xfId="0" applyFont="1" applyFill="1" applyBorder="1" applyAlignment="1">
      <alignment horizontal="center"/>
    </xf>
    <xf numFmtId="0" fontId="3" fillId="3" borderId="1" xfId="3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1" fontId="3" fillId="2" borderId="1" xfId="3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/>
    <xf numFmtId="173" fontId="10" fillId="0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0" fontId="3" fillId="0" borderId="5" xfId="4" applyFont="1" applyBorder="1" applyAlignment="1"/>
    <xf numFmtId="0" fontId="3" fillId="0" borderId="2" xfId="1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3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shrinkToFit="1"/>
    </xf>
    <xf numFmtId="4" fontId="11" fillId="0" borderId="0" xfId="0" applyNumberFormat="1" applyFont="1" applyFill="1" applyBorder="1"/>
    <xf numFmtId="2" fontId="11" fillId="0" borderId="0" xfId="0" applyNumberFormat="1" applyFont="1" applyFill="1" applyBorder="1"/>
    <xf numFmtId="4" fontId="10" fillId="0" borderId="0" xfId="0" applyNumberFormat="1" applyFont="1" applyBorder="1" applyAlignment="1">
      <alignment vertical="center" wrapText="1"/>
    </xf>
    <xf numFmtId="4" fontId="10" fillId="2" borderId="0" xfId="0" applyNumberFormat="1" applyFont="1" applyFill="1" applyBorder="1" applyAlignment="1">
      <alignment vertical="center" wrapText="1"/>
    </xf>
    <xf numFmtId="174" fontId="22" fillId="0" borderId="0" xfId="0" applyNumberFormat="1" applyFont="1" applyFill="1" applyBorder="1"/>
    <xf numFmtId="174" fontId="11" fillId="0" borderId="0" xfId="0" applyNumberFormat="1" applyFont="1" applyFill="1" applyBorder="1"/>
    <xf numFmtId="0" fontId="22" fillId="0" borderId="0" xfId="0" applyFont="1" applyFill="1" applyBorder="1"/>
    <xf numFmtId="1" fontId="3" fillId="0" borderId="0" xfId="3" applyNumberFormat="1" applyFont="1" applyFill="1" applyBorder="1" applyAlignment="1">
      <alignment vertical="center" wrapText="1"/>
    </xf>
    <xf numFmtId="4" fontId="3" fillId="2" borderId="0" xfId="3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vertical="center" wrapText="1"/>
    </xf>
    <xf numFmtId="2" fontId="22" fillId="0" borderId="0" xfId="0" applyNumberFormat="1" applyFont="1" applyFill="1" applyBorder="1"/>
    <xf numFmtId="2" fontId="3" fillId="0" borderId="0" xfId="0" applyNumberFormat="1" applyFont="1" applyFill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9" fillId="0" borderId="0" xfId="3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3" xfId="3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5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175" fontId="3" fillId="0" borderId="1" xfId="3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3" fillId="2" borderId="0" xfId="3" applyFont="1" applyFill="1" applyBorder="1" applyAlignment="1">
      <alignment vertical="center" wrapText="1"/>
    </xf>
    <xf numFmtId="0" fontId="3" fillId="0" borderId="0" xfId="3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10" fillId="0" borderId="0" xfId="0" applyFont="1" applyAlignment="1">
      <alignment horizontal="left" wrapText="1"/>
    </xf>
    <xf numFmtId="0" fontId="0" fillId="2" borderId="3" xfId="0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17" fillId="0" borderId="3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8" fillId="0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4" fontId="3" fillId="4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/>
    </xf>
    <xf numFmtId="1" fontId="3" fillId="3" borderId="1" xfId="3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175" fontId="3" fillId="2" borderId="1" xfId="0" applyNumberFormat="1" applyFont="1" applyFill="1" applyBorder="1" applyAlignment="1">
      <alignment horizontal="center" vertical="center"/>
    </xf>
    <xf numFmtId="4" fontId="3" fillId="0" borderId="1" xfId="3" applyNumberFormat="1" applyFont="1" applyFill="1" applyBorder="1" applyAlignment="1">
      <alignment horizontal="center" vertical="center" wrapText="1"/>
    </xf>
    <xf numFmtId="4" fontId="3" fillId="4" borderId="0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vertical="center" shrinkToFit="1"/>
    </xf>
    <xf numFmtId="4" fontId="3" fillId="4" borderId="1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2" fontId="3" fillId="4" borderId="0" xfId="0" applyNumberFormat="1" applyFont="1" applyFill="1" applyBorder="1" applyAlignment="1">
      <alignment vertical="center" wrapText="1"/>
    </xf>
    <xf numFmtId="3" fontId="3" fillId="2" borderId="0" xfId="3" applyNumberFormat="1" applyFont="1" applyFill="1" applyBorder="1" applyAlignment="1">
      <alignment vertical="center" wrapText="1"/>
    </xf>
    <xf numFmtId="2" fontId="3" fillId="4" borderId="0" xfId="3" applyNumberFormat="1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1" fontId="3" fillId="4" borderId="1" xfId="3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 shrinkToFit="1"/>
    </xf>
    <xf numFmtId="1" fontId="3" fillId="4" borderId="1" xfId="0" applyNumberFormat="1" applyFont="1" applyFill="1" applyBorder="1" applyAlignment="1">
      <alignment horizontal="center" vertical="center" wrapText="1"/>
    </xf>
    <xf numFmtId="174" fontId="8" fillId="0" borderId="1" xfId="0" applyNumberFormat="1" applyFont="1" applyFill="1" applyBorder="1" applyAlignment="1">
      <alignment horizontal="center" vertical="center"/>
    </xf>
    <xf numFmtId="175" fontId="8" fillId="0" borderId="0" xfId="0" applyNumberFormat="1" applyFont="1" applyFill="1" applyBorder="1"/>
    <xf numFmtId="173" fontId="3" fillId="0" borderId="2" xfId="0" applyNumberFormat="1" applyFont="1" applyFill="1" applyBorder="1" applyAlignment="1">
      <alignment horizontal="center" vertical="center" wrapText="1"/>
    </xf>
    <xf numFmtId="173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2" fontId="10" fillId="0" borderId="2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173" fontId="10" fillId="0" borderId="2" xfId="0" applyNumberFormat="1" applyFont="1" applyFill="1" applyBorder="1" applyAlignment="1">
      <alignment horizontal="center" vertical="center"/>
    </xf>
    <xf numFmtId="173" fontId="10" fillId="0" borderId="4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3" fillId="4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8" fillId="0" borderId="0" xfId="0" applyFont="1" applyFill="1" applyAlignment="1">
      <alignment wrapText="1"/>
    </xf>
    <xf numFmtId="0" fontId="10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9" fillId="0" borderId="1" xfId="3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9" fillId="2" borderId="2" xfId="3" applyFont="1" applyFill="1" applyBorder="1" applyAlignment="1">
      <alignment horizontal="left" vertical="center" wrapText="1"/>
    </xf>
    <xf numFmtId="0" fontId="9" fillId="2" borderId="3" xfId="3" applyFont="1" applyFill="1" applyBorder="1" applyAlignment="1">
      <alignment horizontal="left" vertical="center" wrapText="1"/>
    </xf>
    <xf numFmtId="0" fontId="9" fillId="2" borderId="4" xfId="3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4" fontId="3" fillId="0" borderId="2" xfId="3" applyNumberFormat="1" applyFont="1" applyFill="1" applyBorder="1" applyAlignment="1">
      <alignment horizontal="center" vertical="center" wrapText="1"/>
    </xf>
    <xf numFmtId="4" fontId="3" fillId="0" borderId="4" xfId="3" applyNumberFormat="1" applyFont="1" applyFill="1" applyBorder="1" applyAlignment="1">
      <alignment horizontal="center" vertical="center" wrapText="1"/>
    </xf>
    <xf numFmtId="3" fontId="3" fillId="2" borderId="2" xfId="3" applyNumberFormat="1" applyFont="1" applyFill="1" applyBorder="1" applyAlignment="1">
      <alignment horizontal="center" vertical="center" wrapText="1"/>
    </xf>
    <xf numFmtId="3" fontId="3" fillId="2" borderId="4" xfId="3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4" xfId="3" applyFont="1" applyBorder="1" applyAlignment="1">
      <alignment vertical="center" wrapText="1"/>
    </xf>
    <xf numFmtId="0" fontId="9" fillId="0" borderId="1" xfId="3" applyFont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shrinkToFit="1"/>
    </xf>
    <xf numFmtId="4" fontId="11" fillId="0" borderId="1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2" xfId="3" applyFont="1" applyFill="1" applyBorder="1" applyAlignment="1">
      <alignment vertical="center" wrapText="1"/>
    </xf>
    <xf numFmtId="0" fontId="3" fillId="0" borderId="3" xfId="3" applyFont="1" applyFill="1" applyBorder="1" applyAlignment="1">
      <alignment vertical="center" wrapText="1"/>
    </xf>
    <xf numFmtId="0" fontId="3" fillId="0" borderId="4" xfId="3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74" fontId="3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left"/>
    </xf>
    <xf numFmtId="2" fontId="3" fillId="4" borderId="2" xfId="3" applyNumberFormat="1" applyFont="1" applyFill="1" applyBorder="1" applyAlignment="1">
      <alignment horizontal="center" vertical="center" wrapText="1"/>
    </xf>
    <xf numFmtId="2" fontId="3" fillId="4" borderId="4" xfId="3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174" fontId="10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2" xfId="3" applyFont="1" applyFill="1" applyBorder="1" applyAlignment="1">
      <alignment horizontal="left" vertical="center" wrapText="1"/>
    </xf>
    <xf numFmtId="0" fontId="3" fillId="0" borderId="3" xfId="3" applyFont="1" applyFill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left" vertical="center" wrapText="1"/>
    </xf>
    <xf numFmtId="0" fontId="3" fillId="2" borderId="3" xfId="3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2" xfId="3" applyFont="1" applyBorder="1" applyAlignment="1">
      <alignment vertical="center" wrapText="1"/>
    </xf>
    <xf numFmtId="0" fontId="3" fillId="0" borderId="3" xfId="3" applyFont="1" applyBorder="1" applyAlignment="1">
      <alignment vertical="center" wrapText="1"/>
    </xf>
    <xf numFmtId="0" fontId="3" fillId="0" borderId="4" xfId="3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3" fontId="3" fillId="2" borderId="1" xfId="3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8" xfId="3" applyFont="1" applyBorder="1" applyAlignment="1">
      <alignment vertical="center" wrapText="1"/>
    </xf>
    <xf numFmtId="0" fontId="3" fillId="0" borderId="5" xfId="3" applyFont="1" applyBorder="1" applyAlignment="1">
      <alignment vertical="center" wrapText="1"/>
    </xf>
    <xf numFmtId="0" fontId="3" fillId="0" borderId="7" xfId="3" applyFont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left" vertical="center" wrapText="1"/>
    </xf>
    <xf numFmtId="0" fontId="9" fillId="0" borderId="3" xfId="3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/>
    </xf>
    <xf numFmtId="0" fontId="9" fillId="0" borderId="2" xfId="3" applyFont="1" applyFill="1" applyBorder="1" applyAlignment="1">
      <alignment vertical="center" wrapText="1"/>
    </xf>
    <xf numFmtId="0" fontId="9" fillId="0" borderId="3" xfId="3" applyFont="1" applyFill="1" applyBorder="1" applyAlignment="1">
      <alignment vertical="center" wrapText="1"/>
    </xf>
    <xf numFmtId="0" fontId="9" fillId="0" borderId="4" xfId="3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/>
    </xf>
    <xf numFmtId="4" fontId="3" fillId="0" borderId="1" xfId="3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9" fillId="4" borderId="0" xfId="3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173" fontId="12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3" fillId="2" borderId="2" xfId="3" applyFont="1" applyFill="1" applyBorder="1" applyAlignment="1">
      <alignment vertical="center" wrapText="1"/>
    </xf>
    <xf numFmtId="0" fontId="3" fillId="2" borderId="3" xfId="3" applyFont="1" applyFill="1" applyBorder="1" applyAlignment="1">
      <alignment vertical="center" wrapText="1"/>
    </xf>
    <xf numFmtId="0" fontId="3" fillId="2" borderId="4" xfId="3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3" applyFont="1" applyFill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9" fillId="0" borderId="4" xfId="3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20" fillId="0" borderId="1" xfId="0" applyNumberFormat="1" applyFont="1" applyBorder="1" applyAlignment="1">
      <alignment horizontal="left" vertical="center"/>
    </xf>
    <xf numFmtId="1" fontId="3" fillId="0" borderId="2" xfId="3" applyNumberFormat="1" applyFont="1" applyFill="1" applyBorder="1" applyAlignment="1">
      <alignment horizontal="center" vertical="center" wrapText="1"/>
    </xf>
    <xf numFmtId="1" fontId="3" fillId="0" borderId="4" xfId="3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/>
    </xf>
    <xf numFmtId="4" fontId="3" fillId="0" borderId="10" xfId="3" applyNumberFormat="1" applyFont="1" applyFill="1" applyBorder="1" applyAlignment="1">
      <alignment horizontal="center" vertical="center" wrapText="1"/>
    </xf>
    <xf numFmtId="4" fontId="3" fillId="0" borderId="11" xfId="3" applyNumberFormat="1" applyFont="1" applyFill="1" applyBorder="1" applyAlignment="1">
      <alignment horizontal="center" vertical="center" wrapText="1"/>
    </xf>
    <xf numFmtId="0" fontId="9" fillId="0" borderId="5" xfId="3" applyFont="1" applyFill="1" applyBorder="1" applyAlignment="1">
      <alignment horizontal="left" vertical="center" wrapText="1"/>
    </xf>
    <xf numFmtId="0" fontId="9" fillId="0" borderId="7" xfId="3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175" fontId="10" fillId="0" borderId="1" xfId="0" applyNumberFormat="1" applyFont="1" applyFill="1" applyBorder="1" applyAlignment="1">
      <alignment horizontal="center" vertical="center"/>
    </xf>
    <xf numFmtId="3" fontId="3" fillId="0" borderId="1" xfId="3" applyNumberFormat="1" applyFont="1" applyFill="1" applyBorder="1" applyAlignment="1">
      <alignment horizontal="center" vertical="center" wrapText="1"/>
    </xf>
    <xf numFmtId="175" fontId="10" fillId="4" borderId="1" xfId="0" applyNumberFormat="1" applyFont="1" applyFill="1" applyBorder="1" applyAlignment="1">
      <alignment horizontal="center" vertical="center"/>
    </xf>
    <xf numFmtId="175" fontId="3" fillId="0" borderId="1" xfId="0" applyNumberFormat="1" applyFont="1" applyFill="1" applyBorder="1" applyAlignment="1">
      <alignment horizontal="center" vertical="center"/>
    </xf>
    <xf numFmtId="175" fontId="3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4" borderId="1" xfId="3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2" fontId="8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3" fillId="4" borderId="1" xfId="3" applyNumberFormat="1" applyFont="1" applyFill="1" applyBorder="1" applyAlignment="1">
      <alignment horizontal="center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0" fillId="2" borderId="4" xfId="0" applyFill="1" applyBorder="1"/>
    <xf numFmtId="2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/>
    </xf>
    <xf numFmtId="0" fontId="5" fillId="0" borderId="0" xfId="4" applyFont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/>
    </xf>
    <xf numFmtId="0" fontId="3" fillId="0" borderId="1" xfId="3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3" fillId="0" borderId="0" xfId="4" applyFont="1" applyFill="1" applyBorder="1" applyAlignment="1" applyProtection="1">
      <alignment horizontal="left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left"/>
    </xf>
    <xf numFmtId="0" fontId="8" fillId="0" borderId="6" xfId="0" applyFont="1" applyFill="1" applyBorder="1" applyAlignment="1">
      <alignment horizontal="center" vertical="top"/>
    </xf>
    <xf numFmtId="49" fontId="10" fillId="0" borderId="5" xfId="0" applyNumberFormat="1" applyFont="1" applyFill="1" applyBorder="1" applyAlignment="1">
      <alignment horizontal="center"/>
    </xf>
    <xf numFmtId="0" fontId="5" fillId="0" borderId="6" xfId="4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5" fillId="0" borderId="6" xfId="4" applyFont="1" applyFill="1" applyBorder="1" applyAlignment="1">
      <alignment horizontal="center" vertical="top" wrapText="1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3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0" fontId="3" fillId="2" borderId="4" xfId="3" applyNumberFormat="1" applyFont="1" applyFill="1" applyBorder="1" applyAlignment="1">
      <alignment horizontal="center" vertical="center" wrapText="1"/>
    </xf>
    <xf numFmtId="4" fontId="3" fillId="2" borderId="2" xfId="3" applyNumberFormat="1" applyFont="1" applyFill="1" applyBorder="1" applyAlignment="1">
      <alignment horizontal="center" vertical="center" wrapText="1"/>
    </xf>
    <xf numFmtId="4" fontId="3" fillId="2" borderId="4" xfId="3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2" fontId="3" fillId="2" borderId="0" xfId="3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</cellXfs>
  <cellStyles count="5">
    <cellStyle name="Звичайний" xfId="0" builtinId="0"/>
    <cellStyle name="Звичайний 21" xfId="1"/>
    <cellStyle name="Обычный_Лист1" xfId="2"/>
    <cellStyle name="Обычный_Паспорт_Звіт 2012 остання сесія 2" xfId="3"/>
    <cellStyle name="Обычный_Шаблон паспорт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355"/>
  <sheetViews>
    <sheetView tabSelected="1" view="pageBreakPreview" zoomScaleNormal="100" zoomScaleSheetLayoutView="100" workbookViewId="0">
      <selection activeCell="AD60" sqref="AD60:AG64"/>
    </sheetView>
  </sheetViews>
  <sheetFormatPr defaultRowHeight="15" x14ac:dyDescent="0.25"/>
  <cols>
    <col min="1" max="1" width="4.85546875" style="21" customWidth="1"/>
    <col min="2" max="2" width="14.42578125" style="21" customWidth="1"/>
    <col min="3" max="3" width="10.140625" style="21" customWidth="1"/>
    <col min="4" max="4" width="9.140625" style="21"/>
    <col min="5" max="5" width="8.5703125" style="21" customWidth="1"/>
    <col min="6" max="10" width="7.140625" style="21" hidden="1" customWidth="1"/>
    <col min="11" max="12" width="13.7109375" style="21" customWidth="1"/>
    <col min="13" max="13" width="13.42578125" style="21" customWidth="1"/>
    <col min="14" max="14" width="13.5703125" style="21" hidden="1" customWidth="1"/>
    <col min="15" max="15" width="2.140625" style="21" hidden="1" customWidth="1"/>
    <col min="16" max="16" width="6.140625" style="21" customWidth="1"/>
    <col min="17" max="17" width="9.140625" style="21"/>
    <col min="18" max="18" width="8.140625" style="21" customWidth="1"/>
    <col min="19" max="19" width="6.85546875" style="21" customWidth="1"/>
    <col min="20" max="20" width="9.140625" style="21"/>
    <col min="21" max="21" width="6.140625" style="21" customWidth="1"/>
    <col min="22" max="22" width="15.42578125" style="21" customWidth="1"/>
    <col min="23" max="23" width="0.42578125" style="21" hidden="1" customWidth="1"/>
    <col min="24" max="24" width="14.140625" style="21" customWidth="1"/>
    <col min="25" max="25" width="15" style="21" customWidth="1"/>
    <col min="26" max="26" width="15.140625" style="21" customWidth="1"/>
    <col min="27" max="27" width="13.140625" style="21" customWidth="1"/>
    <col min="28" max="28" width="14.7109375" style="21" customWidth="1"/>
    <col min="29" max="29" width="9.140625" style="21"/>
    <col min="30" max="30" width="13.140625" style="21" customWidth="1"/>
    <col min="31" max="31" width="18.5703125" style="21" customWidth="1"/>
    <col min="32" max="16384" width="9.140625" style="21"/>
  </cols>
  <sheetData>
    <row r="1" spans="1:28" x14ac:dyDescent="0.25">
      <c r="T1" s="66" t="s">
        <v>43</v>
      </c>
    </row>
    <row r="2" spans="1:28" x14ac:dyDescent="0.25">
      <c r="T2" s="66" t="s">
        <v>40</v>
      </c>
    </row>
    <row r="3" spans="1:28" x14ac:dyDescent="0.25">
      <c r="T3" s="66" t="s">
        <v>41</v>
      </c>
    </row>
    <row r="4" spans="1:28" x14ac:dyDescent="0.25">
      <c r="T4" s="67" t="s">
        <v>42</v>
      </c>
    </row>
    <row r="5" spans="1:28" x14ac:dyDescent="0.25">
      <c r="T5" s="67" t="s">
        <v>188</v>
      </c>
    </row>
    <row r="8" spans="1:28" x14ac:dyDescent="0.25">
      <c r="L8" s="68"/>
      <c r="M8" s="69"/>
      <c r="N8" s="69"/>
      <c r="O8" s="69"/>
      <c r="P8" s="69"/>
      <c r="Q8" s="70" t="s">
        <v>125</v>
      </c>
      <c r="S8" s="68"/>
      <c r="T8" s="69"/>
      <c r="U8" s="69"/>
      <c r="V8" s="68"/>
      <c r="W8" s="68"/>
    </row>
    <row r="9" spans="1:28" ht="15.75" x14ac:dyDescent="0.25">
      <c r="M9" s="489" t="s">
        <v>126</v>
      </c>
      <c r="N9" s="489"/>
      <c r="O9" s="489"/>
      <c r="P9" s="489"/>
      <c r="Q9" s="489"/>
      <c r="R9" s="489"/>
      <c r="S9" s="489"/>
      <c r="T9" s="489"/>
      <c r="U9" s="71"/>
      <c r="V9" s="71"/>
      <c r="W9" s="71"/>
    </row>
    <row r="10" spans="1:28" ht="15.75" x14ac:dyDescent="0.25">
      <c r="K10" s="28"/>
      <c r="L10" s="71"/>
      <c r="M10" s="489" t="s">
        <v>265</v>
      </c>
      <c r="N10" s="489"/>
      <c r="O10" s="489"/>
      <c r="P10" s="489"/>
      <c r="Q10" s="489"/>
      <c r="R10" s="489"/>
      <c r="S10" s="489"/>
      <c r="T10" s="489"/>
      <c r="U10" s="71"/>
      <c r="V10" s="68"/>
      <c r="W10" s="68"/>
    </row>
    <row r="13" spans="1:28" ht="19.5" customHeight="1" x14ac:dyDescent="0.25">
      <c r="A13" s="104" t="s">
        <v>36</v>
      </c>
      <c r="B13" s="482">
        <v>1400000</v>
      </c>
      <c r="C13" s="482"/>
      <c r="E13" s="22"/>
      <c r="F13" s="22"/>
      <c r="G13" s="22"/>
      <c r="H13" s="22"/>
      <c r="I13" s="22"/>
      <c r="J13" s="22"/>
      <c r="K13" s="144" t="s">
        <v>182</v>
      </c>
      <c r="L13" s="22"/>
      <c r="M13" s="22"/>
      <c r="N13" s="22"/>
      <c r="O13" s="22"/>
      <c r="P13" s="22"/>
      <c r="Q13" s="22"/>
      <c r="R13" s="22"/>
      <c r="S13" s="22"/>
      <c r="T13" s="22"/>
      <c r="AA13" s="496" t="s">
        <v>169</v>
      </c>
      <c r="AB13" s="496"/>
    </row>
    <row r="14" spans="1:28" ht="56.25" customHeight="1" x14ac:dyDescent="0.25">
      <c r="A14" s="104"/>
      <c r="B14" s="483" t="s">
        <v>164</v>
      </c>
      <c r="C14" s="483"/>
      <c r="E14" s="105"/>
      <c r="F14" s="105"/>
      <c r="G14" s="105"/>
      <c r="H14" s="105"/>
      <c r="I14" s="105"/>
      <c r="J14" s="105"/>
      <c r="K14" s="493" t="s">
        <v>163</v>
      </c>
      <c r="L14" s="493"/>
      <c r="M14" s="493"/>
      <c r="N14" s="493"/>
      <c r="O14" s="493"/>
      <c r="P14" s="493"/>
      <c r="Q14" s="493"/>
      <c r="R14" s="493"/>
      <c r="AA14" s="499" t="s">
        <v>170</v>
      </c>
      <c r="AB14" s="499"/>
    </row>
    <row r="15" spans="1:28" x14ac:dyDescent="0.25">
      <c r="A15" s="104"/>
      <c r="B15" s="23"/>
      <c r="AA15" s="68"/>
      <c r="AB15" s="68"/>
    </row>
    <row r="16" spans="1:28" ht="18.75" customHeight="1" x14ac:dyDescent="0.25">
      <c r="A16" s="104" t="s">
        <v>38</v>
      </c>
      <c r="B16" s="482">
        <v>1410000</v>
      </c>
      <c r="C16" s="482"/>
      <c r="E16" s="22"/>
      <c r="F16" s="22"/>
      <c r="G16" s="22"/>
      <c r="H16" s="22"/>
      <c r="I16" s="22"/>
      <c r="J16" s="22"/>
      <c r="K16" s="144" t="s">
        <v>182</v>
      </c>
      <c r="L16" s="22"/>
      <c r="M16" s="22"/>
      <c r="N16" s="22"/>
      <c r="O16" s="22"/>
      <c r="P16" s="22"/>
      <c r="Q16" s="22"/>
      <c r="R16" s="22"/>
      <c r="S16" s="22"/>
      <c r="T16" s="22"/>
      <c r="AA16" s="496" t="s">
        <v>169</v>
      </c>
      <c r="AB16" s="496"/>
    </row>
    <row r="17" spans="1:42" ht="55.5" customHeight="1" x14ac:dyDescent="0.25">
      <c r="A17" s="104"/>
      <c r="B17" s="483" t="s">
        <v>164</v>
      </c>
      <c r="C17" s="483"/>
      <c r="E17" s="28"/>
      <c r="F17" s="28"/>
      <c r="G17" s="28"/>
      <c r="H17" s="28"/>
      <c r="I17" s="28"/>
      <c r="J17" s="28"/>
      <c r="K17" s="486" t="s">
        <v>167</v>
      </c>
      <c r="L17" s="487"/>
      <c r="M17" s="487"/>
      <c r="N17" s="487"/>
      <c r="O17" s="487"/>
      <c r="P17" s="487"/>
      <c r="Q17" s="487"/>
      <c r="R17" s="487"/>
      <c r="AA17" s="499" t="s">
        <v>170</v>
      </c>
      <c r="AB17" s="499"/>
    </row>
    <row r="18" spans="1:42" x14ac:dyDescent="0.25">
      <c r="A18" s="104"/>
      <c r="B18" s="23"/>
      <c r="AA18" s="68"/>
      <c r="AB18" s="68"/>
    </row>
    <row r="19" spans="1:42" ht="18.75" customHeight="1" x14ac:dyDescent="0.25">
      <c r="A19" s="104" t="s">
        <v>39</v>
      </c>
      <c r="B19" s="482">
        <v>1416030</v>
      </c>
      <c r="C19" s="482"/>
      <c r="E19" s="260">
        <v>6030</v>
      </c>
      <c r="F19" s="260"/>
      <c r="G19" s="260"/>
      <c r="H19" s="260"/>
      <c r="I19" s="260"/>
      <c r="J19" s="260"/>
      <c r="K19" s="260"/>
      <c r="L19" s="107"/>
      <c r="M19" s="494" t="s">
        <v>37</v>
      </c>
      <c r="N19" s="494"/>
      <c r="O19" s="494"/>
      <c r="P19" s="494"/>
      <c r="Q19" s="107"/>
      <c r="R19" s="484" t="s">
        <v>58</v>
      </c>
      <c r="S19" s="484"/>
      <c r="T19" s="484"/>
      <c r="U19" s="484"/>
      <c r="V19" s="484"/>
      <c r="W19" s="484"/>
      <c r="X19" s="484"/>
      <c r="Y19" s="484"/>
      <c r="AA19" s="497" t="s">
        <v>183</v>
      </c>
      <c r="AB19" s="498"/>
    </row>
    <row r="20" spans="1:42" ht="54" customHeight="1" x14ac:dyDescent="0.25">
      <c r="B20" s="483" t="s">
        <v>164</v>
      </c>
      <c r="C20" s="483"/>
      <c r="E20" s="488" t="s">
        <v>165</v>
      </c>
      <c r="F20" s="488"/>
      <c r="G20" s="488"/>
      <c r="H20" s="488"/>
      <c r="I20" s="488"/>
      <c r="J20" s="488"/>
      <c r="K20" s="488"/>
      <c r="L20" s="106"/>
      <c r="M20" s="495" t="s">
        <v>166</v>
      </c>
      <c r="N20" s="495"/>
      <c r="O20" s="495"/>
      <c r="P20" s="495"/>
      <c r="R20" s="500" t="s">
        <v>168</v>
      </c>
      <c r="S20" s="500"/>
      <c r="T20" s="500"/>
      <c r="U20" s="500"/>
      <c r="V20" s="500"/>
      <c r="W20" s="500"/>
      <c r="X20" s="500"/>
      <c r="Y20" s="500"/>
      <c r="AA20" s="499" t="s">
        <v>171</v>
      </c>
      <c r="AB20" s="499"/>
    </row>
    <row r="21" spans="1:42" x14ac:dyDescent="0.25">
      <c r="AC21" s="33"/>
      <c r="AD21" s="33"/>
      <c r="AE21" s="33"/>
      <c r="AF21" s="33"/>
    </row>
    <row r="22" spans="1:42" ht="15.75" x14ac:dyDescent="0.25">
      <c r="A22" s="72" t="s">
        <v>127</v>
      </c>
      <c r="B22" s="490" t="s">
        <v>128</v>
      </c>
      <c r="C22" s="490"/>
      <c r="D22" s="490"/>
      <c r="E22" s="490"/>
      <c r="F22" s="490"/>
      <c r="G22" s="490"/>
      <c r="H22" s="490"/>
      <c r="I22" s="490"/>
      <c r="J22" s="490"/>
      <c r="K22" s="490"/>
      <c r="L22" s="490"/>
      <c r="M22" s="490"/>
      <c r="N22" s="490"/>
      <c r="O22" s="490"/>
      <c r="P22" s="490"/>
      <c r="Q22" s="490"/>
      <c r="R22" s="490"/>
      <c r="S22" s="490"/>
      <c r="T22" s="490"/>
      <c r="U22" s="490"/>
      <c r="V22" s="490"/>
      <c r="W22" s="490"/>
      <c r="X22" s="490"/>
      <c r="Y22" s="490"/>
      <c r="Z22" s="74"/>
      <c r="AA22" s="74"/>
      <c r="AB22" s="74"/>
      <c r="AC22" s="74"/>
      <c r="AD22" s="78"/>
      <c r="AE22" s="78"/>
      <c r="AF22" s="33"/>
    </row>
    <row r="23" spans="1:42" ht="15.75" x14ac:dyDescent="0.25">
      <c r="A23" s="68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8"/>
      <c r="AE23" s="78"/>
      <c r="AF23" s="33"/>
    </row>
    <row r="24" spans="1:42" ht="18" customHeight="1" x14ac:dyDescent="0.25">
      <c r="A24" s="68"/>
      <c r="B24" s="75" t="s">
        <v>51</v>
      </c>
      <c r="C24" s="501" t="s">
        <v>129</v>
      </c>
      <c r="D24" s="502"/>
      <c r="E24" s="502"/>
      <c r="F24" s="502"/>
      <c r="G24" s="502"/>
      <c r="H24" s="502"/>
      <c r="I24" s="502"/>
      <c r="J24" s="502"/>
      <c r="K24" s="502"/>
      <c r="L24" s="502"/>
      <c r="M24" s="502"/>
      <c r="N24" s="502"/>
      <c r="O24" s="502"/>
      <c r="P24" s="502"/>
      <c r="Q24" s="502"/>
      <c r="R24" s="502"/>
      <c r="S24" s="502"/>
      <c r="T24" s="502"/>
      <c r="U24" s="502"/>
      <c r="V24" s="502"/>
      <c r="W24" s="502"/>
      <c r="X24" s="502"/>
      <c r="Y24" s="502"/>
      <c r="Z24" s="503"/>
      <c r="AA24" s="87"/>
      <c r="AB24" s="87"/>
      <c r="AC24" s="87"/>
      <c r="AD24" s="87"/>
      <c r="AE24" s="87"/>
      <c r="AF24" s="33"/>
    </row>
    <row r="25" spans="1:42" ht="18" customHeight="1" x14ac:dyDescent="0.25">
      <c r="A25" s="68"/>
      <c r="B25" s="75">
        <v>1</v>
      </c>
      <c r="C25" s="360" t="s">
        <v>135</v>
      </c>
      <c r="D25" s="361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1"/>
      <c r="V25" s="361"/>
      <c r="W25" s="361"/>
      <c r="X25" s="361"/>
      <c r="Y25" s="361"/>
      <c r="Z25" s="362"/>
      <c r="AA25" s="87"/>
      <c r="AB25" s="87"/>
      <c r="AC25" s="87"/>
      <c r="AD25" s="87"/>
      <c r="AE25" s="87"/>
      <c r="AF25" s="33"/>
    </row>
    <row r="26" spans="1:42" x14ac:dyDescent="0.25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78"/>
      <c r="AA26" s="78"/>
      <c r="AB26" s="78"/>
      <c r="AC26" s="78"/>
      <c r="AD26" s="78"/>
      <c r="AE26" s="78"/>
      <c r="AF26" s="33"/>
    </row>
    <row r="27" spans="1:42" ht="15.75" x14ac:dyDescent="0.25">
      <c r="A27" s="76" t="s">
        <v>130</v>
      </c>
      <c r="B27" s="77" t="s">
        <v>131</v>
      </c>
      <c r="C27" s="77"/>
      <c r="D27" s="77"/>
      <c r="E27" s="79" t="s">
        <v>145</v>
      </c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80"/>
      <c r="Q27" s="80"/>
      <c r="R27" s="80"/>
      <c r="S27" s="80"/>
      <c r="T27" s="80"/>
      <c r="U27" s="80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33"/>
    </row>
    <row r="28" spans="1:42" x14ac:dyDescent="0.25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78"/>
      <c r="AA28" s="78"/>
      <c r="AB28" s="78"/>
      <c r="AC28" s="78"/>
      <c r="AD28" s="78"/>
      <c r="AE28" s="78"/>
      <c r="AF28" s="33"/>
    </row>
    <row r="29" spans="1:42" ht="15.75" customHeight="1" x14ac:dyDescent="0.25">
      <c r="A29" s="76" t="s">
        <v>49</v>
      </c>
      <c r="B29" s="81" t="s">
        <v>132</v>
      </c>
      <c r="C29" s="82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9"/>
      <c r="AA29" s="88"/>
      <c r="AB29" s="88"/>
      <c r="AC29" s="88"/>
      <c r="AD29" s="78"/>
      <c r="AE29" s="78"/>
      <c r="AF29" s="33"/>
    </row>
    <row r="30" spans="1:42" x14ac:dyDescent="0.25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8"/>
      <c r="AA30" s="88"/>
      <c r="AB30" s="88"/>
      <c r="AC30" s="88"/>
      <c r="AD30" s="78"/>
      <c r="AE30" s="78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2" ht="18" customHeight="1" x14ac:dyDescent="0.25">
      <c r="A31" s="84"/>
      <c r="B31" s="75" t="s">
        <v>51</v>
      </c>
      <c r="C31" s="485" t="s">
        <v>133</v>
      </c>
      <c r="D31" s="485"/>
      <c r="E31" s="485"/>
      <c r="F31" s="485"/>
      <c r="G31" s="485"/>
      <c r="H31" s="485"/>
      <c r="I31" s="485"/>
      <c r="J31" s="485"/>
      <c r="K31" s="485"/>
      <c r="L31" s="485"/>
      <c r="M31" s="485"/>
      <c r="N31" s="485"/>
      <c r="O31" s="485"/>
      <c r="P31" s="485"/>
      <c r="Q31" s="485"/>
      <c r="R31" s="485"/>
      <c r="S31" s="485"/>
      <c r="T31" s="485"/>
      <c r="U31" s="485"/>
      <c r="V31" s="485"/>
      <c r="W31" s="485"/>
      <c r="X31" s="485"/>
      <c r="Y31" s="485"/>
      <c r="Z31" s="485"/>
      <c r="AA31" s="87"/>
      <c r="AB31" s="87"/>
      <c r="AC31" s="87"/>
      <c r="AD31" s="87"/>
      <c r="AE31" s="87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</row>
    <row r="32" spans="1:42" ht="24" customHeight="1" x14ac:dyDescent="0.25">
      <c r="A32" s="84"/>
      <c r="B32" s="75">
        <v>1</v>
      </c>
      <c r="C32" s="365" t="s">
        <v>59</v>
      </c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65"/>
      <c r="O32" s="365"/>
      <c r="P32" s="365"/>
      <c r="Q32" s="365"/>
      <c r="R32" s="365"/>
      <c r="S32" s="365"/>
      <c r="T32" s="365"/>
      <c r="U32" s="365"/>
      <c r="V32" s="365"/>
      <c r="W32" s="365"/>
      <c r="X32" s="365"/>
      <c r="Y32" s="365"/>
      <c r="Z32" s="365"/>
      <c r="AA32" s="87"/>
      <c r="AB32" s="87"/>
      <c r="AC32" s="87"/>
      <c r="AD32" s="87"/>
      <c r="AE32" s="87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 ht="18.95" customHeight="1" x14ac:dyDescent="0.25">
      <c r="A33" s="84"/>
      <c r="B33" s="75">
        <f>B32+1</f>
        <v>2</v>
      </c>
      <c r="C33" s="365" t="s">
        <v>60</v>
      </c>
      <c r="D33" s="365"/>
      <c r="E33" s="365"/>
      <c r="F33" s="365"/>
      <c r="G33" s="365"/>
      <c r="H33" s="365"/>
      <c r="I33" s="365"/>
      <c r="J33" s="365"/>
      <c r="K33" s="365"/>
      <c r="L33" s="365"/>
      <c r="M33" s="365"/>
      <c r="N33" s="365"/>
      <c r="O33" s="365"/>
      <c r="P33" s="365"/>
      <c r="Q33" s="365"/>
      <c r="R33" s="365"/>
      <c r="S33" s="365"/>
      <c r="T33" s="365"/>
      <c r="U33" s="365"/>
      <c r="V33" s="365"/>
      <c r="W33" s="365"/>
      <c r="X33" s="365"/>
      <c r="Y33" s="365"/>
      <c r="Z33" s="365"/>
      <c r="AA33" s="87"/>
      <c r="AB33" s="87"/>
      <c r="AC33" s="87"/>
      <c r="AD33" s="87"/>
      <c r="AE33" s="87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</row>
    <row r="34" spans="1:42" ht="18.95" customHeight="1" x14ac:dyDescent="0.25">
      <c r="A34" s="84"/>
      <c r="B34" s="75">
        <f t="shared" ref="B34:B42" si="0">B33+1</f>
        <v>3</v>
      </c>
      <c r="C34" s="365" t="s">
        <v>194</v>
      </c>
      <c r="D34" s="365"/>
      <c r="E34" s="365"/>
      <c r="F34" s="365"/>
      <c r="G34" s="365"/>
      <c r="H34" s="365"/>
      <c r="I34" s="365"/>
      <c r="J34" s="365"/>
      <c r="K34" s="365"/>
      <c r="L34" s="365"/>
      <c r="M34" s="365"/>
      <c r="N34" s="365"/>
      <c r="O34" s="365"/>
      <c r="P34" s="365"/>
      <c r="Q34" s="365"/>
      <c r="R34" s="365"/>
      <c r="S34" s="365"/>
      <c r="T34" s="365"/>
      <c r="U34" s="365"/>
      <c r="V34" s="365"/>
      <c r="W34" s="365"/>
      <c r="X34" s="365"/>
      <c r="Y34" s="365"/>
      <c r="Z34" s="365"/>
      <c r="AA34" s="87"/>
      <c r="AB34" s="87"/>
      <c r="AC34" s="87"/>
      <c r="AD34" s="87"/>
      <c r="AE34" s="87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</row>
    <row r="35" spans="1:42" ht="18.95" customHeight="1" x14ac:dyDescent="0.25">
      <c r="A35" s="84"/>
      <c r="B35" s="75">
        <f t="shared" si="0"/>
        <v>4</v>
      </c>
      <c r="C35" s="365" t="s">
        <v>187</v>
      </c>
      <c r="D35" s="365"/>
      <c r="E35" s="365"/>
      <c r="F35" s="365"/>
      <c r="G35" s="365"/>
      <c r="H35" s="365"/>
      <c r="I35" s="365"/>
      <c r="J35" s="365"/>
      <c r="K35" s="365"/>
      <c r="L35" s="365"/>
      <c r="M35" s="365"/>
      <c r="N35" s="365"/>
      <c r="O35" s="365"/>
      <c r="P35" s="365"/>
      <c r="Q35" s="365"/>
      <c r="R35" s="365"/>
      <c r="S35" s="365"/>
      <c r="T35" s="365"/>
      <c r="U35" s="365"/>
      <c r="V35" s="365"/>
      <c r="W35" s="365"/>
      <c r="X35" s="365"/>
      <c r="Y35" s="365"/>
      <c r="Z35" s="365"/>
      <c r="AA35" s="87"/>
      <c r="AB35" s="87"/>
      <c r="AC35" s="87"/>
      <c r="AD35" s="87"/>
      <c r="AE35" s="87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</row>
    <row r="36" spans="1:42" ht="18.95" customHeight="1" x14ac:dyDescent="0.25">
      <c r="A36" s="84"/>
      <c r="B36" s="75">
        <f t="shared" si="0"/>
        <v>5</v>
      </c>
      <c r="C36" s="365" t="s">
        <v>62</v>
      </c>
      <c r="D36" s="365"/>
      <c r="E36" s="365"/>
      <c r="F36" s="365"/>
      <c r="G36" s="365"/>
      <c r="H36" s="365"/>
      <c r="I36" s="365"/>
      <c r="J36" s="365"/>
      <c r="K36" s="365"/>
      <c r="L36" s="365"/>
      <c r="M36" s="365"/>
      <c r="N36" s="365"/>
      <c r="O36" s="365"/>
      <c r="P36" s="365"/>
      <c r="Q36" s="365"/>
      <c r="R36" s="365"/>
      <c r="S36" s="365"/>
      <c r="T36" s="365"/>
      <c r="U36" s="365"/>
      <c r="V36" s="365"/>
      <c r="W36" s="365"/>
      <c r="X36" s="365"/>
      <c r="Y36" s="365"/>
      <c r="Z36" s="365"/>
      <c r="AA36" s="87"/>
      <c r="AB36" s="87"/>
      <c r="AC36" s="87"/>
      <c r="AD36" s="87"/>
      <c r="AE36" s="87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</row>
    <row r="37" spans="1:42" ht="18.95" customHeight="1" x14ac:dyDescent="0.25">
      <c r="A37" s="84"/>
      <c r="B37" s="75">
        <f t="shared" si="0"/>
        <v>6</v>
      </c>
      <c r="C37" s="365" t="s">
        <v>63</v>
      </c>
      <c r="D37" s="365"/>
      <c r="E37" s="365"/>
      <c r="F37" s="365"/>
      <c r="G37" s="365"/>
      <c r="H37" s="365"/>
      <c r="I37" s="365"/>
      <c r="J37" s="365"/>
      <c r="K37" s="365"/>
      <c r="L37" s="365"/>
      <c r="M37" s="365"/>
      <c r="N37" s="365"/>
      <c r="O37" s="365"/>
      <c r="P37" s="365"/>
      <c r="Q37" s="365"/>
      <c r="R37" s="365"/>
      <c r="S37" s="365"/>
      <c r="T37" s="365"/>
      <c r="U37" s="365"/>
      <c r="V37" s="365"/>
      <c r="W37" s="365"/>
      <c r="X37" s="365"/>
      <c r="Y37" s="365"/>
      <c r="Z37" s="365"/>
      <c r="AA37" s="87"/>
      <c r="AB37" s="87"/>
      <c r="AC37" s="87"/>
      <c r="AD37" s="87"/>
      <c r="AE37" s="87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</row>
    <row r="38" spans="1:42" ht="18.95" customHeight="1" x14ac:dyDescent="0.25">
      <c r="A38" s="84"/>
      <c r="B38" s="75">
        <f t="shared" si="0"/>
        <v>7</v>
      </c>
      <c r="C38" s="365" t="s">
        <v>64</v>
      </c>
      <c r="D38" s="365"/>
      <c r="E38" s="365"/>
      <c r="F38" s="365"/>
      <c r="G38" s="365"/>
      <c r="H38" s="365"/>
      <c r="I38" s="365"/>
      <c r="J38" s="365"/>
      <c r="K38" s="365"/>
      <c r="L38" s="365"/>
      <c r="M38" s="365"/>
      <c r="N38" s="365"/>
      <c r="O38" s="365"/>
      <c r="P38" s="365"/>
      <c r="Q38" s="365"/>
      <c r="R38" s="365"/>
      <c r="S38" s="365"/>
      <c r="T38" s="365"/>
      <c r="U38" s="365"/>
      <c r="V38" s="365"/>
      <c r="W38" s="365"/>
      <c r="X38" s="365"/>
      <c r="Y38" s="365"/>
      <c r="Z38" s="365"/>
      <c r="AA38" s="87"/>
      <c r="AB38" s="87"/>
      <c r="AC38" s="87"/>
      <c r="AD38" s="87"/>
      <c r="AE38" s="87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</row>
    <row r="39" spans="1:42" ht="18.95" customHeight="1" x14ac:dyDescent="0.25">
      <c r="A39" s="84"/>
      <c r="B39" s="75">
        <f t="shared" si="0"/>
        <v>8</v>
      </c>
      <c r="C39" s="365" t="s">
        <v>65</v>
      </c>
      <c r="D39" s="365"/>
      <c r="E39" s="365"/>
      <c r="F39" s="365"/>
      <c r="G39" s="365"/>
      <c r="H39" s="365"/>
      <c r="I39" s="365"/>
      <c r="J39" s="365"/>
      <c r="K39" s="365"/>
      <c r="L39" s="365"/>
      <c r="M39" s="365"/>
      <c r="N39" s="365"/>
      <c r="O39" s="365"/>
      <c r="P39" s="365"/>
      <c r="Q39" s="365"/>
      <c r="R39" s="365"/>
      <c r="S39" s="365"/>
      <c r="T39" s="365"/>
      <c r="U39" s="365"/>
      <c r="V39" s="365"/>
      <c r="W39" s="365"/>
      <c r="X39" s="365"/>
      <c r="Y39" s="365"/>
      <c r="Z39" s="365"/>
      <c r="AA39" s="87"/>
      <c r="AB39" s="87"/>
      <c r="AC39" s="87"/>
      <c r="AD39" s="87"/>
      <c r="AE39" s="87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</row>
    <row r="40" spans="1:42" ht="18.95" customHeight="1" x14ac:dyDescent="0.25">
      <c r="A40" s="84"/>
      <c r="B40" s="75">
        <f t="shared" si="0"/>
        <v>9</v>
      </c>
      <c r="C40" s="365" t="s">
        <v>19</v>
      </c>
      <c r="D40" s="365"/>
      <c r="E40" s="365"/>
      <c r="F40" s="365"/>
      <c r="G40" s="365"/>
      <c r="H40" s="365"/>
      <c r="I40" s="365"/>
      <c r="J40" s="365"/>
      <c r="K40" s="365"/>
      <c r="L40" s="365"/>
      <c r="M40" s="365"/>
      <c r="N40" s="365"/>
      <c r="O40" s="365"/>
      <c r="P40" s="365"/>
      <c r="Q40" s="365"/>
      <c r="R40" s="365"/>
      <c r="S40" s="365"/>
      <c r="T40" s="365"/>
      <c r="U40" s="365"/>
      <c r="V40" s="365"/>
      <c r="W40" s="365"/>
      <c r="X40" s="365"/>
      <c r="Y40" s="365"/>
      <c r="Z40" s="365"/>
      <c r="AA40" s="87"/>
      <c r="AB40" s="87"/>
      <c r="AC40" s="87"/>
      <c r="AD40" s="87"/>
      <c r="AE40" s="87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</row>
    <row r="41" spans="1:42" ht="18.95" customHeight="1" x14ac:dyDescent="0.25">
      <c r="A41" s="84"/>
      <c r="B41" s="75">
        <f t="shared" si="0"/>
        <v>10</v>
      </c>
      <c r="C41" s="365" t="s">
        <v>293</v>
      </c>
      <c r="D41" s="365"/>
      <c r="E41" s="365"/>
      <c r="F41" s="365"/>
      <c r="G41" s="365"/>
      <c r="H41" s="365"/>
      <c r="I41" s="365"/>
      <c r="J41" s="365"/>
      <c r="K41" s="365"/>
      <c r="L41" s="365"/>
      <c r="M41" s="365"/>
      <c r="N41" s="365"/>
      <c r="O41" s="365"/>
      <c r="P41" s="365"/>
      <c r="Q41" s="365"/>
      <c r="R41" s="365"/>
      <c r="S41" s="365"/>
      <c r="T41" s="365"/>
      <c r="U41" s="365"/>
      <c r="V41" s="365"/>
      <c r="W41" s="365"/>
      <c r="X41" s="365"/>
      <c r="Y41" s="365"/>
      <c r="Z41" s="365"/>
      <c r="AA41" s="87"/>
      <c r="AB41" s="87"/>
      <c r="AC41" s="87"/>
      <c r="AD41" s="87"/>
      <c r="AE41" s="87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</row>
    <row r="42" spans="1:42" ht="18.95" customHeight="1" x14ac:dyDescent="0.25">
      <c r="A42" s="84"/>
      <c r="B42" s="75">
        <f t="shared" si="0"/>
        <v>11</v>
      </c>
      <c r="C42" s="365" t="s">
        <v>252</v>
      </c>
      <c r="D42" s="365"/>
      <c r="E42" s="365"/>
      <c r="F42" s="365"/>
      <c r="G42" s="365"/>
      <c r="H42" s="365"/>
      <c r="I42" s="365"/>
      <c r="J42" s="365"/>
      <c r="K42" s="365"/>
      <c r="L42" s="365"/>
      <c r="M42" s="365"/>
      <c r="N42" s="365"/>
      <c r="O42" s="365"/>
      <c r="P42" s="365"/>
      <c r="Q42" s="365"/>
      <c r="R42" s="365"/>
      <c r="S42" s="365"/>
      <c r="T42" s="365"/>
      <c r="U42" s="365"/>
      <c r="V42" s="365"/>
      <c r="W42" s="365"/>
      <c r="X42" s="365"/>
      <c r="Y42" s="365"/>
      <c r="Z42" s="365"/>
      <c r="AA42" s="87"/>
      <c r="AB42" s="87"/>
      <c r="AC42" s="87"/>
      <c r="AD42" s="87"/>
      <c r="AE42" s="87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</row>
    <row r="43" spans="1:42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78"/>
      <c r="AA43" s="78"/>
      <c r="AB43" s="78"/>
      <c r="AC43" s="78"/>
      <c r="AD43" s="85"/>
      <c r="AE43" s="78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</row>
    <row r="44" spans="1:42" ht="15.75" x14ac:dyDescent="0.25">
      <c r="A44" s="72" t="s">
        <v>52</v>
      </c>
      <c r="B44" s="86" t="s">
        <v>134</v>
      </c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78"/>
      <c r="AD44" s="85"/>
      <c r="AE44" s="78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</row>
    <row r="45" spans="1:42" ht="15.75" x14ac:dyDescent="0.25">
      <c r="A45" s="86" t="s">
        <v>189</v>
      </c>
      <c r="B45" s="86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78"/>
      <c r="AD45" s="85"/>
      <c r="AE45" s="78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</row>
    <row r="46" spans="1:42" ht="15.75" customHeight="1" x14ac:dyDescent="0.25">
      <c r="B46" s="31"/>
      <c r="Y46" s="55" t="s">
        <v>137</v>
      </c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 ht="31.5" customHeight="1" x14ac:dyDescent="0.25">
      <c r="A47" s="462" t="s">
        <v>51</v>
      </c>
      <c r="B47" s="368" t="s">
        <v>191</v>
      </c>
      <c r="C47" s="369"/>
      <c r="D47" s="369"/>
      <c r="E47" s="370"/>
      <c r="F47" s="32"/>
      <c r="G47" s="32"/>
      <c r="H47" s="32"/>
      <c r="I47" s="32"/>
      <c r="J47" s="32"/>
      <c r="K47" s="366" t="s">
        <v>47</v>
      </c>
      <c r="L47" s="367"/>
      <c r="M47" s="364"/>
      <c r="N47" s="26"/>
      <c r="O47" s="26"/>
      <c r="P47" s="366" t="s">
        <v>158</v>
      </c>
      <c r="Q47" s="367"/>
      <c r="R47" s="367"/>
      <c r="S47" s="367"/>
      <c r="T47" s="367"/>
      <c r="U47" s="364"/>
      <c r="V47" s="363" t="s">
        <v>48</v>
      </c>
      <c r="W47" s="367"/>
      <c r="X47" s="367"/>
      <c r="Y47" s="364"/>
      <c r="Z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</row>
    <row r="48" spans="1:42" ht="30" customHeight="1" x14ac:dyDescent="0.25">
      <c r="A48" s="463"/>
      <c r="B48" s="371"/>
      <c r="C48" s="372"/>
      <c r="D48" s="372"/>
      <c r="E48" s="373"/>
      <c r="F48" s="34"/>
      <c r="G48" s="34"/>
      <c r="H48" s="34"/>
      <c r="I48" s="34"/>
      <c r="J48" s="34"/>
      <c r="K48" s="24" t="s">
        <v>44</v>
      </c>
      <c r="L48" s="24" t="s">
        <v>45</v>
      </c>
      <c r="M48" s="24" t="s">
        <v>46</v>
      </c>
      <c r="N48" s="25"/>
      <c r="O48" s="25"/>
      <c r="P48" s="363" t="s">
        <v>44</v>
      </c>
      <c r="Q48" s="364"/>
      <c r="R48" s="363" t="s">
        <v>45</v>
      </c>
      <c r="S48" s="364"/>
      <c r="T48" s="363" t="s">
        <v>46</v>
      </c>
      <c r="U48" s="364"/>
      <c r="V48" s="35" t="s">
        <v>44</v>
      </c>
      <c r="W48" s="35"/>
      <c r="X48" s="24" t="s">
        <v>45</v>
      </c>
      <c r="Y48" s="24" t="s">
        <v>46</v>
      </c>
      <c r="Z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</row>
    <row r="49" spans="1:42" x14ac:dyDescent="0.25">
      <c r="A49" s="36">
        <v>1</v>
      </c>
      <c r="B49" s="363">
        <v>2</v>
      </c>
      <c r="C49" s="367"/>
      <c r="D49" s="367"/>
      <c r="E49" s="364"/>
      <c r="F49" s="27"/>
      <c r="G49" s="27"/>
      <c r="H49" s="27"/>
      <c r="I49" s="27"/>
      <c r="J49" s="27"/>
      <c r="K49" s="24">
        <v>3</v>
      </c>
      <c r="L49" s="24">
        <v>4</v>
      </c>
      <c r="M49" s="24">
        <v>5</v>
      </c>
      <c r="N49" s="25"/>
      <c r="O49" s="25"/>
      <c r="P49" s="363">
        <v>6</v>
      </c>
      <c r="Q49" s="364"/>
      <c r="R49" s="363">
        <v>7</v>
      </c>
      <c r="S49" s="364"/>
      <c r="T49" s="363">
        <v>8</v>
      </c>
      <c r="U49" s="364"/>
      <c r="V49" s="24">
        <v>9</v>
      </c>
      <c r="W49" s="24"/>
      <c r="X49" s="24">
        <v>10</v>
      </c>
      <c r="Y49" s="24">
        <v>11</v>
      </c>
      <c r="Z49" s="37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1:42" ht="59.25" customHeight="1" x14ac:dyDescent="0.25">
      <c r="A50" s="45">
        <v>1</v>
      </c>
      <c r="B50" s="323" t="s">
        <v>195</v>
      </c>
      <c r="C50" s="324"/>
      <c r="D50" s="324"/>
      <c r="E50" s="286"/>
      <c r="F50" s="19"/>
      <c r="G50" s="19"/>
      <c r="H50" s="19"/>
      <c r="I50" s="19"/>
      <c r="J50" s="19"/>
      <c r="K50" s="29">
        <f>P96</f>
        <v>37115302</v>
      </c>
      <c r="L50" s="29"/>
      <c r="M50" s="29">
        <f>K50+L50</f>
        <v>37115302</v>
      </c>
      <c r="N50" s="30"/>
      <c r="O50" s="30"/>
      <c r="P50" s="305">
        <f>V96</f>
        <v>37111443.090000004</v>
      </c>
      <c r="Q50" s="306"/>
      <c r="R50" s="305"/>
      <c r="S50" s="306"/>
      <c r="T50" s="305">
        <f t="shared" ref="T50:T57" si="1">P50+R50</f>
        <v>37111443.090000004</v>
      </c>
      <c r="U50" s="306"/>
      <c r="V50" s="29">
        <f t="shared" ref="V50:V60" si="2">P50-K50</f>
        <v>-3858.9099999964237</v>
      </c>
      <c r="W50" s="29"/>
      <c r="X50" s="29"/>
      <c r="Y50" s="29">
        <f t="shared" ref="Y50:Y61" si="3">V50+X50</f>
        <v>-3858.9099999964237</v>
      </c>
      <c r="Z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</row>
    <row r="51" spans="1:42" ht="22.5" customHeight="1" x14ac:dyDescent="0.25">
      <c r="A51" s="45">
        <v>2</v>
      </c>
      <c r="B51" s="323" t="s">
        <v>136</v>
      </c>
      <c r="C51" s="324"/>
      <c r="D51" s="324"/>
      <c r="E51" s="286"/>
      <c r="F51" s="19"/>
      <c r="G51" s="19"/>
      <c r="H51" s="19"/>
      <c r="I51" s="19"/>
      <c r="J51" s="19"/>
      <c r="K51" s="29">
        <f>P121</f>
        <v>12994457</v>
      </c>
      <c r="L51" s="29"/>
      <c r="M51" s="29">
        <f t="shared" ref="M51:M60" si="4">K51+L51</f>
        <v>12994457</v>
      </c>
      <c r="N51" s="29"/>
      <c r="O51" s="29"/>
      <c r="P51" s="304">
        <f>V121</f>
        <v>12965176.65</v>
      </c>
      <c r="Q51" s="304"/>
      <c r="R51" s="304"/>
      <c r="S51" s="304"/>
      <c r="T51" s="304">
        <f t="shared" si="1"/>
        <v>12965176.65</v>
      </c>
      <c r="U51" s="304"/>
      <c r="V51" s="29">
        <f t="shared" si="2"/>
        <v>-29280.349999999627</v>
      </c>
      <c r="W51" s="29"/>
      <c r="X51" s="29"/>
      <c r="Y51" s="29">
        <f t="shared" si="3"/>
        <v>-29280.349999999627</v>
      </c>
      <c r="Z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</row>
    <row r="52" spans="1:42" ht="34.5" customHeight="1" x14ac:dyDescent="0.25">
      <c r="A52" s="45">
        <v>3</v>
      </c>
      <c r="B52" s="323" t="s">
        <v>196</v>
      </c>
      <c r="C52" s="324"/>
      <c r="D52" s="324"/>
      <c r="E52" s="286"/>
      <c r="F52" s="19"/>
      <c r="G52" s="19"/>
      <c r="H52" s="19"/>
      <c r="I52" s="19"/>
      <c r="J52" s="19"/>
      <c r="K52" s="29">
        <f>P133</f>
        <v>70908738</v>
      </c>
      <c r="L52" s="29"/>
      <c r="M52" s="29">
        <f t="shared" si="4"/>
        <v>70908738</v>
      </c>
      <c r="N52" s="29"/>
      <c r="O52" s="29"/>
      <c r="P52" s="304">
        <f>V133</f>
        <v>70871300.739999995</v>
      </c>
      <c r="Q52" s="304"/>
      <c r="R52" s="304"/>
      <c r="S52" s="304"/>
      <c r="T52" s="304">
        <f t="shared" si="1"/>
        <v>70871300.739999995</v>
      </c>
      <c r="U52" s="304"/>
      <c r="V52" s="29">
        <f t="shared" si="2"/>
        <v>-37437.260000005364</v>
      </c>
      <c r="W52" s="29"/>
      <c r="X52" s="29"/>
      <c r="Y52" s="29">
        <f t="shared" si="3"/>
        <v>-37437.260000005364</v>
      </c>
      <c r="Z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</row>
    <row r="53" spans="1:42" ht="36" customHeight="1" x14ac:dyDescent="0.25">
      <c r="A53" s="45">
        <v>4</v>
      </c>
      <c r="B53" s="323" t="s">
        <v>138</v>
      </c>
      <c r="C53" s="324"/>
      <c r="D53" s="324"/>
      <c r="E53" s="286"/>
      <c r="F53" s="19"/>
      <c r="G53" s="19"/>
      <c r="H53" s="19"/>
      <c r="I53" s="19"/>
      <c r="J53" s="19"/>
      <c r="K53" s="29">
        <f>P153</f>
        <v>7030340</v>
      </c>
      <c r="L53" s="29"/>
      <c r="M53" s="29">
        <f t="shared" si="4"/>
        <v>7030340</v>
      </c>
      <c r="N53" s="29"/>
      <c r="O53" s="29"/>
      <c r="P53" s="304">
        <f>V153</f>
        <v>6858986.0899999999</v>
      </c>
      <c r="Q53" s="304"/>
      <c r="R53" s="304"/>
      <c r="S53" s="304"/>
      <c r="T53" s="304">
        <f t="shared" si="1"/>
        <v>6858986.0899999999</v>
      </c>
      <c r="U53" s="304"/>
      <c r="V53" s="29">
        <f t="shared" si="2"/>
        <v>-171353.91000000015</v>
      </c>
      <c r="W53" s="29"/>
      <c r="X53" s="29"/>
      <c r="Y53" s="29">
        <f t="shared" si="3"/>
        <v>-171353.91000000015</v>
      </c>
      <c r="Z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</row>
    <row r="54" spans="1:42" ht="48.75" customHeight="1" x14ac:dyDescent="0.25">
      <c r="A54" s="45">
        <v>5</v>
      </c>
      <c r="B54" s="358" t="s">
        <v>139</v>
      </c>
      <c r="C54" s="336"/>
      <c r="D54" s="336"/>
      <c r="E54" s="359"/>
      <c r="F54" s="14"/>
      <c r="G54" s="14"/>
      <c r="H54" s="14"/>
      <c r="I54" s="14"/>
      <c r="J54" s="14"/>
      <c r="K54" s="29">
        <f>P170</f>
        <v>157896111</v>
      </c>
      <c r="L54" s="29"/>
      <c r="M54" s="29">
        <f t="shared" si="4"/>
        <v>157896111</v>
      </c>
      <c r="N54" s="29"/>
      <c r="O54" s="29"/>
      <c r="P54" s="304">
        <f>V170</f>
        <v>155940180.12</v>
      </c>
      <c r="Q54" s="304"/>
      <c r="R54" s="304"/>
      <c r="S54" s="304"/>
      <c r="T54" s="304">
        <f t="shared" si="1"/>
        <v>155940180.12</v>
      </c>
      <c r="U54" s="304"/>
      <c r="V54" s="29">
        <f t="shared" si="2"/>
        <v>-1955930.8799999952</v>
      </c>
      <c r="W54" s="29"/>
      <c r="X54" s="29"/>
      <c r="Y54" s="29">
        <f t="shared" si="3"/>
        <v>-1955930.8799999952</v>
      </c>
      <c r="Z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</row>
    <row r="55" spans="1:42" ht="50.25" customHeight="1" x14ac:dyDescent="0.25">
      <c r="A55" s="45">
        <v>6</v>
      </c>
      <c r="B55" s="358" t="s">
        <v>140</v>
      </c>
      <c r="C55" s="336"/>
      <c r="D55" s="336"/>
      <c r="E55" s="359"/>
      <c r="F55" s="14"/>
      <c r="G55" s="14"/>
      <c r="H55" s="14"/>
      <c r="I55" s="14"/>
      <c r="J55" s="14"/>
      <c r="K55" s="29">
        <f>P196</f>
        <v>5000</v>
      </c>
      <c r="L55" s="29"/>
      <c r="M55" s="29">
        <f t="shared" si="4"/>
        <v>5000</v>
      </c>
      <c r="N55" s="29"/>
      <c r="O55" s="29"/>
      <c r="P55" s="304">
        <f>V196</f>
        <v>580.28</v>
      </c>
      <c r="Q55" s="304"/>
      <c r="R55" s="304"/>
      <c r="S55" s="304"/>
      <c r="T55" s="304">
        <f t="shared" si="1"/>
        <v>580.28</v>
      </c>
      <c r="U55" s="304"/>
      <c r="V55" s="29">
        <f t="shared" si="2"/>
        <v>-4419.72</v>
      </c>
      <c r="W55" s="29"/>
      <c r="X55" s="29"/>
      <c r="Y55" s="29">
        <f t="shared" si="3"/>
        <v>-4419.72</v>
      </c>
      <c r="Z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</row>
    <row r="56" spans="1:42" ht="34.5" customHeight="1" x14ac:dyDescent="0.25">
      <c r="A56" s="45">
        <v>7</v>
      </c>
      <c r="B56" s="358" t="s">
        <v>141</v>
      </c>
      <c r="C56" s="336"/>
      <c r="D56" s="336"/>
      <c r="E56" s="359"/>
      <c r="F56" s="14"/>
      <c r="G56" s="14"/>
      <c r="H56" s="14"/>
      <c r="I56" s="14"/>
      <c r="J56" s="14"/>
      <c r="K56" s="29">
        <f>P205</f>
        <v>884501</v>
      </c>
      <c r="L56" s="29"/>
      <c r="M56" s="29">
        <f t="shared" si="4"/>
        <v>884501</v>
      </c>
      <c r="N56" s="29"/>
      <c r="O56" s="29"/>
      <c r="P56" s="304">
        <f>V205</f>
        <v>869129.16999999993</v>
      </c>
      <c r="Q56" s="304"/>
      <c r="R56" s="304"/>
      <c r="S56" s="304"/>
      <c r="T56" s="304">
        <f t="shared" si="1"/>
        <v>869129.16999999993</v>
      </c>
      <c r="U56" s="304"/>
      <c r="V56" s="29">
        <f t="shared" si="2"/>
        <v>-15371.830000000075</v>
      </c>
      <c r="W56" s="29"/>
      <c r="X56" s="29"/>
      <c r="Y56" s="29">
        <f t="shared" si="3"/>
        <v>-15371.830000000075</v>
      </c>
      <c r="Z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</row>
    <row r="57" spans="1:42" ht="65.25" customHeight="1" x14ac:dyDescent="0.25">
      <c r="A57" s="45">
        <v>8</v>
      </c>
      <c r="B57" s="358" t="s">
        <v>142</v>
      </c>
      <c r="C57" s="336"/>
      <c r="D57" s="336"/>
      <c r="E57" s="359"/>
      <c r="F57" s="14"/>
      <c r="G57" s="14"/>
      <c r="H57" s="14"/>
      <c r="I57" s="14"/>
      <c r="J57" s="14"/>
      <c r="K57" s="29">
        <f>P229</f>
        <v>130016</v>
      </c>
      <c r="L57" s="29"/>
      <c r="M57" s="29">
        <f t="shared" si="4"/>
        <v>130016</v>
      </c>
      <c r="N57" s="29"/>
      <c r="O57" s="29"/>
      <c r="P57" s="304">
        <f>V229</f>
        <v>118762.17</v>
      </c>
      <c r="Q57" s="304"/>
      <c r="R57" s="304"/>
      <c r="S57" s="304"/>
      <c r="T57" s="304">
        <f t="shared" si="1"/>
        <v>118762.17</v>
      </c>
      <c r="U57" s="304"/>
      <c r="V57" s="29">
        <f t="shared" si="2"/>
        <v>-11253.830000000002</v>
      </c>
      <c r="W57" s="29"/>
      <c r="X57" s="29"/>
      <c r="Y57" s="29">
        <f t="shared" si="3"/>
        <v>-11253.830000000002</v>
      </c>
      <c r="Z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</row>
    <row r="58" spans="1:42" ht="34.5" customHeight="1" x14ac:dyDescent="0.25">
      <c r="A58" s="45">
        <v>9</v>
      </c>
      <c r="B58" s="358" t="s">
        <v>143</v>
      </c>
      <c r="C58" s="336"/>
      <c r="D58" s="336"/>
      <c r="E58" s="359"/>
      <c r="F58" s="14"/>
      <c r="G58" s="14"/>
      <c r="H58" s="14"/>
      <c r="I58" s="14"/>
      <c r="J58" s="14"/>
      <c r="K58" s="29">
        <f>P242</f>
        <v>1387000</v>
      </c>
      <c r="L58" s="29"/>
      <c r="M58" s="29">
        <f t="shared" si="4"/>
        <v>1387000</v>
      </c>
      <c r="N58" s="29"/>
      <c r="O58" s="29"/>
      <c r="P58" s="304">
        <f>V242</f>
        <v>1373035.96</v>
      </c>
      <c r="Q58" s="304"/>
      <c r="R58" s="304"/>
      <c r="S58" s="304"/>
      <c r="T58" s="304">
        <f>P58+R58</f>
        <v>1373035.96</v>
      </c>
      <c r="U58" s="304"/>
      <c r="V58" s="29">
        <f t="shared" si="2"/>
        <v>-13964.040000000037</v>
      </c>
      <c r="W58" s="29"/>
      <c r="X58" s="29"/>
      <c r="Y58" s="29">
        <f t="shared" si="3"/>
        <v>-13964.040000000037</v>
      </c>
      <c r="Z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</row>
    <row r="59" spans="1:42" ht="51.75" customHeight="1" x14ac:dyDescent="0.25">
      <c r="A59" s="45">
        <v>10</v>
      </c>
      <c r="B59" s="323" t="s">
        <v>294</v>
      </c>
      <c r="C59" s="324"/>
      <c r="D59" s="324"/>
      <c r="E59" s="286"/>
      <c r="F59" s="19"/>
      <c r="G59" s="19"/>
      <c r="H59" s="19"/>
      <c r="I59" s="19"/>
      <c r="J59" s="19"/>
      <c r="K59" s="29">
        <f>P254</f>
        <v>5966434</v>
      </c>
      <c r="L59" s="29"/>
      <c r="M59" s="29">
        <f t="shared" si="4"/>
        <v>5966434</v>
      </c>
      <c r="N59" s="29"/>
      <c r="O59" s="29"/>
      <c r="P59" s="304">
        <f>V254</f>
        <v>5870468.7599999998</v>
      </c>
      <c r="Q59" s="304"/>
      <c r="R59" s="304"/>
      <c r="S59" s="304"/>
      <c r="T59" s="304">
        <f>P59+R59</f>
        <v>5870468.7599999998</v>
      </c>
      <c r="U59" s="304"/>
      <c r="V59" s="29">
        <f t="shared" si="2"/>
        <v>-95965.240000000224</v>
      </c>
      <c r="W59" s="29"/>
      <c r="X59" s="29"/>
      <c r="Y59" s="29">
        <f t="shared" si="3"/>
        <v>-95965.240000000224</v>
      </c>
      <c r="Z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</row>
    <row r="60" spans="1:42" ht="37.5" customHeight="1" x14ac:dyDescent="0.25">
      <c r="A60" s="45">
        <v>11</v>
      </c>
      <c r="B60" s="301" t="s">
        <v>251</v>
      </c>
      <c r="C60" s="302"/>
      <c r="D60" s="302"/>
      <c r="E60" s="303"/>
      <c r="F60" s="19"/>
      <c r="G60" s="19"/>
      <c r="H60" s="19"/>
      <c r="I60" s="19"/>
      <c r="J60" s="19"/>
      <c r="K60" s="29">
        <f>P267</f>
        <v>18100000</v>
      </c>
      <c r="L60" s="29"/>
      <c r="M60" s="29">
        <f t="shared" si="4"/>
        <v>18100000</v>
      </c>
      <c r="N60" s="29"/>
      <c r="O60" s="29"/>
      <c r="P60" s="304">
        <f>V267</f>
        <v>18072568.960000001</v>
      </c>
      <c r="Q60" s="304"/>
      <c r="R60" s="305"/>
      <c r="S60" s="306"/>
      <c r="T60" s="304">
        <f>P60+R60</f>
        <v>18072568.960000001</v>
      </c>
      <c r="U60" s="304"/>
      <c r="V60" s="29">
        <f t="shared" si="2"/>
        <v>-27431.039999999106</v>
      </c>
      <c r="W60" s="29"/>
      <c r="X60" s="29"/>
      <c r="Y60" s="29">
        <f t="shared" si="3"/>
        <v>-27431.039999999106</v>
      </c>
      <c r="Z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</row>
    <row r="61" spans="1:42" ht="19.5" customHeight="1" x14ac:dyDescent="0.25">
      <c r="A61" s="42"/>
      <c r="B61" s="444" t="s">
        <v>50</v>
      </c>
      <c r="C61" s="445"/>
      <c r="D61" s="445"/>
      <c r="E61" s="446"/>
      <c r="F61" s="38"/>
      <c r="G61" s="38"/>
      <c r="H61" s="38"/>
      <c r="I61" s="38"/>
      <c r="J61" s="38"/>
      <c r="K61" s="29">
        <f>SUM(K50:K60)</f>
        <v>312417899</v>
      </c>
      <c r="L61" s="29">
        <f>SUM(L50:L59)</f>
        <v>0</v>
      </c>
      <c r="M61" s="29">
        <f>K61+L61</f>
        <v>312417899</v>
      </c>
      <c r="N61" s="29"/>
      <c r="O61" s="29"/>
      <c r="P61" s="304">
        <f>SUM(P50:Q60)</f>
        <v>310051631.98999995</v>
      </c>
      <c r="Q61" s="304"/>
      <c r="R61" s="304">
        <f>SUM(R50:S59)</f>
        <v>0</v>
      </c>
      <c r="S61" s="304"/>
      <c r="T61" s="304">
        <f>P61+R61</f>
        <v>310051631.98999995</v>
      </c>
      <c r="U61" s="304"/>
      <c r="V61" s="29">
        <f>SUM(V50:V60)</f>
        <v>-2366267.0099999965</v>
      </c>
      <c r="W61" s="29"/>
      <c r="X61" s="29">
        <f>SUM(X50:X59)</f>
        <v>0</v>
      </c>
      <c r="Y61" s="29">
        <f t="shared" si="3"/>
        <v>-2366267.0099999965</v>
      </c>
      <c r="AA61" s="140"/>
      <c r="AD61" s="151"/>
      <c r="AE61" s="33"/>
      <c r="AF61" s="151"/>
      <c r="AG61" s="33"/>
      <c r="AH61" s="33"/>
      <c r="AI61" s="33"/>
      <c r="AJ61" s="33"/>
      <c r="AK61" s="33"/>
      <c r="AL61" s="33"/>
      <c r="AM61" s="33"/>
      <c r="AN61" s="33"/>
      <c r="AO61" s="33"/>
      <c r="AP61" s="33"/>
    </row>
    <row r="62" spans="1:42" x14ac:dyDescent="0.25"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</row>
    <row r="63" spans="1:42" ht="15.75" x14ac:dyDescent="0.25">
      <c r="A63" s="166" t="s">
        <v>22</v>
      </c>
      <c r="B63" s="78"/>
      <c r="C63" s="167"/>
      <c r="D63" s="167"/>
      <c r="E63" s="167"/>
      <c r="F63" s="167"/>
      <c r="G63" s="167"/>
      <c r="H63" s="167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39"/>
      <c r="T63" s="39"/>
      <c r="U63" s="39"/>
      <c r="V63" s="39"/>
      <c r="W63" s="39"/>
      <c r="X63" s="39"/>
      <c r="Y63" s="39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</row>
    <row r="64" spans="1:42" ht="15.75" x14ac:dyDescent="0.25">
      <c r="A64" s="68"/>
      <c r="B64" s="78"/>
      <c r="C64" s="167"/>
      <c r="D64" s="167"/>
      <c r="E64" s="167"/>
      <c r="F64" s="167"/>
      <c r="G64" s="167"/>
      <c r="H64" s="167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39"/>
      <c r="T64" s="39"/>
      <c r="U64" s="39"/>
      <c r="V64" s="39"/>
      <c r="W64" s="39"/>
      <c r="X64" s="39"/>
      <c r="Y64" s="39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2" ht="20.25" customHeight="1" x14ac:dyDescent="0.25">
      <c r="A65" s="68"/>
      <c r="B65" s="169" t="s">
        <v>51</v>
      </c>
      <c r="C65" s="504" t="s">
        <v>23</v>
      </c>
      <c r="D65" s="504"/>
      <c r="E65" s="504"/>
      <c r="F65" s="504"/>
      <c r="G65" s="504"/>
      <c r="H65" s="504"/>
      <c r="I65" s="504"/>
      <c r="J65" s="504"/>
      <c r="K65" s="504"/>
      <c r="L65" s="504"/>
      <c r="M65" s="504"/>
      <c r="N65" s="504"/>
      <c r="O65" s="504"/>
      <c r="P65" s="504"/>
      <c r="Q65" s="504"/>
      <c r="R65" s="504"/>
      <c r="S65" s="504"/>
      <c r="T65" s="504"/>
      <c r="U65" s="504"/>
      <c r="V65" s="504"/>
      <c r="W65" s="504"/>
      <c r="X65" s="504"/>
      <c r="Y65" s="504"/>
      <c r="Z65" s="504"/>
      <c r="AA65" s="504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2" ht="15.75" x14ac:dyDescent="0.25">
      <c r="A66" s="68"/>
      <c r="B66" s="169">
        <v>1</v>
      </c>
      <c r="C66" s="504">
        <v>2</v>
      </c>
      <c r="D66" s="504"/>
      <c r="E66" s="504"/>
      <c r="F66" s="504"/>
      <c r="G66" s="504"/>
      <c r="H66" s="504"/>
      <c r="I66" s="504"/>
      <c r="J66" s="504"/>
      <c r="K66" s="504"/>
      <c r="L66" s="504"/>
      <c r="M66" s="504"/>
      <c r="N66" s="504"/>
      <c r="O66" s="504"/>
      <c r="P66" s="504"/>
      <c r="Q66" s="504"/>
      <c r="R66" s="504"/>
      <c r="S66" s="504"/>
      <c r="T66" s="504"/>
      <c r="U66" s="504"/>
      <c r="V66" s="504"/>
      <c r="W66" s="504"/>
      <c r="X66" s="504"/>
      <c r="Y66" s="504"/>
      <c r="Z66" s="504"/>
      <c r="AA66" s="504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</row>
    <row r="67" spans="1:42" ht="21" customHeight="1" x14ac:dyDescent="0.25">
      <c r="A67" s="68"/>
      <c r="B67" s="192">
        <v>1</v>
      </c>
      <c r="C67" s="447" t="s">
        <v>233</v>
      </c>
      <c r="D67" s="447"/>
      <c r="E67" s="447"/>
      <c r="F67" s="447"/>
      <c r="G67" s="447"/>
      <c r="H67" s="447"/>
      <c r="I67" s="447"/>
      <c r="J67" s="447"/>
      <c r="K67" s="447"/>
      <c r="L67" s="447"/>
      <c r="M67" s="447"/>
      <c r="N67" s="447"/>
      <c r="O67" s="447"/>
      <c r="P67" s="447"/>
      <c r="Q67" s="447"/>
      <c r="R67" s="447"/>
      <c r="S67" s="447"/>
      <c r="T67" s="447"/>
      <c r="U67" s="447"/>
      <c r="V67" s="447"/>
      <c r="W67" s="447"/>
      <c r="X67" s="447"/>
      <c r="Y67" s="447"/>
      <c r="Z67" s="447"/>
      <c r="AA67" s="447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</row>
    <row r="68" spans="1:42" ht="20.25" customHeight="1" x14ac:dyDescent="0.25">
      <c r="B68" s="24">
        <f>B67+1</f>
        <v>2</v>
      </c>
      <c r="C68" s="447" t="s">
        <v>233</v>
      </c>
      <c r="D68" s="447"/>
      <c r="E68" s="447"/>
      <c r="F68" s="447"/>
      <c r="G68" s="447"/>
      <c r="H68" s="447"/>
      <c r="I68" s="447"/>
      <c r="J68" s="447"/>
      <c r="K68" s="447"/>
      <c r="L68" s="447"/>
      <c r="M68" s="447"/>
      <c r="N68" s="447"/>
      <c r="O68" s="447"/>
      <c r="P68" s="447"/>
      <c r="Q68" s="447"/>
      <c r="R68" s="447"/>
      <c r="S68" s="447"/>
      <c r="T68" s="447"/>
      <c r="U68" s="447"/>
      <c r="V68" s="447"/>
      <c r="W68" s="447"/>
      <c r="X68" s="447"/>
      <c r="Y68" s="447"/>
      <c r="Z68" s="447"/>
      <c r="AA68" s="447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</row>
    <row r="69" spans="1:42" ht="18" customHeight="1" x14ac:dyDescent="0.25">
      <c r="B69" s="24">
        <f t="shared" ref="B69:B77" si="5">B68+1</f>
        <v>3</v>
      </c>
      <c r="C69" s="447" t="s">
        <v>233</v>
      </c>
      <c r="D69" s="447"/>
      <c r="E69" s="447"/>
      <c r="F69" s="447"/>
      <c r="G69" s="447"/>
      <c r="H69" s="447"/>
      <c r="I69" s="447"/>
      <c r="J69" s="447"/>
      <c r="K69" s="447"/>
      <c r="L69" s="447"/>
      <c r="M69" s="447"/>
      <c r="N69" s="447"/>
      <c r="O69" s="447"/>
      <c r="P69" s="447"/>
      <c r="Q69" s="447"/>
      <c r="R69" s="447"/>
      <c r="S69" s="447"/>
      <c r="T69" s="447"/>
      <c r="U69" s="447"/>
      <c r="V69" s="447"/>
      <c r="W69" s="447"/>
      <c r="X69" s="447"/>
      <c r="Y69" s="447"/>
      <c r="Z69" s="447"/>
      <c r="AA69" s="447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</row>
    <row r="70" spans="1:42" ht="33" customHeight="1" x14ac:dyDescent="0.25">
      <c r="B70" s="24">
        <f t="shared" si="5"/>
        <v>4</v>
      </c>
      <c r="C70" s="287" t="s">
        <v>234</v>
      </c>
      <c r="D70" s="287"/>
      <c r="E70" s="287"/>
      <c r="F70" s="287"/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7"/>
      <c r="R70" s="287"/>
      <c r="S70" s="287"/>
      <c r="T70" s="287"/>
      <c r="U70" s="287"/>
      <c r="V70" s="287"/>
      <c r="W70" s="287"/>
      <c r="X70" s="287"/>
      <c r="Y70" s="287"/>
      <c r="Z70" s="287"/>
      <c r="AA70" s="287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</row>
    <row r="71" spans="1:42" ht="18.75" customHeight="1" x14ac:dyDescent="0.25">
      <c r="B71" s="24">
        <f t="shared" si="5"/>
        <v>5</v>
      </c>
      <c r="C71" s="300" t="s">
        <v>181</v>
      </c>
      <c r="D71" s="300"/>
      <c r="E71" s="300"/>
      <c r="F71" s="300"/>
      <c r="G71" s="300"/>
      <c r="H71" s="300"/>
      <c r="I71" s="300"/>
      <c r="J71" s="300"/>
      <c r="K71" s="300"/>
      <c r="L71" s="300"/>
      <c r="M71" s="300"/>
      <c r="N71" s="300"/>
      <c r="O71" s="300"/>
      <c r="P71" s="300"/>
      <c r="Q71" s="300"/>
      <c r="R71" s="300"/>
      <c r="S71" s="300"/>
      <c r="T71" s="300"/>
      <c r="U71" s="300"/>
      <c r="V71" s="300"/>
      <c r="W71" s="300"/>
      <c r="X71" s="300"/>
      <c r="Y71" s="300"/>
      <c r="Z71" s="300"/>
      <c r="AA71" s="300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</row>
    <row r="72" spans="1:42" ht="18" customHeight="1" x14ac:dyDescent="0.25">
      <c r="B72" s="24">
        <f t="shared" si="5"/>
        <v>6</v>
      </c>
      <c r="C72" s="300" t="s">
        <v>180</v>
      </c>
      <c r="D72" s="300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300"/>
      <c r="Q72" s="300"/>
      <c r="R72" s="300"/>
      <c r="S72" s="300"/>
      <c r="T72" s="300"/>
      <c r="U72" s="300"/>
      <c r="V72" s="300"/>
      <c r="W72" s="300"/>
      <c r="X72" s="300"/>
      <c r="Y72" s="300"/>
      <c r="Z72" s="300"/>
      <c r="AA72" s="300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</row>
    <row r="73" spans="1:42" ht="21" customHeight="1" x14ac:dyDescent="0.25">
      <c r="B73" s="24">
        <f t="shared" si="5"/>
        <v>7</v>
      </c>
      <c r="C73" s="447" t="s">
        <v>236</v>
      </c>
      <c r="D73" s="447"/>
      <c r="E73" s="447"/>
      <c r="F73" s="447"/>
      <c r="G73" s="447"/>
      <c r="H73" s="447"/>
      <c r="I73" s="447"/>
      <c r="J73" s="447"/>
      <c r="K73" s="447"/>
      <c r="L73" s="447"/>
      <c r="M73" s="447"/>
      <c r="N73" s="447"/>
      <c r="O73" s="447"/>
      <c r="P73" s="447"/>
      <c r="Q73" s="447"/>
      <c r="R73" s="447"/>
      <c r="S73" s="447"/>
      <c r="T73" s="447"/>
      <c r="U73" s="447"/>
      <c r="V73" s="447"/>
      <c r="W73" s="447"/>
      <c r="X73" s="447"/>
      <c r="Y73" s="447"/>
      <c r="Z73" s="447"/>
      <c r="AA73" s="447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</row>
    <row r="74" spans="1:42" ht="19.5" customHeight="1" x14ac:dyDescent="0.25">
      <c r="B74" s="24">
        <f t="shared" si="5"/>
        <v>8</v>
      </c>
      <c r="C74" s="300" t="s">
        <v>235</v>
      </c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300"/>
      <c r="Q74" s="300"/>
      <c r="R74" s="300"/>
      <c r="S74" s="300"/>
      <c r="T74" s="300"/>
      <c r="U74" s="300"/>
      <c r="V74" s="300"/>
      <c r="W74" s="300"/>
      <c r="X74" s="300"/>
      <c r="Y74" s="300"/>
      <c r="Z74" s="300"/>
      <c r="AA74" s="300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</row>
    <row r="75" spans="1:42" ht="18" customHeight="1" x14ac:dyDescent="0.25">
      <c r="B75" s="24">
        <f t="shared" si="5"/>
        <v>9</v>
      </c>
      <c r="C75" s="270" t="s">
        <v>282</v>
      </c>
      <c r="D75" s="270"/>
      <c r="E75" s="270"/>
      <c r="F75" s="270"/>
      <c r="G75" s="270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270"/>
      <c r="U75" s="270"/>
      <c r="V75" s="270"/>
      <c r="W75" s="270"/>
      <c r="X75" s="270"/>
      <c r="Y75" s="270"/>
      <c r="Z75" s="270"/>
      <c r="AA75" s="270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</row>
    <row r="76" spans="1:42" ht="17.25" customHeight="1" x14ac:dyDescent="0.25">
      <c r="B76" s="24">
        <f t="shared" si="5"/>
        <v>10</v>
      </c>
      <c r="C76" s="447" t="s">
        <v>281</v>
      </c>
      <c r="D76" s="447"/>
      <c r="E76" s="447"/>
      <c r="F76" s="447"/>
      <c r="G76" s="447"/>
      <c r="H76" s="447"/>
      <c r="I76" s="447"/>
      <c r="J76" s="447"/>
      <c r="K76" s="447"/>
      <c r="L76" s="447"/>
      <c r="M76" s="447"/>
      <c r="N76" s="447"/>
      <c r="O76" s="447"/>
      <c r="P76" s="447"/>
      <c r="Q76" s="447"/>
      <c r="R76" s="447"/>
      <c r="S76" s="447"/>
      <c r="T76" s="447"/>
      <c r="U76" s="447"/>
      <c r="V76" s="447"/>
      <c r="W76" s="447"/>
      <c r="X76" s="447"/>
      <c r="Y76" s="447"/>
      <c r="Z76" s="447"/>
      <c r="AA76" s="447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</row>
    <row r="77" spans="1:42" ht="18" customHeight="1" x14ac:dyDescent="0.25">
      <c r="B77" s="24">
        <f t="shared" si="5"/>
        <v>11</v>
      </c>
      <c r="C77" s="447" t="s">
        <v>236</v>
      </c>
      <c r="D77" s="447"/>
      <c r="E77" s="447"/>
      <c r="F77" s="447"/>
      <c r="G77" s="447"/>
      <c r="H77" s="447"/>
      <c r="I77" s="447"/>
      <c r="J77" s="447"/>
      <c r="K77" s="447"/>
      <c r="L77" s="447"/>
      <c r="M77" s="447"/>
      <c r="N77" s="447"/>
      <c r="O77" s="447"/>
      <c r="P77" s="447"/>
      <c r="Q77" s="447"/>
      <c r="R77" s="447"/>
      <c r="S77" s="447"/>
      <c r="T77" s="447"/>
      <c r="U77" s="447"/>
      <c r="V77" s="447"/>
      <c r="W77" s="447"/>
      <c r="X77" s="447"/>
      <c r="Y77" s="447"/>
      <c r="Z77" s="447"/>
      <c r="AA77" s="447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</row>
    <row r="78" spans="1:42" x14ac:dyDescent="0.25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</row>
    <row r="79" spans="1:42" ht="15.75" x14ac:dyDescent="0.25">
      <c r="A79" s="72" t="s">
        <v>173</v>
      </c>
      <c r="B79" s="81" t="s">
        <v>174</v>
      </c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</row>
    <row r="80" spans="1:42" ht="15.75" x14ac:dyDescent="0.25">
      <c r="B80" s="31"/>
      <c r="Y80" s="55" t="s">
        <v>137</v>
      </c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</row>
    <row r="81" spans="1:49" ht="30.75" customHeight="1" x14ac:dyDescent="0.25">
      <c r="A81" s="291" t="s">
        <v>51</v>
      </c>
      <c r="B81" s="290" t="s">
        <v>53</v>
      </c>
      <c r="C81" s="291"/>
      <c r="D81" s="291"/>
      <c r="E81" s="291"/>
      <c r="F81" s="24"/>
      <c r="G81" s="24"/>
      <c r="H81" s="24"/>
      <c r="I81" s="24"/>
      <c r="J81" s="24"/>
      <c r="K81" s="291" t="s">
        <v>47</v>
      </c>
      <c r="L81" s="291"/>
      <c r="M81" s="291"/>
      <c r="N81" s="24"/>
      <c r="O81" s="24"/>
      <c r="P81" s="290" t="s">
        <v>158</v>
      </c>
      <c r="Q81" s="291"/>
      <c r="R81" s="291"/>
      <c r="S81" s="291"/>
      <c r="T81" s="291"/>
      <c r="U81" s="291"/>
      <c r="V81" s="291" t="s">
        <v>48</v>
      </c>
      <c r="W81" s="291"/>
      <c r="X81" s="291"/>
      <c r="Y81" s="291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</row>
    <row r="82" spans="1:49" ht="33" customHeight="1" x14ac:dyDescent="0.25">
      <c r="A82" s="291"/>
      <c r="B82" s="291"/>
      <c r="C82" s="291"/>
      <c r="D82" s="291"/>
      <c r="E82" s="291"/>
      <c r="F82" s="24"/>
      <c r="G82" s="24"/>
      <c r="H82" s="24"/>
      <c r="I82" s="24"/>
      <c r="J82" s="24"/>
      <c r="K82" s="24" t="s">
        <v>44</v>
      </c>
      <c r="L82" s="24" t="s">
        <v>45</v>
      </c>
      <c r="M82" s="24" t="s">
        <v>46</v>
      </c>
      <c r="N82" s="24"/>
      <c r="O82" s="24"/>
      <c r="P82" s="291" t="s">
        <v>44</v>
      </c>
      <c r="Q82" s="291"/>
      <c r="R82" s="291" t="s">
        <v>45</v>
      </c>
      <c r="S82" s="291"/>
      <c r="T82" s="291" t="s">
        <v>46</v>
      </c>
      <c r="U82" s="291"/>
      <c r="V82" s="24" t="s">
        <v>44</v>
      </c>
      <c r="W82" s="24"/>
      <c r="X82" s="24" t="s">
        <v>45</v>
      </c>
      <c r="Y82" s="24" t="s">
        <v>46</v>
      </c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</row>
    <row r="83" spans="1:49" ht="18" customHeight="1" x14ac:dyDescent="0.25">
      <c r="A83" s="36">
        <v>1</v>
      </c>
      <c r="B83" s="291">
        <v>2</v>
      </c>
      <c r="C83" s="291"/>
      <c r="D83" s="291"/>
      <c r="E83" s="291"/>
      <c r="F83" s="24"/>
      <c r="G83" s="24"/>
      <c r="H83" s="24"/>
      <c r="I83" s="24"/>
      <c r="J83" s="24"/>
      <c r="K83" s="24">
        <v>3</v>
      </c>
      <c r="L83" s="24">
        <v>4</v>
      </c>
      <c r="M83" s="24">
        <v>5</v>
      </c>
      <c r="N83" s="24"/>
      <c r="O83" s="24"/>
      <c r="P83" s="291">
        <v>6</v>
      </c>
      <c r="Q83" s="291"/>
      <c r="R83" s="291">
        <v>7</v>
      </c>
      <c r="S83" s="291"/>
      <c r="T83" s="291">
        <v>8</v>
      </c>
      <c r="U83" s="291"/>
      <c r="V83" s="24">
        <v>9</v>
      </c>
      <c r="W83" s="24"/>
      <c r="X83" s="24">
        <v>10</v>
      </c>
      <c r="Y83" s="24">
        <v>11</v>
      </c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</row>
    <row r="84" spans="1:49" ht="64.5" customHeight="1" x14ac:dyDescent="0.25">
      <c r="A84" s="4">
        <v>1</v>
      </c>
      <c r="B84" s="451" t="s">
        <v>186</v>
      </c>
      <c r="C84" s="451"/>
      <c r="D84" s="451"/>
      <c r="E84" s="451"/>
      <c r="F84" s="41"/>
      <c r="G84" s="41"/>
      <c r="H84" s="41"/>
      <c r="I84" s="41"/>
      <c r="J84" s="41"/>
      <c r="K84" s="222">
        <f>K61-K85</f>
        <v>306451465</v>
      </c>
      <c r="L84" s="222"/>
      <c r="M84" s="222">
        <f>K84+L84</f>
        <v>306451465</v>
      </c>
      <c r="N84" s="150"/>
      <c r="O84" s="150"/>
      <c r="P84" s="288">
        <f>P61-P85</f>
        <v>304181163.22999996</v>
      </c>
      <c r="Q84" s="289"/>
      <c r="R84" s="288"/>
      <c r="S84" s="289"/>
      <c r="T84" s="288">
        <f>P84+R84</f>
        <v>304181163.22999996</v>
      </c>
      <c r="U84" s="289"/>
      <c r="V84" s="235">
        <f>P84-K84</f>
        <v>-2270301.7700000405</v>
      </c>
      <c r="W84" s="150"/>
      <c r="X84" s="222"/>
      <c r="Y84" s="235">
        <f>V84+X84</f>
        <v>-2270301.7700000405</v>
      </c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</row>
    <row r="85" spans="1:49" ht="81.75" customHeight="1" x14ac:dyDescent="0.25">
      <c r="A85" s="101">
        <v>2</v>
      </c>
      <c r="B85" s="452" t="s">
        <v>253</v>
      </c>
      <c r="C85" s="452"/>
      <c r="D85" s="452"/>
      <c r="E85" s="452"/>
      <c r="F85" s="41"/>
      <c r="G85" s="41"/>
      <c r="H85" s="41"/>
      <c r="I85" s="41"/>
      <c r="J85" s="41"/>
      <c r="K85" s="150">
        <f>K59</f>
        <v>5966434</v>
      </c>
      <c r="L85" s="150"/>
      <c r="M85" s="150">
        <f>K85</f>
        <v>5966434</v>
      </c>
      <c r="N85" s="150"/>
      <c r="O85" s="150"/>
      <c r="P85" s="443">
        <f>P59</f>
        <v>5870468.7599999998</v>
      </c>
      <c r="Q85" s="443"/>
      <c r="R85" s="443"/>
      <c r="S85" s="443"/>
      <c r="T85" s="443">
        <f>P85</f>
        <v>5870468.7599999998</v>
      </c>
      <c r="U85" s="443"/>
      <c r="V85" s="150">
        <f>P85-K85</f>
        <v>-95965.240000000224</v>
      </c>
      <c r="W85" s="150"/>
      <c r="X85" s="150"/>
      <c r="Y85" s="150">
        <f>V85</f>
        <v>-95965.240000000224</v>
      </c>
      <c r="AD85" s="33"/>
      <c r="AE85" s="33"/>
      <c r="AF85" s="102"/>
      <c r="AG85" s="102"/>
      <c r="AH85" s="102"/>
      <c r="AI85" s="102"/>
      <c r="AJ85" s="102"/>
      <c r="AK85" s="102"/>
      <c r="AL85" s="33"/>
      <c r="AM85" s="33"/>
      <c r="AN85" s="33"/>
      <c r="AO85" s="33"/>
      <c r="AP85" s="33"/>
    </row>
    <row r="86" spans="1:49" ht="21" customHeight="1" x14ac:dyDescent="0.25">
      <c r="A86" s="42"/>
      <c r="B86" s="453" t="s">
        <v>50</v>
      </c>
      <c r="C86" s="453"/>
      <c r="D86" s="453"/>
      <c r="E86" s="453"/>
      <c r="F86" s="43"/>
      <c r="G86" s="43"/>
      <c r="H86" s="43"/>
      <c r="I86" s="43"/>
      <c r="J86" s="43"/>
      <c r="K86" s="150">
        <f>K84+K85</f>
        <v>312417899</v>
      </c>
      <c r="L86" s="150">
        <f>L84</f>
        <v>0</v>
      </c>
      <c r="M86" s="150">
        <f>K86</f>
        <v>312417899</v>
      </c>
      <c r="N86" s="150"/>
      <c r="O86" s="150"/>
      <c r="P86" s="448">
        <f>P84+P85</f>
        <v>310051631.98999995</v>
      </c>
      <c r="Q86" s="449"/>
      <c r="R86" s="443">
        <f>R84</f>
        <v>0</v>
      </c>
      <c r="S86" s="450"/>
      <c r="T86" s="443">
        <f>P86</f>
        <v>310051631.98999995</v>
      </c>
      <c r="U86" s="443"/>
      <c r="V86" s="150">
        <f>V84+V85</f>
        <v>-2366267.0100000408</v>
      </c>
      <c r="W86" s="150"/>
      <c r="X86" s="150">
        <f>X84</f>
        <v>0</v>
      </c>
      <c r="Y86" s="150">
        <f>V86+X86</f>
        <v>-2366267.0100000408</v>
      </c>
      <c r="AD86" s="152"/>
      <c r="AE86" s="151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</row>
    <row r="87" spans="1:49" x14ac:dyDescent="0.25"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</row>
    <row r="88" spans="1:49" ht="15.75" x14ac:dyDescent="0.25">
      <c r="A88" s="72" t="s">
        <v>175</v>
      </c>
      <c r="B88" s="81" t="s">
        <v>144</v>
      </c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</row>
    <row r="89" spans="1:49" ht="15.75" x14ac:dyDescent="0.25">
      <c r="A89" s="256" t="s">
        <v>24</v>
      </c>
      <c r="B89" s="256"/>
      <c r="C89" s="256"/>
      <c r="D89" s="256"/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6"/>
      <c r="P89" s="256"/>
      <c r="Q89" s="256"/>
      <c r="R89" s="256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</row>
    <row r="90" spans="1:49" ht="15.75" x14ac:dyDescent="0.25">
      <c r="B90" s="31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</row>
    <row r="91" spans="1:49" ht="46.5" customHeight="1" x14ac:dyDescent="0.25">
      <c r="A91" s="291" t="s">
        <v>51</v>
      </c>
      <c r="B91" s="291" t="s">
        <v>56</v>
      </c>
      <c r="C91" s="291"/>
      <c r="D91" s="291"/>
      <c r="E91" s="291"/>
      <c r="F91" s="24"/>
      <c r="G91" s="24"/>
      <c r="H91" s="24"/>
      <c r="I91" s="24"/>
      <c r="J91" s="24"/>
      <c r="K91" s="291" t="s">
        <v>54</v>
      </c>
      <c r="L91" s="291" t="s">
        <v>55</v>
      </c>
      <c r="M91" s="291"/>
      <c r="N91" s="24"/>
      <c r="O91" s="24"/>
      <c r="P91" s="291" t="s">
        <v>47</v>
      </c>
      <c r="Q91" s="291"/>
      <c r="R91" s="291"/>
      <c r="S91" s="291"/>
      <c r="T91" s="291"/>
      <c r="U91" s="291"/>
      <c r="V91" s="290" t="s">
        <v>172</v>
      </c>
      <c r="W91" s="290"/>
      <c r="X91" s="291"/>
      <c r="Y91" s="291"/>
      <c r="Z91" s="291" t="s">
        <v>48</v>
      </c>
      <c r="AA91" s="291"/>
      <c r="AB91" s="291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</row>
    <row r="92" spans="1:49" ht="36" customHeight="1" x14ac:dyDescent="0.25">
      <c r="A92" s="291"/>
      <c r="B92" s="291"/>
      <c r="C92" s="291"/>
      <c r="D92" s="291"/>
      <c r="E92" s="291"/>
      <c r="F92" s="24"/>
      <c r="G92" s="24"/>
      <c r="H92" s="24"/>
      <c r="I92" s="24"/>
      <c r="J92" s="24"/>
      <c r="K92" s="291"/>
      <c r="L92" s="291"/>
      <c r="M92" s="291"/>
      <c r="N92" s="24"/>
      <c r="O92" s="24"/>
      <c r="P92" s="291" t="s">
        <v>44</v>
      </c>
      <c r="Q92" s="291"/>
      <c r="R92" s="291" t="s">
        <v>45</v>
      </c>
      <c r="S92" s="291"/>
      <c r="T92" s="291" t="s">
        <v>46</v>
      </c>
      <c r="U92" s="291"/>
      <c r="V92" s="24" t="s">
        <v>44</v>
      </c>
      <c r="W92" s="24"/>
      <c r="X92" s="24" t="s">
        <v>45</v>
      </c>
      <c r="Y92" s="24" t="s">
        <v>46</v>
      </c>
      <c r="Z92" s="24" t="s">
        <v>44</v>
      </c>
      <c r="AA92" s="24" t="s">
        <v>45</v>
      </c>
      <c r="AB92" s="24" t="s">
        <v>46</v>
      </c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9" ht="18.75" customHeight="1" x14ac:dyDescent="0.25">
      <c r="A93" s="24">
        <v>1</v>
      </c>
      <c r="B93" s="291">
        <v>2</v>
      </c>
      <c r="C93" s="291"/>
      <c r="D93" s="291"/>
      <c r="E93" s="291"/>
      <c r="F93" s="24"/>
      <c r="G93" s="24"/>
      <c r="H93" s="24"/>
      <c r="I93" s="24"/>
      <c r="J93" s="24"/>
      <c r="K93" s="24">
        <v>3</v>
      </c>
      <c r="L93" s="291">
        <v>4</v>
      </c>
      <c r="M93" s="291"/>
      <c r="N93" s="24"/>
      <c r="O93" s="24"/>
      <c r="P93" s="291">
        <v>5</v>
      </c>
      <c r="Q93" s="291"/>
      <c r="R93" s="291">
        <v>6</v>
      </c>
      <c r="S93" s="291"/>
      <c r="T93" s="291">
        <v>7</v>
      </c>
      <c r="U93" s="291"/>
      <c r="V93" s="24">
        <v>8</v>
      </c>
      <c r="W93" s="24"/>
      <c r="X93" s="24">
        <v>9</v>
      </c>
      <c r="Y93" s="24">
        <v>10</v>
      </c>
      <c r="Z93" s="24">
        <v>11</v>
      </c>
      <c r="AA93" s="24">
        <v>12</v>
      </c>
      <c r="AB93" s="24">
        <v>13</v>
      </c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</row>
    <row r="94" spans="1:49" ht="21.75" customHeight="1" x14ac:dyDescent="0.25">
      <c r="A94" s="42"/>
      <c r="B94" s="264" t="s">
        <v>59</v>
      </c>
      <c r="C94" s="264"/>
      <c r="D94" s="264"/>
      <c r="E94" s="264"/>
      <c r="F94" s="264"/>
      <c r="G94" s="264"/>
      <c r="H94" s="264"/>
      <c r="I94" s="264"/>
      <c r="J94" s="264"/>
      <c r="K94" s="264"/>
      <c r="L94" s="264"/>
      <c r="M94" s="264"/>
      <c r="N94" s="264"/>
      <c r="O94" s="264"/>
      <c r="P94" s="264"/>
      <c r="Q94" s="264"/>
      <c r="R94" s="264"/>
      <c r="S94" s="264"/>
      <c r="T94" s="264"/>
      <c r="U94" s="264"/>
      <c r="V94" s="264"/>
      <c r="W94" s="264"/>
      <c r="X94" s="264"/>
      <c r="Y94" s="264"/>
      <c r="Z94" s="264"/>
      <c r="AA94" s="264"/>
      <c r="AB94" s="264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</row>
    <row r="95" spans="1:49" ht="20.25" customHeight="1" x14ac:dyDescent="0.25">
      <c r="A95" s="42"/>
      <c r="B95" s="322" t="s">
        <v>121</v>
      </c>
      <c r="C95" s="322"/>
      <c r="D95" s="322"/>
      <c r="E95" s="322"/>
      <c r="F95" s="44"/>
      <c r="G95" s="44"/>
      <c r="H95" s="44"/>
      <c r="I95" s="44"/>
      <c r="J95" s="44"/>
      <c r="K95" s="42"/>
      <c r="L95" s="349"/>
      <c r="M95" s="349"/>
      <c r="N95" s="36"/>
      <c r="O95" s="36"/>
      <c r="P95" s="349"/>
      <c r="Q95" s="349"/>
      <c r="R95" s="349"/>
      <c r="S95" s="349"/>
      <c r="T95" s="349"/>
      <c r="U95" s="349"/>
      <c r="V95" s="42"/>
      <c r="W95" s="42"/>
      <c r="X95" s="42"/>
      <c r="Y95" s="42"/>
      <c r="Z95" s="42"/>
      <c r="AA95" s="42"/>
      <c r="AB95" s="42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</row>
    <row r="96" spans="1:49" ht="20.25" customHeight="1" x14ac:dyDescent="0.25">
      <c r="A96" s="45">
        <v>1</v>
      </c>
      <c r="B96" s="270" t="s">
        <v>66</v>
      </c>
      <c r="C96" s="270"/>
      <c r="D96" s="270"/>
      <c r="E96" s="270"/>
      <c r="F96" s="270"/>
      <c r="G96" s="270"/>
      <c r="H96" s="270"/>
      <c r="I96" s="270"/>
      <c r="J96" s="270"/>
      <c r="K96" s="4" t="s">
        <v>71</v>
      </c>
      <c r="L96" s="245" t="s">
        <v>69</v>
      </c>
      <c r="M96" s="245"/>
      <c r="N96" s="245"/>
      <c r="O96" s="245"/>
      <c r="P96" s="294">
        <f>SUM(P97:Q100)</f>
        <v>37115302</v>
      </c>
      <c r="Q96" s="295"/>
      <c r="R96" s="294">
        <v>0</v>
      </c>
      <c r="S96" s="295"/>
      <c r="T96" s="294">
        <f>P96+R96</f>
        <v>37115302</v>
      </c>
      <c r="U96" s="295"/>
      <c r="V96" s="6">
        <f>SUM(V97:V100)</f>
        <v>37111443.090000004</v>
      </c>
      <c r="W96" s="6"/>
      <c r="X96" s="6">
        <v>0</v>
      </c>
      <c r="Y96" s="6">
        <f>V96+X96</f>
        <v>37111443.090000004</v>
      </c>
      <c r="Z96" s="6">
        <f>SUM(Z97:Z100)</f>
        <v>-3858.9100000030157</v>
      </c>
      <c r="AA96" s="6">
        <v>0</v>
      </c>
      <c r="AB96" s="6">
        <f>Z96+AA96</f>
        <v>-3858.9100000030157</v>
      </c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</row>
    <row r="97" spans="1:49" ht="64.5" customHeight="1" x14ac:dyDescent="0.25">
      <c r="A97" s="45">
        <v>2</v>
      </c>
      <c r="B97" s="402" t="s">
        <v>200</v>
      </c>
      <c r="C97" s="402"/>
      <c r="D97" s="402"/>
      <c r="E97" s="402"/>
      <c r="F97" s="402"/>
      <c r="G97" s="402"/>
      <c r="H97" s="402"/>
      <c r="I97" s="402"/>
      <c r="J97" s="402"/>
      <c r="K97" s="4" t="s">
        <v>71</v>
      </c>
      <c r="L97" s="245" t="s">
        <v>69</v>
      </c>
      <c r="M97" s="245"/>
      <c r="N97" s="245"/>
      <c r="O97" s="245"/>
      <c r="P97" s="440">
        <f>(25265500-200000)+11326691</f>
        <v>36392191</v>
      </c>
      <c r="Q97" s="441"/>
      <c r="R97" s="294"/>
      <c r="S97" s="294"/>
      <c r="T97" s="294">
        <f>P97+R97</f>
        <v>36392191</v>
      </c>
      <c r="U97" s="295"/>
      <c r="V97" s="6">
        <f>25065464.94+11326690.86</f>
        <v>36392155.799999997</v>
      </c>
      <c r="W97" s="6"/>
      <c r="X97" s="6"/>
      <c r="Y97" s="6">
        <f>V97</f>
        <v>36392155.799999997</v>
      </c>
      <c r="Z97" s="6">
        <f>V97-P97</f>
        <v>-35.200000002980232</v>
      </c>
      <c r="AA97" s="6"/>
      <c r="AB97" s="6">
        <f>Z97</f>
        <v>-35.200000002980232</v>
      </c>
      <c r="AD97" s="33"/>
      <c r="AE97" s="33"/>
      <c r="AF97" s="154"/>
      <c r="AG97" s="154"/>
      <c r="AH97" s="154"/>
      <c r="AI97" s="154"/>
      <c r="AJ97" s="154"/>
      <c r="AK97" s="154"/>
      <c r="AL97" s="153"/>
      <c r="AM97" s="153"/>
      <c r="AN97" s="153"/>
      <c r="AO97" s="153"/>
      <c r="AP97" s="33"/>
      <c r="AQ97" s="33"/>
      <c r="AR97" s="33"/>
      <c r="AS97" s="33"/>
      <c r="AT97" s="33"/>
      <c r="AU97" s="33"/>
      <c r="AV97" s="33"/>
      <c r="AW97" s="33"/>
    </row>
    <row r="98" spans="1:49" ht="38.25" customHeight="1" x14ac:dyDescent="0.25">
      <c r="A98" s="45">
        <f>A97+1</f>
        <v>3</v>
      </c>
      <c r="B98" s="350" t="s">
        <v>67</v>
      </c>
      <c r="C98" s="319"/>
      <c r="D98" s="319"/>
      <c r="E98" s="319"/>
      <c r="F98" s="319"/>
      <c r="G98" s="319"/>
      <c r="H98" s="319"/>
      <c r="I98" s="319"/>
      <c r="J98" s="351"/>
      <c r="K98" s="4" t="s">
        <v>71</v>
      </c>
      <c r="L98" s="245" t="s">
        <v>69</v>
      </c>
      <c r="M98" s="245"/>
      <c r="N98" s="245"/>
      <c r="O98" s="245"/>
      <c r="P98" s="440">
        <v>100000</v>
      </c>
      <c r="Q98" s="441"/>
      <c r="R98" s="294"/>
      <c r="S98" s="294"/>
      <c r="T98" s="294">
        <f>P98+R98</f>
        <v>100000</v>
      </c>
      <c r="U98" s="295"/>
      <c r="V98" s="6">
        <v>96598.52</v>
      </c>
      <c r="W98" s="6"/>
      <c r="X98" s="6"/>
      <c r="Y98" s="6">
        <f>V98</f>
        <v>96598.52</v>
      </c>
      <c r="Z98" s="6">
        <f>V98-P98</f>
        <v>-3401.4799999999959</v>
      </c>
      <c r="AA98" s="6"/>
      <c r="AB98" s="6">
        <f>Z98</f>
        <v>-3401.4799999999959</v>
      </c>
      <c r="AD98" s="33"/>
      <c r="AE98" s="33"/>
      <c r="AF98" s="154"/>
      <c r="AG98" s="154"/>
      <c r="AH98" s="154"/>
      <c r="AI98" s="154"/>
      <c r="AJ98" s="154"/>
      <c r="AK98" s="154"/>
      <c r="AL98" s="153"/>
      <c r="AM98" s="153"/>
      <c r="AN98" s="153"/>
      <c r="AO98" s="153"/>
      <c r="AP98" s="33"/>
      <c r="AQ98" s="33"/>
      <c r="AR98" s="33"/>
      <c r="AS98" s="33"/>
      <c r="AT98" s="33"/>
      <c r="AU98" s="33"/>
      <c r="AV98" s="33"/>
      <c r="AW98" s="33"/>
    </row>
    <row r="99" spans="1:49" ht="36.75" customHeight="1" x14ac:dyDescent="0.25">
      <c r="A99" s="45">
        <f>A98+1</f>
        <v>4</v>
      </c>
      <c r="B99" s="444" t="s">
        <v>198</v>
      </c>
      <c r="C99" s="445"/>
      <c r="D99" s="445"/>
      <c r="E99" s="445"/>
      <c r="K99" s="4" t="s">
        <v>71</v>
      </c>
      <c r="L99" s="245" t="s">
        <v>70</v>
      </c>
      <c r="M99" s="245"/>
      <c r="N99" s="245"/>
      <c r="O99" s="245"/>
      <c r="P99" s="272">
        <v>50000</v>
      </c>
      <c r="Q99" s="442"/>
      <c r="R99" s="294"/>
      <c r="S99" s="294"/>
      <c r="T99" s="294">
        <f>P99+R99</f>
        <v>50000</v>
      </c>
      <c r="U99" s="295"/>
      <c r="V99" s="6">
        <v>49998.81</v>
      </c>
      <c r="W99" s="6"/>
      <c r="X99" s="6"/>
      <c r="Y99" s="6">
        <f>V99</f>
        <v>49998.81</v>
      </c>
      <c r="Z99" s="6">
        <f>V99-P99</f>
        <v>-1.1900000000023283</v>
      </c>
      <c r="AA99" s="6"/>
      <c r="AB99" s="6">
        <f>Z99</f>
        <v>-1.1900000000023283</v>
      </c>
      <c r="AD99" s="33"/>
      <c r="AE99" s="33"/>
      <c r="AF99" s="161"/>
      <c r="AG99" s="161"/>
      <c r="AH99" s="161"/>
      <c r="AI99" s="161"/>
      <c r="AJ99" s="161"/>
      <c r="AK99" s="161"/>
      <c r="AL99" s="154"/>
      <c r="AM99" s="154"/>
      <c r="AN99" s="154"/>
      <c r="AO99" s="154"/>
      <c r="AP99" s="33"/>
      <c r="AQ99" s="33"/>
      <c r="AR99" s="33"/>
      <c r="AS99" s="33"/>
      <c r="AT99" s="33"/>
      <c r="AU99" s="33"/>
      <c r="AV99" s="33"/>
      <c r="AW99" s="33"/>
    </row>
    <row r="100" spans="1:49" ht="66" customHeight="1" x14ac:dyDescent="0.25">
      <c r="A100" s="45">
        <f>A99+1</f>
        <v>5</v>
      </c>
      <c r="B100" s="350" t="s">
        <v>199</v>
      </c>
      <c r="C100" s="319"/>
      <c r="D100" s="319"/>
      <c r="E100" s="319"/>
      <c r="F100" s="319"/>
      <c r="G100" s="319"/>
      <c r="H100" s="319"/>
      <c r="I100" s="319"/>
      <c r="J100" s="351"/>
      <c r="K100" s="4" t="s">
        <v>71</v>
      </c>
      <c r="L100" s="245" t="s">
        <v>70</v>
      </c>
      <c r="M100" s="245"/>
      <c r="N100" s="245"/>
      <c r="O100" s="245"/>
      <c r="P100" s="440">
        <f>200000+100000+273111</f>
        <v>573111</v>
      </c>
      <c r="Q100" s="441"/>
      <c r="R100" s="294"/>
      <c r="S100" s="294"/>
      <c r="T100" s="294">
        <f>P100+R100</f>
        <v>573111</v>
      </c>
      <c r="U100" s="295"/>
      <c r="V100" s="6">
        <v>572689.96</v>
      </c>
      <c r="W100" s="6"/>
      <c r="X100" s="6"/>
      <c r="Y100" s="6">
        <f>V100</f>
        <v>572689.96</v>
      </c>
      <c r="Z100" s="6">
        <f>V100-P100</f>
        <v>-421.04000000003725</v>
      </c>
      <c r="AA100" s="6"/>
      <c r="AB100" s="6">
        <f>Z100</f>
        <v>-421.04000000003725</v>
      </c>
      <c r="AD100" s="33"/>
      <c r="AE100" s="33"/>
      <c r="AF100" s="154"/>
      <c r="AG100" s="154"/>
      <c r="AH100" s="154"/>
      <c r="AI100" s="154"/>
      <c r="AJ100" s="154"/>
      <c r="AK100" s="154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</row>
    <row r="101" spans="1:49" ht="22.5" customHeight="1" x14ac:dyDescent="0.25">
      <c r="A101" s="45"/>
      <c r="B101" s="321" t="s">
        <v>122</v>
      </c>
      <c r="C101" s="322"/>
      <c r="D101" s="322"/>
      <c r="E101" s="322"/>
      <c r="F101" s="44"/>
      <c r="G101" s="44"/>
      <c r="H101" s="44"/>
      <c r="I101" s="44"/>
      <c r="J101" s="44"/>
      <c r="K101" s="42"/>
      <c r="L101" s="349"/>
      <c r="M101" s="349"/>
      <c r="N101" s="36"/>
      <c r="O101" s="36"/>
      <c r="P101" s="349"/>
      <c r="Q101" s="349"/>
      <c r="R101" s="349"/>
      <c r="S101" s="349"/>
      <c r="T101" s="349"/>
      <c r="U101" s="349"/>
      <c r="V101" s="42"/>
      <c r="W101" s="42"/>
      <c r="X101" s="42"/>
      <c r="Y101" s="42"/>
      <c r="Z101" s="42"/>
      <c r="AA101" s="42"/>
      <c r="AB101" s="42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</row>
    <row r="102" spans="1:49" ht="59.25" customHeight="1" x14ac:dyDescent="0.25">
      <c r="A102" s="45">
        <v>1</v>
      </c>
      <c r="B102" s="454" t="s">
        <v>201</v>
      </c>
      <c r="C102" s="455"/>
      <c r="D102" s="455"/>
      <c r="E102" s="455"/>
      <c r="F102" s="455"/>
      <c r="G102" s="455"/>
      <c r="H102" s="455"/>
      <c r="I102" s="455"/>
      <c r="J102" s="456"/>
      <c r="K102" s="2" t="s">
        <v>72</v>
      </c>
      <c r="L102" s="245" t="s">
        <v>74</v>
      </c>
      <c r="M102" s="245"/>
      <c r="N102" s="245"/>
      <c r="O102" s="245"/>
      <c r="P102" s="434">
        <v>181.52170000000001</v>
      </c>
      <c r="Q102" s="434"/>
      <c r="R102" s="434"/>
      <c r="S102" s="434"/>
      <c r="T102" s="434">
        <f>P102</f>
        <v>181.52170000000001</v>
      </c>
      <c r="U102" s="434"/>
      <c r="V102" s="436">
        <v>181.52199999999999</v>
      </c>
      <c r="W102" s="436"/>
      <c r="X102" s="181"/>
      <c r="Y102" s="178">
        <f>V102</f>
        <v>181.52199999999999</v>
      </c>
      <c r="Z102" s="97">
        <f>V102-P102</f>
        <v>2.9999999998153726E-4</v>
      </c>
      <c r="AA102" s="97"/>
      <c r="AB102" s="97">
        <f>Z102</f>
        <v>2.9999999998153726E-4</v>
      </c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</row>
    <row r="103" spans="1:49" ht="51" customHeight="1" x14ac:dyDescent="0.25">
      <c r="A103" s="45">
        <f>A102+1</f>
        <v>2</v>
      </c>
      <c r="B103" s="350" t="s">
        <v>146</v>
      </c>
      <c r="C103" s="319"/>
      <c r="D103" s="319"/>
      <c r="E103" s="319"/>
      <c r="F103" s="319"/>
      <c r="G103" s="319"/>
      <c r="H103" s="319"/>
      <c r="I103" s="319"/>
      <c r="J103" s="351"/>
      <c r="K103" s="2" t="s">
        <v>73</v>
      </c>
      <c r="L103" s="245" t="s">
        <v>77</v>
      </c>
      <c r="M103" s="245"/>
      <c r="N103" s="245"/>
      <c r="O103" s="245"/>
      <c r="P103" s="435">
        <v>322</v>
      </c>
      <c r="Q103" s="435"/>
      <c r="R103" s="295"/>
      <c r="S103" s="295"/>
      <c r="T103" s="352">
        <f>P103+R103</f>
        <v>322</v>
      </c>
      <c r="U103" s="352"/>
      <c r="V103" s="4">
        <v>322</v>
      </c>
      <c r="W103" s="4"/>
      <c r="X103" s="4"/>
      <c r="Y103" s="4">
        <f>V103+X103</f>
        <v>322</v>
      </c>
      <c r="Z103" s="97">
        <f>V103-P103</f>
        <v>0</v>
      </c>
      <c r="AA103" s="97"/>
      <c r="AB103" s="97">
        <f>Z103+AA103</f>
        <v>0</v>
      </c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</row>
    <row r="104" spans="1:49" ht="39" customHeight="1" x14ac:dyDescent="0.25">
      <c r="A104" s="45">
        <f>A103+1</f>
        <v>3</v>
      </c>
      <c r="B104" s="350" t="s">
        <v>147</v>
      </c>
      <c r="C104" s="319"/>
      <c r="D104" s="319"/>
      <c r="E104" s="319"/>
      <c r="F104" s="319"/>
      <c r="G104" s="319"/>
      <c r="H104" s="319"/>
      <c r="I104" s="319"/>
      <c r="J104" s="351"/>
      <c r="K104" s="2" t="s">
        <v>72</v>
      </c>
      <c r="L104" s="245" t="s">
        <v>76</v>
      </c>
      <c r="M104" s="245"/>
      <c r="N104" s="245"/>
      <c r="O104" s="245"/>
      <c r="P104" s="438">
        <v>1.3220000000000001</v>
      </c>
      <c r="Q104" s="438"/>
      <c r="R104" s="434"/>
      <c r="S104" s="434"/>
      <c r="T104" s="434">
        <f>P104+R104</f>
        <v>1.3220000000000001</v>
      </c>
      <c r="U104" s="434"/>
      <c r="V104" s="437">
        <f>3.3818/3</f>
        <v>1.1272666666666666</v>
      </c>
      <c r="W104" s="437"/>
      <c r="X104" s="219"/>
      <c r="Y104" s="178">
        <f>V104+X104</f>
        <v>1.1272666666666666</v>
      </c>
      <c r="Z104" s="58">
        <f>V104-P104</f>
        <v>-0.19473333333333342</v>
      </c>
      <c r="AA104" s="58"/>
      <c r="AB104" s="58">
        <f>Z104+AA104</f>
        <v>-0.19473333333333342</v>
      </c>
      <c r="AD104" s="57"/>
      <c r="AE104" s="347"/>
      <c r="AF104" s="347"/>
      <c r="AG104" s="347"/>
      <c r="AH104" s="347"/>
      <c r="AI104" s="347"/>
      <c r="AJ104" s="347"/>
      <c r="AK104" s="347"/>
      <c r="AL104" s="347"/>
      <c r="AM104" s="347"/>
      <c r="AN104" s="347"/>
      <c r="AO104" s="347"/>
      <c r="AP104" s="347"/>
      <c r="AQ104" s="347"/>
      <c r="AR104" s="347"/>
      <c r="AS104" s="347"/>
      <c r="AT104" s="347"/>
      <c r="AU104" s="347"/>
      <c r="AV104" s="347"/>
      <c r="AW104" s="347"/>
    </row>
    <row r="105" spans="1:49" ht="49.5" customHeight="1" x14ac:dyDescent="0.25">
      <c r="A105" s="45">
        <f>A104+1</f>
        <v>4</v>
      </c>
      <c r="B105" s="343" t="s">
        <v>202</v>
      </c>
      <c r="C105" s="344"/>
      <c r="D105" s="344"/>
      <c r="E105" s="344"/>
      <c r="F105" s="11"/>
      <c r="G105" s="11"/>
      <c r="H105" s="11"/>
      <c r="I105" s="11"/>
      <c r="J105" s="195"/>
      <c r="K105" s="2" t="s">
        <v>73</v>
      </c>
      <c r="L105" s="245" t="s">
        <v>32</v>
      </c>
      <c r="M105" s="245"/>
      <c r="N105" s="245"/>
      <c r="O105" s="245"/>
      <c r="P105" s="295">
        <v>36</v>
      </c>
      <c r="Q105" s="295"/>
      <c r="R105" s="439"/>
      <c r="S105" s="439"/>
      <c r="T105" s="320">
        <f>P105+R105</f>
        <v>36</v>
      </c>
      <c r="U105" s="320"/>
      <c r="V105" s="121">
        <v>92</v>
      </c>
      <c r="W105" s="121"/>
      <c r="X105" s="139"/>
      <c r="Y105" s="97">
        <f>V105+X105</f>
        <v>92</v>
      </c>
      <c r="Z105" s="97">
        <f>V105-P105</f>
        <v>56</v>
      </c>
      <c r="AA105" s="97"/>
      <c r="AB105" s="97">
        <f>Z105</f>
        <v>56</v>
      </c>
      <c r="AD105" s="33"/>
      <c r="AE105" s="347"/>
      <c r="AF105" s="347"/>
      <c r="AG105" s="347"/>
      <c r="AH105" s="347"/>
      <c r="AI105" s="347"/>
      <c r="AJ105" s="347"/>
      <c r="AK105" s="347"/>
      <c r="AL105" s="347"/>
      <c r="AM105" s="347"/>
      <c r="AN105" s="347"/>
      <c r="AO105" s="347"/>
      <c r="AP105" s="347"/>
      <c r="AQ105" s="347"/>
      <c r="AR105" s="347"/>
      <c r="AS105" s="347"/>
      <c r="AT105" s="347"/>
      <c r="AU105" s="347"/>
      <c r="AV105" s="347"/>
      <c r="AW105" s="347"/>
    </row>
    <row r="106" spans="1:49" ht="33.75" customHeight="1" x14ac:dyDescent="0.25">
      <c r="A106" s="45">
        <f>A105+1</f>
        <v>5</v>
      </c>
      <c r="B106" s="332" t="s">
        <v>112</v>
      </c>
      <c r="C106" s="333"/>
      <c r="D106" s="333"/>
      <c r="E106" s="333"/>
      <c r="F106" s="333"/>
      <c r="G106" s="333"/>
      <c r="H106" s="333"/>
      <c r="I106" s="333"/>
      <c r="J106" s="334"/>
      <c r="K106" s="2" t="s">
        <v>92</v>
      </c>
      <c r="L106" s="241" t="s">
        <v>76</v>
      </c>
      <c r="M106" s="335"/>
      <c r="N106" s="335"/>
      <c r="O106" s="242"/>
      <c r="P106" s="412">
        <f>100.815+50.44+19.6+50.44</f>
        <v>221.29499999999999</v>
      </c>
      <c r="Q106" s="412"/>
      <c r="R106" s="318"/>
      <c r="S106" s="318"/>
      <c r="T106" s="434">
        <f>P106</f>
        <v>221.29499999999999</v>
      </c>
      <c r="U106" s="434"/>
      <c r="V106" s="309">
        <v>154.16</v>
      </c>
      <c r="W106" s="309"/>
      <c r="X106" s="10"/>
      <c r="Y106" s="58">
        <f>V106</f>
        <v>154.16</v>
      </c>
      <c r="Z106" s="94">
        <f>V106-P106</f>
        <v>-67.134999999999991</v>
      </c>
      <c r="AA106" s="94"/>
      <c r="AB106" s="94">
        <f>Z106</f>
        <v>-67.134999999999991</v>
      </c>
      <c r="AD106" s="33"/>
      <c r="AE106" s="33"/>
      <c r="AF106" s="200"/>
      <c r="AG106" s="200"/>
      <c r="AH106" s="200"/>
      <c r="AI106" s="200"/>
      <c r="AJ106" s="200"/>
      <c r="AK106" s="200"/>
      <c r="AL106" s="200"/>
      <c r="AM106" s="200"/>
      <c r="AN106" s="200"/>
      <c r="AO106" s="200"/>
      <c r="AP106" s="200"/>
      <c r="AQ106" s="200"/>
      <c r="AR106" s="200"/>
      <c r="AS106" s="200"/>
      <c r="AT106" s="200"/>
      <c r="AU106" s="200"/>
      <c r="AV106" s="200"/>
      <c r="AW106" s="200"/>
    </row>
    <row r="107" spans="1:49" ht="19.5" customHeight="1" x14ac:dyDescent="0.25">
      <c r="A107" s="45"/>
      <c r="B107" s="329" t="s">
        <v>123</v>
      </c>
      <c r="C107" s="329"/>
      <c r="D107" s="329"/>
      <c r="E107" s="329"/>
      <c r="F107" s="20"/>
      <c r="G107" s="20"/>
      <c r="H107" s="20"/>
      <c r="I107" s="20"/>
      <c r="J107" s="20"/>
      <c r="K107" s="2"/>
      <c r="L107" s="245"/>
      <c r="M107" s="245"/>
      <c r="N107" s="3"/>
      <c r="O107" s="3"/>
      <c r="P107" s="349"/>
      <c r="Q107" s="349"/>
      <c r="R107" s="349"/>
      <c r="S107" s="349"/>
      <c r="T107" s="349"/>
      <c r="U107" s="349"/>
      <c r="V107" s="36"/>
      <c r="W107" s="36"/>
      <c r="X107" s="36"/>
      <c r="Y107" s="36"/>
      <c r="Z107" s="36"/>
      <c r="AA107" s="36"/>
      <c r="AB107" s="36"/>
      <c r="AD107" s="33"/>
      <c r="AE107" s="461"/>
      <c r="AF107" s="461"/>
      <c r="AG107" s="461"/>
      <c r="AH107" s="461"/>
      <c r="AI107" s="461"/>
      <c r="AJ107" s="461"/>
      <c r="AK107" s="461"/>
      <c r="AL107" s="461"/>
      <c r="AM107" s="461"/>
      <c r="AN107" s="461"/>
      <c r="AO107" s="461"/>
      <c r="AP107" s="461"/>
      <c r="AQ107" s="461"/>
      <c r="AR107" s="461"/>
      <c r="AS107" s="461"/>
      <c r="AT107" s="461"/>
      <c r="AU107" s="461"/>
      <c r="AV107" s="461"/>
      <c r="AW107" s="461"/>
    </row>
    <row r="108" spans="1:49" ht="33.75" customHeight="1" x14ac:dyDescent="0.25">
      <c r="A108" s="45">
        <v>1</v>
      </c>
      <c r="B108" s="454" t="s">
        <v>148</v>
      </c>
      <c r="C108" s="455"/>
      <c r="D108" s="455"/>
      <c r="E108" s="455"/>
      <c r="F108" s="455"/>
      <c r="G108" s="455"/>
      <c r="H108" s="455"/>
      <c r="I108" s="455"/>
      <c r="J108" s="456"/>
      <c r="K108" s="2" t="s">
        <v>71</v>
      </c>
      <c r="L108" s="245" t="s">
        <v>78</v>
      </c>
      <c r="M108" s="245"/>
      <c r="N108" s="3"/>
      <c r="O108" s="3"/>
      <c r="P108" s="282">
        <f>(P97-1379800)/P102</f>
        <v>192882.67463339094</v>
      </c>
      <c r="Q108" s="283" t="e">
        <f>(Q97-2205600)/Q102</f>
        <v>#DIV/0!</v>
      </c>
      <c r="R108" s="294"/>
      <c r="S108" s="294"/>
      <c r="T108" s="294">
        <f>P108</f>
        <v>192882.67463339094</v>
      </c>
      <c r="U108" s="294"/>
      <c r="V108" s="230">
        <f>(V97-1379800)/V102</f>
        <v>192882.16194180318</v>
      </c>
      <c r="W108" s="230"/>
      <c r="X108" s="130"/>
      <c r="Y108" s="6">
        <f>V108</f>
        <v>192882.16194180318</v>
      </c>
      <c r="Z108" s="6">
        <f>V108-P108</f>
        <v>-0.51269158776267432</v>
      </c>
      <c r="AA108" s="6"/>
      <c r="AB108" s="6">
        <f>Z108</f>
        <v>-0.51269158776267432</v>
      </c>
      <c r="AD108" s="33"/>
      <c r="AE108" s="33"/>
      <c r="AF108" s="33"/>
      <c r="AG108" s="33"/>
      <c r="AH108" s="155"/>
      <c r="AI108" s="156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</row>
    <row r="109" spans="1:49" ht="51" customHeight="1" x14ac:dyDescent="0.25">
      <c r="A109" s="45">
        <f>A108+1</f>
        <v>2</v>
      </c>
      <c r="B109" s="454" t="s">
        <v>68</v>
      </c>
      <c r="C109" s="455"/>
      <c r="D109" s="455"/>
      <c r="E109" s="455"/>
      <c r="F109" s="455"/>
      <c r="G109" s="455"/>
      <c r="H109" s="455"/>
      <c r="I109" s="455"/>
      <c r="J109" s="456"/>
      <c r="K109" s="2" t="s">
        <v>71</v>
      </c>
      <c r="L109" s="245" t="s">
        <v>78</v>
      </c>
      <c r="M109" s="245"/>
      <c r="N109" s="3"/>
      <c r="O109" s="3"/>
      <c r="P109" s="312">
        <f>(1379800-200000)/P103</f>
        <v>3663.9751552795033</v>
      </c>
      <c r="Q109" s="312" t="e">
        <f>2205600/Q103</f>
        <v>#DIV/0!</v>
      </c>
      <c r="R109" s="294"/>
      <c r="S109" s="294"/>
      <c r="T109" s="294">
        <f>P109+R109</f>
        <v>3663.9751552795033</v>
      </c>
      <c r="U109" s="294"/>
      <c r="V109" s="337">
        <f>(734499.91)/V103</f>
        <v>2281.0556211180124</v>
      </c>
      <c r="W109" s="337" t="e">
        <f>2205600/W103</f>
        <v>#DIV/0!</v>
      </c>
      <c r="X109" s="6"/>
      <c r="Y109" s="6">
        <f>V109</f>
        <v>2281.0556211180124</v>
      </c>
      <c r="Z109" s="6">
        <f>V109-P109</f>
        <v>-1382.9195341614909</v>
      </c>
      <c r="AA109" s="6"/>
      <c r="AB109" s="6">
        <f>Z109</f>
        <v>-1382.9195341614909</v>
      </c>
      <c r="AD109" s="57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</row>
    <row r="110" spans="1:49" ht="33" customHeight="1" x14ac:dyDescent="0.25">
      <c r="A110" s="45">
        <f>A109+1</f>
        <v>3</v>
      </c>
      <c r="B110" s="301" t="s">
        <v>149</v>
      </c>
      <c r="C110" s="302"/>
      <c r="D110" s="302"/>
      <c r="E110" s="302"/>
      <c r="F110" s="302"/>
      <c r="G110" s="302"/>
      <c r="H110" s="302"/>
      <c r="I110" s="302"/>
      <c r="J110" s="303"/>
      <c r="K110" s="2" t="s">
        <v>71</v>
      </c>
      <c r="L110" s="245" t="s">
        <v>78</v>
      </c>
      <c r="M110" s="245"/>
      <c r="N110" s="3"/>
      <c r="O110" s="3"/>
      <c r="P110" s="312">
        <f>P98/P104/3</f>
        <v>25214.321734745332</v>
      </c>
      <c r="Q110" s="312" t="e">
        <f>Q98/Q104/4</f>
        <v>#DIV/0!</v>
      </c>
      <c r="R110" s="294"/>
      <c r="S110" s="294"/>
      <c r="T110" s="294">
        <f>P110+R110</f>
        <v>25214.321734745332</v>
      </c>
      <c r="U110" s="294"/>
      <c r="V110" s="230">
        <f>V98/V104/3</f>
        <v>28564.232065763794</v>
      </c>
      <c r="W110" s="230"/>
      <c r="X110" s="6"/>
      <c r="Y110" s="6">
        <f>V110</f>
        <v>28564.232065763794</v>
      </c>
      <c r="Z110" s="6">
        <f>V110-P110</f>
        <v>3349.9103310184619</v>
      </c>
      <c r="AA110" s="6"/>
      <c r="AB110" s="6">
        <f>Z110</f>
        <v>3349.9103310184619</v>
      </c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</row>
    <row r="111" spans="1:49" ht="35.25" customHeight="1" x14ac:dyDescent="0.25">
      <c r="A111" s="45">
        <f>A110+1</f>
        <v>4</v>
      </c>
      <c r="B111" s="454" t="s">
        <v>33</v>
      </c>
      <c r="C111" s="455"/>
      <c r="D111" s="455"/>
      <c r="E111" s="455"/>
      <c r="F111" s="455"/>
      <c r="G111" s="455"/>
      <c r="H111" s="455"/>
      <c r="I111" s="455"/>
      <c r="J111" s="456"/>
      <c r="K111" s="2" t="s">
        <v>71</v>
      </c>
      <c r="L111" s="245" t="s">
        <v>78</v>
      </c>
      <c r="M111" s="245"/>
      <c r="N111" s="3"/>
      <c r="O111" s="3"/>
      <c r="P111" s="312">
        <f>P99/P105</f>
        <v>1388.8888888888889</v>
      </c>
      <c r="Q111" s="312" t="e">
        <f>Q99/Q105</f>
        <v>#DIV/0!</v>
      </c>
      <c r="R111" s="294"/>
      <c r="S111" s="294"/>
      <c r="T111" s="294">
        <f>P111</f>
        <v>1388.8888888888889</v>
      </c>
      <c r="U111" s="294"/>
      <c r="V111" s="230">
        <f>V99/V105</f>
        <v>543.46532608695645</v>
      </c>
      <c r="W111" s="230"/>
      <c r="X111" s="6"/>
      <c r="Y111" s="6">
        <f>V111</f>
        <v>543.46532608695645</v>
      </c>
      <c r="Z111" s="6">
        <f>V111-P111</f>
        <v>-845.42356280193246</v>
      </c>
      <c r="AA111" s="6"/>
      <c r="AB111" s="6">
        <f>Z111</f>
        <v>-845.42356280193246</v>
      </c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</row>
    <row r="112" spans="1:49" ht="34.5" customHeight="1" x14ac:dyDescent="0.25">
      <c r="A112" s="45">
        <f>A111+1</f>
        <v>5</v>
      </c>
      <c r="B112" s="332" t="s">
        <v>114</v>
      </c>
      <c r="C112" s="333"/>
      <c r="D112" s="333"/>
      <c r="E112" s="333"/>
      <c r="F112" s="333"/>
      <c r="G112" s="333"/>
      <c r="H112" s="333"/>
      <c r="I112" s="333"/>
      <c r="J112" s="334"/>
      <c r="K112" s="2" t="s">
        <v>71</v>
      </c>
      <c r="L112" s="245" t="s">
        <v>78</v>
      </c>
      <c r="M112" s="245"/>
      <c r="N112" s="3"/>
      <c r="O112" s="3"/>
      <c r="P112" s="312">
        <f>P100/P106</f>
        <v>2589.8054632956009</v>
      </c>
      <c r="Q112" s="312" t="e">
        <f>Q100/Q106</f>
        <v>#DIV/0!</v>
      </c>
      <c r="R112" s="294"/>
      <c r="S112" s="294"/>
      <c r="T112" s="294">
        <f>P112+R112</f>
        <v>2589.8054632956009</v>
      </c>
      <c r="U112" s="294"/>
      <c r="V112" s="230">
        <f>V100/V106</f>
        <v>3714.9063310845872</v>
      </c>
      <c r="W112" s="230"/>
      <c r="X112" s="6"/>
      <c r="Y112" s="6">
        <f>V112</f>
        <v>3714.9063310845872</v>
      </c>
      <c r="Z112" s="6">
        <f>V112-P112</f>
        <v>1125.1008677889863</v>
      </c>
      <c r="AA112" s="6"/>
      <c r="AB112" s="6">
        <f>Z112</f>
        <v>1125.1008677889863</v>
      </c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</row>
    <row r="113" spans="1:52" ht="18.75" customHeight="1" x14ac:dyDescent="0.25">
      <c r="A113" s="45"/>
      <c r="B113" s="433" t="s">
        <v>124</v>
      </c>
      <c r="C113" s="433"/>
      <c r="D113" s="433"/>
      <c r="E113" s="433"/>
      <c r="F113" s="47"/>
      <c r="G113" s="47"/>
      <c r="H113" s="47"/>
      <c r="I113" s="47"/>
      <c r="J113" s="47"/>
      <c r="K113" s="48"/>
      <c r="L113" s="457"/>
      <c r="M113" s="458"/>
      <c r="N113" s="49"/>
      <c r="O113" s="49"/>
      <c r="P113" s="398"/>
      <c r="Q113" s="398"/>
      <c r="R113" s="398"/>
      <c r="S113" s="398"/>
      <c r="T113" s="398"/>
      <c r="U113" s="398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</row>
    <row r="114" spans="1:52" ht="48.75" customHeight="1" x14ac:dyDescent="0.25">
      <c r="A114" s="45">
        <f>1</f>
        <v>1</v>
      </c>
      <c r="B114" s="301" t="s">
        <v>150</v>
      </c>
      <c r="C114" s="302"/>
      <c r="D114" s="302"/>
      <c r="E114" s="302"/>
      <c r="F114" s="302"/>
      <c r="G114" s="302"/>
      <c r="H114" s="302"/>
      <c r="I114" s="302"/>
      <c r="J114" s="303"/>
      <c r="K114" s="169" t="s">
        <v>0</v>
      </c>
      <c r="L114" s="245" t="s">
        <v>78</v>
      </c>
      <c r="M114" s="245"/>
      <c r="N114" s="3"/>
      <c r="O114" s="3"/>
      <c r="P114" s="311">
        <f>P102/181.5217*100</f>
        <v>100</v>
      </c>
      <c r="Q114" s="311"/>
      <c r="R114" s="311"/>
      <c r="S114" s="311"/>
      <c r="T114" s="311">
        <f>P114</f>
        <v>100</v>
      </c>
      <c r="U114" s="311"/>
      <c r="V114" s="311">
        <f>V102/181.52*100</f>
        <v>100.0011018069634</v>
      </c>
      <c r="W114" s="311"/>
      <c r="X114" s="58"/>
      <c r="Y114" s="58">
        <f>V114</f>
        <v>100.0011018069634</v>
      </c>
      <c r="Z114" s="58">
        <f>V114-P114</f>
        <v>1.1018069634047833E-3</v>
      </c>
      <c r="AA114" s="58"/>
      <c r="AB114" s="58">
        <f>Z114</f>
        <v>1.1018069634047833E-3</v>
      </c>
      <c r="AD114" s="33"/>
      <c r="AE114" s="33"/>
      <c r="AF114" s="33"/>
      <c r="AG114" s="33"/>
      <c r="AH114" s="157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</row>
    <row r="115" spans="1:52" ht="65.25" customHeight="1" x14ac:dyDescent="0.25">
      <c r="A115" s="45">
        <f>A114+1</f>
        <v>2</v>
      </c>
      <c r="B115" s="301" t="s">
        <v>151</v>
      </c>
      <c r="C115" s="302"/>
      <c r="D115" s="302"/>
      <c r="E115" s="302"/>
      <c r="F115" s="302"/>
      <c r="G115" s="302"/>
      <c r="H115" s="302"/>
      <c r="I115" s="302"/>
      <c r="J115" s="303"/>
      <c r="K115" s="169" t="s">
        <v>0</v>
      </c>
      <c r="L115" s="245" t="s">
        <v>78</v>
      </c>
      <c r="M115" s="245"/>
      <c r="N115" s="3"/>
      <c r="O115" s="3"/>
      <c r="P115" s="311">
        <f>P103/322*100</f>
        <v>100</v>
      </c>
      <c r="Q115" s="311"/>
      <c r="R115" s="311"/>
      <c r="S115" s="311"/>
      <c r="T115" s="311">
        <f>P115</f>
        <v>100</v>
      </c>
      <c r="U115" s="311"/>
      <c r="V115" s="311">
        <f>V103/322*100</f>
        <v>100</v>
      </c>
      <c r="W115" s="311"/>
      <c r="X115" s="58"/>
      <c r="Y115" s="58">
        <f>V115</f>
        <v>100</v>
      </c>
      <c r="Z115" s="58">
        <f>V115-P115</f>
        <v>0</v>
      </c>
      <c r="AA115" s="58"/>
      <c r="AB115" s="58">
        <f>Z115</f>
        <v>0</v>
      </c>
      <c r="AD115" s="33"/>
      <c r="AE115" s="33"/>
      <c r="AF115" s="33"/>
      <c r="AG115" s="33"/>
      <c r="AH115" s="157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</row>
    <row r="116" spans="1:52" ht="48.75" customHeight="1" x14ac:dyDescent="0.25">
      <c r="A116" s="45">
        <f>A115+1</f>
        <v>3</v>
      </c>
      <c r="B116" s="350" t="s">
        <v>152</v>
      </c>
      <c r="C116" s="319"/>
      <c r="D116" s="319"/>
      <c r="E116" s="319"/>
      <c r="F116" s="319"/>
      <c r="G116" s="319"/>
      <c r="H116" s="319"/>
      <c r="I116" s="319"/>
      <c r="J116" s="351"/>
      <c r="K116" s="169" t="s">
        <v>0</v>
      </c>
      <c r="L116" s="245" t="s">
        <v>78</v>
      </c>
      <c r="M116" s="245"/>
      <c r="N116" s="3"/>
      <c r="O116" s="3"/>
      <c r="P116" s="311">
        <f>P104/1.322*100</f>
        <v>100</v>
      </c>
      <c r="Q116" s="311"/>
      <c r="R116" s="311"/>
      <c r="S116" s="311"/>
      <c r="T116" s="311">
        <f>P116</f>
        <v>100</v>
      </c>
      <c r="U116" s="311"/>
      <c r="V116" s="311">
        <f>V104/P104*100</f>
        <v>85.269793242561761</v>
      </c>
      <c r="W116" s="311"/>
      <c r="X116" s="58"/>
      <c r="Y116" s="58">
        <f>V116</f>
        <v>85.269793242561761</v>
      </c>
      <c r="Z116" s="58">
        <f>V116-P116</f>
        <v>-14.730206757438239</v>
      </c>
      <c r="AA116" s="58"/>
      <c r="AB116" s="58">
        <f>Z116</f>
        <v>-14.730206757438239</v>
      </c>
      <c r="AD116" s="33"/>
      <c r="AE116" s="33"/>
      <c r="AF116" s="33"/>
      <c r="AG116" s="33"/>
      <c r="AH116" s="157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</row>
    <row r="117" spans="1:52" ht="81" customHeight="1" x14ac:dyDescent="0.25">
      <c r="A117" s="45">
        <f>A116+1</f>
        <v>4</v>
      </c>
      <c r="B117" s="301" t="s">
        <v>203</v>
      </c>
      <c r="C117" s="302"/>
      <c r="D117" s="302"/>
      <c r="E117" s="302"/>
      <c r="F117" s="302"/>
      <c r="G117" s="302"/>
      <c r="H117" s="302"/>
      <c r="I117" s="302"/>
      <c r="J117" s="303"/>
      <c r="K117" s="169" t="s">
        <v>0</v>
      </c>
      <c r="L117" s="245" t="s">
        <v>78</v>
      </c>
      <c r="M117" s="245"/>
      <c r="N117" s="3"/>
      <c r="O117" s="3"/>
      <c r="P117" s="311">
        <f>P105/36*100</f>
        <v>100</v>
      </c>
      <c r="Q117" s="311"/>
      <c r="R117" s="311"/>
      <c r="S117" s="311"/>
      <c r="T117" s="311">
        <f>P117</f>
        <v>100</v>
      </c>
      <c r="U117" s="311"/>
      <c r="V117" s="58">
        <f>V105/P105*100</f>
        <v>255.55555555555554</v>
      </c>
      <c r="W117" s="58"/>
      <c r="X117" s="58"/>
      <c r="Y117" s="58">
        <f>V117</f>
        <v>255.55555555555554</v>
      </c>
      <c r="Z117" s="58">
        <f>V117-P117</f>
        <v>155.55555555555554</v>
      </c>
      <c r="AA117" s="58"/>
      <c r="AB117" s="58">
        <f>Z117</f>
        <v>155.55555555555554</v>
      </c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</row>
    <row r="118" spans="1:52" ht="48" customHeight="1" x14ac:dyDescent="0.25">
      <c r="A118" s="45">
        <f>A117+1</f>
        <v>5</v>
      </c>
      <c r="B118" s="427" t="s">
        <v>153</v>
      </c>
      <c r="C118" s="427"/>
      <c r="D118" s="427"/>
      <c r="E118" s="427"/>
      <c r="F118" s="427"/>
      <c r="G118" s="427"/>
      <c r="H118" s="427"/>
      <c r="I118" s="427"/>
      <c r="J118" s="427"/>
      <c r="K118" s="169" t="s">
        <v>0</v>
      </c>
      <c r="L118" s="245" t="s">
        <v>78</v>
      </c>
      <c r="M118" s="245"/>
      <c r="N118" s="3"/>
      <c r="O118" s="3"/>
      <c r="P118" s="311">
        <f>P106/221.295*100</f>
        <v>100</v>
      </c>
      <c r="Q118" s="311"/>
      <c r="R118" s="311"/>
      <c r="S118" s="311"/>
      <c r="T118" s="311">
        <f>P118</f>
        <v>100</v>
      </c>
      <c r="U118" s="311"/>
      <c r="V118" s="311">
        <f>V106/P106*100</f>
        <v>69.662667480060563</v>
      </c>
      <c r="W118" s="311"/>
      <c r="X118" s="58"/>
      <c r="Y118" s="58">
        <f>V118</f>
        <v>69.662667480060563</v>
      </c>
      <c r="Z118" s="58">
        <f>V118-P118</f>
        <v>-30.337332519939437</v>
      </c>
      <c r="AA118" s="58"/>
      <c r="AB118" s="58">
        <f>Z118</f>
        <v>-30.337332519939437</v>
      </c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</row>
    <row r="119" spans="1:52" ht="20.100000000000001" customHeight="1" x14ac:dyDescent="0.25">
      <c r="A119" s="45"/>
      <c r="B119" s="379" t="s">
        <v>60</v>
      </c>
      <c r="C119" s="379"/>
      <c r="D119" s="379"/>
      <c r="E119" s="379"/>
      <c r="F119" s="379"/>
      <c r="G119" s="379"/>
      <c r="H119" s="379"/>
      <c r="I119" s="379"/>
      <c r="J119" s="379"/>
      <c r="K119" s="379"/>
      <c r="L119" s="379"/>
      <c r="M119" s="379"/>
      <c r="N119" s="431"/>
      <c r="O119" s="431"/>
      <c r="P119" s="431"/>
      <c r="Q119" s="432"/>
      <c r="R119" s="349"/>
      <c r="S119" s="349"/>
      <c r="T119" s="349"/>
      <c r="U119" s="349"/>
      <c r="V119" s="42"/>
      <c r="W119" s="42"/>
      <c r="X119" s="42"/>
      <c r="Y119" s="42"/>
      <c r="Z119" s="42"/>
      <c r="AA119" s="42"/>
      <c r="AB119" s="42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</row>
    <row r="120" spans="1:52" ht="20.100000000000001" customHeight="1" x14ac:dyDescent="0.25">
      <c r="A120" s="45"/>
      <c r="B120" s="317" t="s">
        <v>121</v>
      </c>
      <c r="C120" s="317"/>
      <c r="D120" s="317"/>
      <c r="E120" s="317"/>
      <c r="F120" s="17"/>
      <c r="G120" s="17"/>
      <c r="H120" s="17"/>
      <c r="I120" s="17"/>
      <c r="J120" s="17"/>
      <c r="K120" s="2"/>
      <c r="L120" s="245"/>
      <c r="M120" s="245"/>
      <c r="N120" s="3"/>
      <c r="O120" s="3"/>
      <c r="P120" s="346"/>
      <c r="Q120" s="428"/>
      <c r="R120" s="279"/>
      <c r="S120" s="279"/>
      <c r="T120" s="279"/>
      <c r="U120" s="279"/>
      <c r="V120" s="50"/>
      <c r="W120" s="50"/>
      <c r="X120" s="50"/>
      <c r="Y120" s="50"/>
      <c r="Z120" s="50"/>
      <c r="AA120" s="50"/>
      <c r="AB120" s="50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</row>
    <row r="121" spans="1:52" ht="20.100000000000001" customHeight="1" x14ac:dyDescent="0.25">
      <c r="A121" s="45">
        <v>1</v>
      </c>
      <c r="B121" s="319" t="s">
        <v>34</v>
      </c>
      <c r="C121" s="319"/>
      <c r="D121" s="319"/>
      <c r="E121" s="319"/>
      <c r="F121" s="15"/>
      <c r="G121" s="15"/>
      <c r="H121" s="15"/>
      <c r="I121" s="15"/>
      <c r="J121" s="15"/>
      <c r="K121" s="2" t="s">
        <v>71</v>
      </c>
      <c r="L121" s="245" t="s">
        <v>69</v>
      </c>
      <c r="M121" s="245"/>
      <c r="N121" s="3"/>
      <c r="O121" s="2"/>
      <c r="P121" s="312">
        <f>SUM(P122:Q123)</f>
        <v>12994457</v>
      </c>
      <c r="Q121" s="375"/>
      <c r="R121" s="312">
        <f>SUM(R122:S123)</f>
        <v>0</v>
      </c>
      <c r="S121" s="375"/>
      <c r="T121" s="294">
        <f>P121+R121</f>
        <v>12994457</v>
      </c>
      <c r="U121" s="294"/>
      <c r="V121" s="1">
        <f>SUM(V122:V123)</f>
        <v>12965176.65</v>
      </c>
      <c r="W121" s="1">
        <f>SUM(W122:W123)</f>
        <v>0</v>
      </c>
      <c r="X121" s="1">
        <f>SUM(X122:X123)</f>
        <v>0</v>
      </c>
      <c r="Y121" s="6">
        <f>V121</f>
        <v>12965176.65</v>
      </c>
      <c r="Z121" s="6">
        <f>V121-P121</f>
        <v>-29280.349999999627</v>
      </c>
      <c r="AA121" s="6">
        <v>0</v>
      </c>
      <c r="AB121" s="6">
        <f>Z121+AA121</f>
        <v>-29280.349999999627</v>
      </c>
      <c r="AD121" s="33"/>
      <c r="AE121" s="200"/>
      <c r="AF121" s="200"/>
      <c r="AG121" s="200"/>
      <c r="AH121" s="200"/>
      <c r="AI121" s="200"/>
      <c r="AJ121" s="200"/>
      <c r="AK121" s="200"/>
      <c r="AL121" s="200"/>
      <c r="AM121" s="200"/>
      <c r="AN121" s="200"/>
      <c r="AO121" s="200"/>
      <c r="AP121" s="200"/>
      <c r="AQ121" s="200"/>
      <c r="AR121" s="200"/>
      <c r="AS121" s="200"/>
      <c r="AT121" s="200"/>
      <c r="AU121" s="200"/>
      <c r="AV121" s="200"/>
      <c r="AW121" s="33"/>
      <c r="AX121" s="33"/>
      <c r="AY121" s="33"/>
      <c r="AZ121" s="33"/>
    </row>
    <row r="122" spans="1:52" ht="34.5" customHeight="1" x14ac:dyDescent="0.25">
      <c r="A122" s="45">
        <f>A121+1</f>
        <v>2</v>
      </c>
      <c r="B122" s="343" t="s">
        <v>204</v>
      </c>
      <c r="C122" s="344"/>
      <c r="D122" s="344"/>
      <c r="E122" s="344"/>
      <c r="F122" s="15"/>
      <c r="G122" s="15"/>
      <c r="H122" s="15"/>
      <c r="I122" s="15"/>
      <c r="J122" s="15"/>
      <c r="K122" s="2" t="s">
        <v>71</v>
      </c>
      <c r="L122" s="245" t="s">
        <v>69</v>
      </c>
      <c r="M122" s="245"/>
      <c r="N122" s="16"/>
      <c r="O122" s="16"/>
      <c r="P122" s="294">
        <f>8922497+601135-203848+700000+525946+33727</f>
        <v>10579457</v>
      </c>
      <c r="Q122" s="294"/>
      <c r="R122" s="294"/>
      <c r="S122" s="294"/>
      <c r="T122" s="294">
        <f>P122+R122</f>
        <v>10579457</v>
      </c>
      <c r="U122" s="294"/>
      <c r="V122" s="136">
        <f>9219779.19+597381.31+733721.55</f>
        <v>10550882.050000001</v>
      </c>
      <c r="W122" s="136"/>
      <c r="X122" s="92"/>
      <c r="Y122" s="6">
        <f>V122</f>
        <v>10550882.050000001</v>
      </c>
      <c r="Z122" s="6">
        <f>V122-P122</f>
        <v>-28574.949999999255</v>
      </c>
      <c r="AA122" s="4"/>
      <c r="AB122" s="6">
        <f t="shared" ref="AB122:AB130" si="6">Z122+AA122</f>
        <v>-28574.949999999255</v>
      </c>
      <c r="AD122" s="33"/>
      <c r="AE122" s="200"/>
      <c r="AF122" s="200"/>
      <c r="AG122" s="200"/>
      <c r="AH122" s="200"/>
      <c r="AI122" s="200"/>
      <c r="AJ122" s="200"/>
      <c r="AK122" s="200"/>
      <c r="AL122" s="200"/>
      <c r="AM122" s="200"/>
      <c r="AN122" s="200"/>
      <c r="AO122" s="200"/>
      <c r="AP122" s="200"/>
      <c r="AQ122" s="200"/>
      <c r="AR122" s="200"/>
      <c r="AS122" s="200"/>
      <c r="AT122" s="200"/>
      <c r="AU122" s="200"/>
      <c r="AV122" s="200"/>
      <c r="AW122" s="33"/>
      <c r="AX122" s="33"/>
      <c r="AY122" s="33"/>
      <c r="AZ122" s="33"/>
    </row>
    <row r="123" spans="1:52" ht="68.25" customHeight="1" x14ac:dyDescent="0.25">
      <c r="A123" s="45">
        <f>A122+1</f>
        <v>3</v>
      </c>
      <c r="B123" s="340" t="s">
        <v>238</v>
      </c>
      <c r="C123" s="341"/>
      <c r="D123" s="341"/>
      <c r="E123" s="341"/>
      <c r="F123" s="17"/>
      <c r="G123" s="17"/>
      <c r="H123" s="17"/>
      <c r="I123" s="17"/>
      <c r="J123" s="17"/>
      <c r="K123" s="2" t="s">
        <v>71</v>
      </c>
      <c r="L123" s="245" t="s">
        <v>69</v>
      </c>
      <c r="M123" s="245"/>
      <c r="N123" s="3"/>
      <c r="O123" s="2"/>
      <c r="P123" s="294">
        <f>1000000+1000000+415000</f>
        <v>2415000</v>
      </c>
      <c r="Q123" s="294"/>
      <c r="R123" s="294"/>
      <c r="S123" s="294"/>
      <c r="T123" s="294">
        <f>P123+R123</f>
        <v>2415000</v>
      </c>
      <c r="U123" s="294"/>
      <c r="V123" s="6">
        <v>2414294.6</v>
      </c>
      <c r="W123" s="4"/>
      <c r="X123" s="4"/>
      <c r="Y123" s="6">
        <f>V123</f>
        <v>2414294.6</v>
      </c>
      <c r="Z123" s="6">
        <f>V123-P123</f>
        <v>-705.39999999990687</v>
      </c>
      <c r="AA123" s="4"/>
      <c r="AB123" s="6">
        <f t="shared" si="6"/>
        <v>-705.39999999990687</v>
      </c>
      <c r="AD123" s="57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</row>
    <row r="124" spans="1:52" ht="17.25" customHeight="1" x14ac:dyDescent="0.25">
      <c r="A124" s="45"/>
      <c r="B124" s="317" t="s">
        <v>159</v>
      </c>
      <c r="C124" s="317"/>
      <c r="D124" s="317"/>
      <c r="E124" s="317"/>
      <c r="F124" s="17"/>
      <c r="G124" s="17"/>
      <c r="H124" s="17"/>
      <c r="I124" s="17"/>
      <c r="J124" s="17"/>
      <c r="K124" s="2"/>
      <c r="L124" s="241"/>
      <c r="M124" s="242"/>
      <c r="N124" s="3"/>
      <c r="O124" s="2"/>
      <c r="P124" s="282"/>
      <c r="Q124" s="283"/>
      <c r="R124" s="282"/>
      <c r="S124" s="283"/>
      <c r="T124" s="282"/>
      <c r="U124" s="283"/>
      <c r="V124" s="4"/>
      <c r="W124" s="4"/>
      <c r="X124" s="4"/>
      <c r="Y124" s="6"/>
      <c r="Z124" s="6"/>
      <c r="AA124" s="4"/>
      <c r="AB124" s="6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</row>
    <row r="125" spans="1:52" ht="33" customHeight="1" x14ac:dyDescent="0.25">
      <c r="A125" s="45">
        <v>1</v>
      </c>
      <c r="B125" s="343" t="s">
        <v>205</v>
      </c>
      <c r="C125" s="344"/>
      <c r="D125" s="344"/>
      <c r="E125" s="344"/>
      <c r="F125" s="15"/>
      <c r="G125" s="15"/>
      <c r="H125" s="15"/>
      <c r="I125" s="15"/>
      <c r="J125" s="15"/>
      <c r="K125" s="2" t="s">
        <v>72</v>
      </c>
      <c r="L125" s="245" t="s">
        <v>75</v>
      </c>
      <c r="M125" s="245"/>
      <c r="N125" s="3"/>
      <c r="O125" s="3"/>
      <c r="P125" s="429">
        <v>82.49260000000001</v>
      </c>
      <c r="Q125" s="430"/>
      <c r="R125" s="294"/>
      <c r="S125" s="294"/>
      <c r="T125" s="294">
        <f>P125+R125</f>
        <v>82.49260000000001</v>
      </c>
      <c r="U125" s="294"/>
      <c r="V125" s="429">
        <v>82.492599999999996</v>
      </c>
      <c r="W125" s="430"/>
      <c r="X125" s="6"/>
      <c r="Y125" s="6">
        <f>V125+X125</f>
        <v>82.492599999999996</v>
      </c>
      <c r="Z125" s="6">
        <f>V125-P125</f>
        <v>0</v>
      </c>
      <c r="AA125" s="4"/>
      <c r="AB125" s="6">
        <f t="shared" si="6"/>
        <v>0</v>
      </c>
      <c r="AD125" s="200"/>
      <c r="AE125" s="200"/>
      <c r="AF125" s="200"/>
      <c r="AG125" s="200"/>
      <c r="AH125" s="200"/>
      <c r="AI125" s="200"/>
      <c r="AJ125" s="200"/>
      <c r="AK125" s="200"/>
      <c r="AL125" s="200"/>
      <c r="AM125" s="200"/>
      <c r="AN125" s="200"/>
      <c r="AO125" s="200"/>
      <c r="AP125" s="200"/>
      <c r="AQ125" s="200"/>
      <c r="AR125" s="200"/>
      <c r="AS125" s="200"/>
      <c r="AT125" s="200"/>
      <c r="AU125" s="200"/>
      <c r="AV125" s="200"/>
      <c r="AW125" s="33"/>
    </row>
    <row r="126" spans="1:52" ht="20.100000000000001" customHeight="1" x14ac:dyDescent="0.25">
      <c r="A126" s="45"/>
      <c r="B126" s="317" t="s">
        <v>123</v>
      </c>
      <c r="C126" s="317"/>
      <c r="D126" s="317"/>
      <c r="E126" s="317"/>
      <c r="F126" s="17"/>
      <c r="G126" s="17"/>
      <c r="H126" s="17"/>
      <c r="I126" s="17"/>
      <c r="J126" s="17"/>
      <c r="K126" s="2"/>
      <c r="L126" s="245"/>
      <c r="M126" s="245"/>
      <c r="N126" s="3"/>
      <c r="O126" s="3"/>
      <c r="P126" s="241"/>
      <c r="Q126" s="242"/>
      <c r="R126" s="295"/>
      <c r="S126" s="295"/>
      <c r="T126" s="294"/>
      <c r="U126" s="295"/>
      <c r="V126" s="4"/>
      <c r="W126" s="4"/>
      <c r="X126" s="4"/>
      <c r="Y126" s="6"/>
      <c r="Z126" s="6"/>
      <c r="AA126" s="4"/>
      <c r="AB126" s="6"/>
      <c r="AD126" s="33"/>
      <c r="AE126" s="201"/>
      <c r="AF126" s="201"/>
      <c r="AG126" s="201"/>
      <c r="AH126" s="201"/>
      <c r="AI126" s="201"/>
      <c r="AJ126" s="201"/>
      <c r="AK126" s="201"/>
      <c r="AL126" s="201"/>
      <c r="AM126" s="201"/>
      <c r="AN126" s="201"/>
      <c r="AO126" s="201"/>
      <c r="AP126" s="201"/>
      <c r="AQ126" s="201"/>
      <c r="AR126" s="201"/>
      <c r="AS126" s="201"/>
      <c r="AT126" s="201"/>
      <c r="AU126" s="201"/>
      <c r="AV126" s="201"/>
      <c r="AW126" s="33"/>
      <c r="AX126" s="33"/>
      <c r="AY126" s="33"/>
      <c r="AZ126" s="33"/>
    </row>
    <row r="127" spans="1:52" ht="32.25" customHeight="1" x14ac:dyDescent="0.25">
      <c r="A127" s="45">
        <v>1</v>
      </c>
      <c r="B127" s="399" t="s">
        <v>206</v>
      </c>
      <c r="C127" s="400"/>
      <c r="D127" s="400"/>
      <c r="E127" s="401"/>
      <c r="F127" s="7"/>
      <c r="G127" s="7"/>
      <c r="H127" s="7"/>
      <c r="I127" s="7"/>
      <c r="J127" s="7"/>
      <c r="K127" s="2" t="s">
        <v>71</v>
      </c>
      <c r="L127" s="241" t="s">
        <v>78</v>
      </c>
      <c r="M127" s="335"/>
      <c r="N127" s="16"/>
      <c r="O127" s="16"/>
      <c r="P127" s="243">
        <f>P122/P125</f>
        <v>128247.34582253436</v>
      </c>
      <c r="Q127" s="244"/>
      <c r="R127" s="348"/>
      <c r="S127" s="348"/>
      <c r="T127" s="348">
        <f>P127+R127</f>
        <v>128247.34582253436</v>
      </c>
      <c r="U127" s="348"/>
      <c r="V127" s="63">
        <f>V122/V125</f>
        <v>127900.95172173021</v>
      </c>
      <c r="W127" s="63"/>
      <c r="X127" s="63"/>
      <c r="Y127" s="63">
        <f>V127+X127</f>
        <v>127900.95172173021</v>
      </c>
      <c r="Z127" s="6">
        <f>V127-P127</f>
        <v>-346.39410080415837</v>
      </c>
      <c r="AA127" s="4"/>
      <c r="AB127" s="6">
        <f t="shared" si="6"/>
        <v>-346.39410080415837</v>
      </c>
      <c r="AE127" s="184"/>
      <c r="AF127" s="184"/>
      <c r="AG127" s="184"/>
      <c r="AH127" s="184"/>
      <c r="AI127" s="184"/>
      <c r="AJ127" s="184"/>
      <c r="AK127" s="184"/>
      <c r="AL127" s="184"/>
      <c r="AM127" s="184"/>
      <c r="AN127" s="184"/>
      <c r="AO127" s="184"/>
      <c r="AP127" s="184"/>
      <c r="AQ127" s="184"/>
      <c r="AR127" s="184"/>
      <c r="AS127" s="184"/>
      <c r="AT127" s="184"/>
      <c r="AU127" s="184"/>
      <c r="AV127" s="184"/>
      <c r="AW127" s="33"/>
      <c r="AX127" s="33"/>
      <c r="AY127" s="33"/>
      <c r="AZ127" s="33"/>
    </row>
    <row r="128" spans="1:52" ht="36" customHeight="1" x14ac:dyDescent="0.25">
      <c r="A128" s="45">
        <v>2</v>
      </c>
      <c r="B128" s="340" t="s">
        <v>239</v>
      </c>
      <c r="C128" s="341"/>
      <c r="D128" s="341"/>
      <c r="E128" s="342"/>
      <c r="F128" s="15"/>
      <c r="G128" s="15"/>
      <c r="H128" s="15"/>
      <c r="I128" s="15"/>
      <c r="J128" s="15"/>
      <c r="K128" s="169" t="s">
        <v>0</v>
      </c>
      <c r="L128" s="241" t="s">
        <v>78</v>
      </c>
      <c r="M128" s="335"/>
      <c r="N128" s="16"/>
      <c r="O128" s="16"/>
      <c r="P128" s="312">
        <v>20000</v>
      </c>
      <c r="Q128" s="312"/>
      <c r="R128" s="295"/>
      <c r="S128" s="295"/>
      <c r="T128" s="348">
        <f>P128+R128</f>
        <v>20000</v>
      </c>
      <c r="U128" s="348"/>
      <c r="V128" s="6">
        <f>V123/140</f>
        <v>17244.961428571431</v>
      </c>
      <c r="W128" s="58"/>
      <c r="X128" s="4"/>
      <c r="Y128" s="63">
        <f>V128+X128</f>
        <v>17244.961428571431</v>
      </c>
      <c r="Z128" s="6">
        <f>V128-P128</f>
        <v>-2755.0385714285694</v>
      </c>
      <c r="AA128" s="4"/>
      <c r="AB128" s="6">
        <f t="shared" si="6"/>
        <v>-2755.0385714285694</v>
      </c>
      <c r="AE128" s="229"/>
      <c r="AF128" s="201"/>
      <c r="AG128" s="201"/>
      <c r="AH128" s="201"/>
      <c r="AI128" s="201"/>
      <c r="AJ128" s="201"/>
      <c r="AK128" s="201"/>
      <c r="AL128" s="201"/>
      <c r="AM128" s="201"/>
      <c r="AN128" s="201"/>
      <c r="AO128" s="201"/>
      <c r="AP128" s="201"/>
      <c r="AQ128" s="201"/>
      <c r="AR128" s="201"/>
      <c r="AS128" s="201"/>
      <c r="AT128" s="201"/>
      <c r="AU128" s="201"/>
      <c r="AV128" s="201"/>
      <c r="AW128" s="33"/>
      <c r="AX128" s="33"/>
      <c r="AY128" s="33"/>
      <c r="AZ128" s="33"/>
    </row>
    <row r="129" spans="1:42" ht="20.100000000000001" customHeight="1" x14ac:dyDescent="0.25">
      <c r="A129" s="45"/>
      <c r="B129" s="317" t="s">
        <v>124</v>
      </c>
      <c r="C129" s="317"/>
      <c r="D129" s="317"/>
      <c r="E129" s="317"/>
      <c r="F129" s="17"/>
      <c r="G129" s="17"/>
      <c r="H129" s="17"/>
      <c r="I129" s="17"/>
      <c r="J129" s="17"/>
      <c r="K129" s="2"/>
      <c r="L129" s="245"/>
      <c r="M129" s="245"/>
      <c r="N129" s="51"/>
      <c r="O129" s="51"/>
      <c r="P129" s="491"/>
      <c r="Q129" s="492"/>
      <c r="R129" s="349"/>
      <c r="S129" s="349"/>
      <c r="T129" s="349"/>
      <c r="U129" s="349"/>
      <c r="V129" s="42"/>
      <c r="W129" s="42"/>
      <c r="X129" s="42"/>
      <c r="Y129" s="42"/>
      <c r="Z129" s="42"/>
      <c r="AA129" s="42"/>
      <c r="AB129" s="6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</row>
    <row r="130" spans="1:42" ht="52.5" customHeight="1" x14ac:dyDescent="0.25">
      <c r="A130" s="45">
        <v>1</v>
      </c>
      <c r="B130" s="336" t="s">
        <v>80</v>
      </c>
      <c r="C130" s="336"/>
      <c r="D130" s="336"/>
      <c r="E130" s="336"/>
      <c r="F130" s="15"/>
      <c r="G130" s="15"/>
      <c r="H130" s="15"/>
      <c r="I130" s="15"/>
      <c r="J130" s="15"/>
      <c r="K130" s="2" t="s">
        <v>0</v>
      </c>
      <c r="L130" s="245" t="s">
        <v>78</v>
      </c>
      <c r="M130" s="245"/>
      <c r="N130" s="3"/>
      <c r="O130" s="3"/>
      <c r="P130" s="312">
        <f>P125/82.49*100</f>
        <v>100.00315189719969</v>
      </c>
      <c r="Q130" s="375"/>
      <c r="R130" s="312"/>
      <c r="S130" s="375"/>
      <c r="T130" s="294">
        <f>P130+R130</f>
        <v>100.00315189719969</v>
      </c>
      <c r="U130" s="294"/>
      <c r="V130" s="6">
        <f>V125/82.49*100</f>
        <v>100.00315189719966</v>
      </c>
      <c r="W130" s="6"/>
      <c r="X130" s="6"/>
      <c r="Y130" s="6">
        <f>V130+X130</f>
        <v>100.00315189719966</v>
      </c>
      <c r="Z130" s="6">
        <f>V130-P130</f>
        <v>0</v>
      </c>
      <c r="AA130" s="6"/>
      <c r="AB130" s="6">
        <f t="shared" si="6"/>
        <v>0</v>
      </c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</row>
    <row r="131" spans="1:42" ht="20.100000000000001" customHeight="1" x14ac:dyDescent="0.25">
      <c r="A131" s="45"/>
      <c r="B131" s="382" t="s">
        <v>194</v>
      </c>
      <c r="C131" s="383"/>
      <c r="D131" s="383"/>
      <c r="E131" s="383"/>
      <c r="F131" s="383"/>
      <c r="G131" s="383"/>
      <c r="H131" s="383"/>
      <c r="I131" s="383"/>
      <c r="J131" s="383"/>
      <c r="K131" s="383"/>
      <c r="L131" s="383"/>
      <c r="M131" s="383"/>
      <c r="N131" s="383"/>
      <c r="O131" s="383"/>
      <c r="P131" s="383"/>
      <c r="Q131" s="383"/>
      <c r="R131" s="383"/>
      <c r="S131" s="384"/>
      <c r="T131" s="294"/>
      <c r="U131" s="294"/>
      <c r="V131" s="6"/>
      <c r="W131" s="6"/>
      <c r="X131" s="6"/>
      <c r="Y131" s="6"/>
      <c r="Z131" s="6"/>
      <c r="AA131" s="6"/>
      <c r="AB131" s="6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</row>
    <row r="132" spans="1:42" ht="20.100000000000001" customHeight="1" x14ac:dyDescent="0.25">
      <c r="A132" s="5"/>
      <c r="B132" s="317" t="s">
        <v>121</v>
      </c>
      <c r="C132" s="317"/>
      <c r="D132" s="317"/>
      <c r="E132" s="317"/>
      <c r="F132" s="17"/>
      <c r="G132" s="17"/>
      <c r="H132" s="17"/>
      <c r="I132" s="17"/>
      <c r="J132" s="17"/>
      <c r="K132" s="2"/>
      <c r="L132" s="245"/>
      <c r="M132" s="245"/>
      <c r="N132" s="51"/>
      <c r="O132" s="51"/>
      <c r="P132" s="491"/>
      <c r="Q132" s="492"/>
      <c r="R132" s="279"/>
      <c r="S132" s="279"/>
      <c r="T132" s="279"/>
      <c r="U132" s="279"/>
      <c r="V132" s="202"/>
      <c r="W132" s="202"/>
      <c r="X132" s="202"/>
      <c r="Y132" s="202"/>
      <c r="Z132" s="202"/>
      <c r="AA132" s="202"/>
      <c r="AB132" s="202"/>
      <c r="AD132" s="158"/>
      <c r="AE132" s="158"/>
      <c r="AF132" s="158"/>
      <c r="AG132" s="158"/>
      <c r="AH132" s="158"/>
      <c r="AI132" s="158"/>
      <c r="AJ132" s="158"/>
      <c r="AK132" s="158"/>
      <c r="AL132" s="33"/>
      <c r="AM132" s="33"/>
      <c r="AN132" s="33"/>
      <c r="AO132" s="33"/>
      <c r="AP132" s="33"/>
    </row>
    <row r="133" spans="1:42" ht="20.100000000000001" customHeight="1" x14ac:dyDescent="0.25">
      <c r="A133" s="5">
        <v>1</v>
      </c>
      <c r="B133" s="336" t="s">
        <v>66</v>
      </c>
      <c r="C133" s="336"/>
      <c r="D133" s="336"/>
      <c r="E133" s="336"/>
      <c r="F133" s="15"/>
      <c r="G133" s="15"/>
      <c r="H133" s="15"/>
      <c r="I133" s="15"/>
      <c r="J133" s="15"/>
      <c r="K133" s="2" t="s">
        <v>71</v>
      </c>
      <c r="L133" s="245" t="s">
        <v>69</v>
      </c>
      <c r="M133" s="245"/>
      <c r="N133" s="3"/>
      <c r="O133" s="3"/>
      <c r="P133" s="312">
        <f>SUM(P134:Q137)</f>
        <v>70908738</v>
      </c>
      <c r="Q133" s="375"/>
      <c r="R133" s="312"/>
      <c r="S133" s="375"/>
      <c r="T133" s="294">
        <f>P133+R133</f>
        <v>70908738</v>
      </c>
      <c r="U133" s="294"/>
      <c r="V133" s="6">
        <f>SUM(V134:V137)</f>
        <v>70871300.739999995</v>
      </c>
      <c r="W133" s="6"/>
      <c r="X133" s="6"/>
      <c r="Y133" s="6">
        <f>V133+X133</f>
        <v>70871300.739999995</v>
      </c>
      <c r="Z133" s="6">
        <f>SUM(Z134:Z137)</f>
        <v>-37437.260000001639</v>
      </c>
      <c r="AA133" s="6"/>
      <c r="AB133" s="6">
        <f>Z133+AA133</f>
        <v>-37437.260000001639</v>
      </c>
      <c r="AD133" s="158"/>
      <c r="AE133" s="158"/>
      <c r="AF133" s="158"/>
      <c r="AG133" s="158"/>
      <c r="AH133" s="158"/>
      <c r="AI133" s="158"/>
      <c r="AJ133" s="158"/>
      <c r="AK133" s="158"/>
      <c r="AL133" s="33"/>
      <c r="AM133" s="33"/>
      <c r="AN133" s="33"/>
      <c r="AO133" s="33"/>
      <c r="AP133" s="33"/>
    </row>
    <row r="134" spans="1:42" ht="34.5" customHeight="1" x14ac:dyDescent="0.25">
      <c r="A134" s="5">
        <v>2</v>
      </c>
      <c r="B134" s="319" t="s">
        <v>81</v>
      </c>
      <c r="C134" s="319"/>
      <c r="D134" s="319"/>
      <c r="E134" s="319"/>
      <c r="F134" s="11"/>
      <c r="G134" s="11"/>
      <c r="H134" s="11"/>
      <c r="I134" s="11"/>
      <c r="J134" s="11"/>
      <c r="K134" s="2" t="s">
        <v>71</v>
      </c>
      <c r="L134" s="245" t="s">
        <v>69</v>
      </c>
      <c r="M134" s="245"/>
      <c r="N134" s="3"/>
      <c r="O134" s="3"/>
      <c r="P134" s="345">
        <v>16900800</v>
      </c>
      <c r="Q134" s="345"/>
      <c r="R134" s="294"/>
      <c r="S134" s="294"/>
      <c r="T134" s="294">
        <f>P134+R134</f>
        <v>16900800</v>
      </c>
      <c r="U134" s="294"/>
      <c r="V134" s="6">
        <v>16900800</v>
      </c>
      <c r="W134" s="6"/>
      <c r="X134" s="6"/>
      <c r="Y134" s="6">
        <f>V134</f>
        <v>16900800</v>
      </c>
      <c r="Z134" s="6">
        <f>V134-P134</f>
        <v>0</v>
      </c>
      <c r="AA134" s="6"/>
      <c r="AB134" s="6">
        <f>Z134</f>
        <v>0</v>
      </c>
      <c r="AD134" s="158"/>
      <c r="AE134" s="158"/>
      <c r="AF134" s="158"/>
      <c r="AG134" s="158"/>
      <c r="AH134" s="158"/>
      <c r="AI134" s="158"/>
      <c r="AJ134" s="158"/>
      <c r="AK134" s="158"/>
      <c r="AL134" s="33"/>
      <c r="AM134" s="33"/>
      <c r="AN134" s="33"/>
      <c r="AO134" s="33"/>
      <c r="AP134" s="33"/>
    </row>
    <row r="135" spans="1:42" ht="20.100000000000001" customHeight="1" x14ac:dyDescent="0.25">
      <c r="A135" s="5">
        <v>3</v>
      </c>
      <c r="B135" s="319" t="s">
        <v>82</v>
      </c>
      <c r="C135" s="319"/>
      <c r="D135" s="319"/>
      <c r="E135" s="319"/>
      <c r="F135" s="11"/>
      <c r="G135" s="11"/>
      <c r="H135" s="11"/>
      <c r="I135" s="11"/>
      <c r="J135" s="11"/>
      <c r="K135" s="2" t="s">
        <v>71</v>
      </c>
      <c r="L135" s="245" t="s">
        <v>69</v>
      </c>
      <c r="M135" s="245"/>
      <c r="N135" s="3"/>
      <c r="O135" s="3"/>
      <c r="P135" s="345">
        <f>29000000+2000000+1810800</f>
        <v>32810800</v>
      </c>
      <c r="Q135" s="345"/>
      <c r="R135" s="294"/>
      <c r="S135" s="294"/>
      <c r="T135" s="294">
        <f>P135+R135</f>
        <v>32810800</v>
      </c>
      <c r="U135" s="294"/>
      <c r="V135" s="6">
        <v>32801332.239999998</v>
      </c>
      <c r="W135" s="6"/>
      <c r="X135" s="6"/>
      <c r="Y135" s="6">
        <f>V135+X135</f>
        <v>32801332.239999998</v>
      </c>
      <c r="Z135" s="6">
        <f>V135-P135</f>
        <v>-9467.7600000016391</v>
      </c>
      <c r="AA135" s="6"/>
      <c r="AB135" s="6">
        <f>Z135</f>
        <v>-9467.7600000016391</v>
      </c>
      <c r="AD135" s="158"/>
      <c r="AE135" s="158"/>
      <c r="AF135" s="158"/>
      <c r="AG135" s="158"/>
      <c r="AH135" s="158"/>
      <c r="AI135" s="158"/>
      <c r="AJ135" s="158"/>
      <c r="AK135" s="158"/>
      <c r="AL135" s="33"/>
      <c r="AM135" s="33"/>
      <c r="AN135" s="33"/>
      <c r="AO135" s="33"/>
      <c r="AP135" s="33"/>
    </row>
    <row r="136" spans="1:42" ht="36" customHeight="1" x14ac:dyDescent="0.25">
      <c r="A136" s="5">
        <v>4</v>
      </c>
      <c r="B136" s="350" t="s">
        <v>208</v>
      </c>
      <c r="C136" s="319"/>
      <c r="D136" s="319"/>
      <c r="E136" s="319"/>
      <c r="F136" s="11"/>
      <c r="G136" s="11"/>
      <c r="H136" s="11"/>
      <c r="I136" s="11"/>
      <c r="J136" s="11"/>
      <c r="K136" s="2" t="s">
        <v>71</v>
      </c>
      <c r="L136" s="245" t="s">
        <v>69</v>
      </c>
      <c r="M136" s="245"/>
      <c r="N136" s="3"/>
      <c r="O136" s="3"/>
      <c r="P136" s="459">
        <v>20301960</v>
      </c>
      <c r="Q136" s="460"/>
      <c r="R136" s="294"/>
      <c r="S136" s="294"/>
      <c r="T136" s="294">
        <f>P136+R136</f>
        <v>20301960</v>
      </c>
      <c r="U136" s="294"/>
      <c r="V136" s="6">
        <v>20301960</v>
      </c>
      <c r="W136" s="6"/>
      <c r="X136" s="6"/>
      <c r="Y136" s="6">
        <f>V136+X136</f>
        <v>20301960</v>
      </c>
      <c r="Z136" s="6">
        <f>V136-P136</f>
        <v>0</v>
      </c>
      <c r="AA136" s="6"/>
      <c r="AB136" s="6">
        <f>Z136+AA136</f>
        <v>0</v>
      </c>
      <c r="AD136" s="158"/>
      <c r="AE136" s="158"/>
      <c r="AF136" s="158"/>
      <c r="AG136" s="158"/>
      <c r="AH136" s="158"/>
      <c r="AI136" s="158"/>
      <c r="AJ136" s="158"/>
      <c r="AK136" s="158"/>
      <c r="AL136" s="33"/>
      <c r="AM136" s="33"/>
      <c r="AN136" s="33"/>
      <c r="AO136" s="33"/>
      <c r="AP136" s="33"/>
    </row>
    <row r="137" spans="1:42" ht="35.25" customHeight="1" x14ac:dyDescent="0.25">
      <c r="A137" s="5">
        <v>5</v>
      </c>
      <c r="B137" s="350" t="s">
        <v>240</v>
      </c>
      <c r="C137" s="319"/>
      <c r="D137" s="319"/>
      <c r="E137" s="319"/>
      <c r="F137" s="11"/>
      <c r="G137" s="11"/>
      <c r="H137" s="11"/>
      <c r="I137" s="11"/>
      <c r="J137" s="11"/>
      <c r="K137" s="2" t="s">
        <v>71</v>
      </c>
      <c r="L137" s="245" t="s">
        <v>69</v>
      </c>
      <c r="M137" s="245"/>
      <c r="N137" s="3"/>
      <c r="O137" s="3"/>
      <c r="P137" s="459">
        <v>895178</v>
      </c>
      <c r="Q137" s="460"/>
      <c r="R137" s="282"/>
      <c r="S137" s="283"/>
      <c r="T137" s="294">
        <f>P137+R137</f>
        <v>895178</v>
      </c>
      <c r="U137" s="294"/>
      <c r="V137" s="6">
        <v>867208.5</v>
      </c>
      <c r="W137" s="6"/>
      <c r="X137" s="6"/>
      <c r="Y137" s="6">
        <f>V137+X137</f>
        <v>867208.5</v>
      </c>
      <c r="Z137" s="6">
        <f>V137-P137</f>
        <v>-27969.5</v>
      </c>
      <c r="AA137" s="6"/>
      <c r="AB137" s="6">
        <f>Z137+AA137</f>
        <v>-27969.5</v>
      </c>
      <c r="AD137" s="158"/>
      <c r="AE137" s="158"/>
      <c r="AF137" s="158"/>
      <c r="AG137" s="158"/>
      <c r="AH137" s="158"/>
      <c r="AI137" s="158"/>
      <c r="AJ137" s="158"/>
      <c r="AK137" s="158"/>
      <c r="AL137" s="33"/>
      <c r="AM137" s="33"/>
      <c r="AN137" s="33"/>
      <c r="AO137" s="33"/>
      <c r="AP137" s="33"/>
    </row>
    <row r="138" spans="1:42" ht="20.100000000000001" customHeight="1" x14ac:dyDescent="0.25">
      <c r="A138" s="5"/>
      <c r="B138" s="317" t="s">
        <v>159</v>
      </c>
      <c r="C138" s="317"/>
      <c r="D138" s="317"/>
      <c r="E138" s="317"/>
      <c r="F138" s="17"/>
      <c r="G138" s="17"/>
      <c r="H138" s="17"/>
      <c r="I138" s="17"/>
      <c r="J138" s="17"/>
      <c r="K138" s="52"/>
      <c r="L138" s="245"/>
      <c r="M138" s="245"/>
      <c r="N138" s="3"/>
      <c r="O138" s="3"/>
      <c r="P138" s="346"/>
      <c r="Q138" s="346"/>
      <c r="R138" s="331"/>
      <c r="S138" s="331"/>
      <c r="T138" s="331"/>
      <c r="U138" s="331"/>
      <c r="V138" s="5"/>
      <c r="W138" s="5"/>
      <c r="X138" s="5"/>
      <c r="Y138" s="5"/>
      <c r="Z138" s="5"/>
      <c r="AA138" s="5"/>
      <c r="AB138" s="5"/>
      <c r="AD138" s="158"/>
      <c r="AE138" s="158"/>
      <c r="AF138" s="158"/>
      <c r="AG138" s="158"/>
      <c r="AH138" s="158"/>
      <c r="AI138" s="158"/>
      <c r="AJ138" s="158"/>
      <c r="AK138" s="158"/>
      <c r="AL138" s="33"/>
      <c r="AM138" s="33"/>
      <c r="AN138" s="33"/>
      <c r="AO138" s="33"/>
      <c r="AP138" s="33"/>
    </row>
    <row r="139" spans="1:42" ht="51.75" customHeight="1" x14ac:dyDescent="0.25">
      <c r="A139" s="5">
        <v>1</v>
      </c>
      <c r="B139" s="336" t="s">
        <v>154</v>
      </c>
      <c r="C139" s="336"/>
      <c r="D139" s="336"/>
      <c r="E139" s="336"/>
      <c r="F139" s="15"/>
      <c r="G139" s="15"/>
      <c r="H139" s="15"/>
      <c r="I139" s="15"/>
      <c r="J139" s="15"/>
      <c r="K139" s="2" t="s">
        <v>73</v>
      </c>
      <c r="L139" s="241" t="s">
        <v>83</v>
      </c>
      <c r="M139" s="335"/>
      <c r="N139" s="16"/>
      <c r="O139" s="16"/>
      <c r="P139" s="423">
        <v>18740</v>
      </c>
      <c r="Q139" s="424"/>
      <c r="R139" s="295"/>
      <c r="S139" s="295"/>
      <c r="T139" s="320">
        <f>P139</f>
        <v>18740</v>
      </c>
      <c r="U139" s="295"/>
      <c r="V139" s="186">
        <v>18964</v>
      </c>
      <c r="W139" s="96"/>
      <c r="X139" s="4"/>
      <c r="Y139" s="4">
        <f>V139</f>
        <v>18964</v>
      </c>
      <c r="Z139" s="97">
        <f>V139-P139</f>
        <v>224</v>
      </c>
      <c r="AA139" s="97"/>
      <c r="AB139" s="97">
        <f>Z139</f>
        <v>224</v>
      </c>
      <c r="AD139" s="158"/>
      <c r="AE139" s="158"/>
      <c r="AF139" s="158"/>
      <c r="AG139" s="158"/>
      <c r="AH139" s="158"/>
      <c r="AI139" s="158"/>
      <c r="AJ139" s="158"/>
      <c r="AK139" s="158"/>
      <c r="AL139" s="33"/>
      <c r="AM139" s="33"/>
      <c r="AN139" s="33"/>
      <c r="AO139" s="33"/>
      <c r="AP139" s="33"/>
    </row>
    <row r="140" spans="1:42" ht="34.5" customHeight="1" x14ac:dyDescent="0.25">
      <c r="A140" s="5">
        <v>2</v>
      </c>
      <c r="B140" s="336" t="s">
        <v>84</v>
      </c>
      <c r="C140" s="336"/>
      <c r="D140" s="336"/>
      <c r="E140" s="336"/>
      <c r="F140" s="15"/>
      <c r="G140" s="15"/>
      <c r="H140" s="15"/>
      <c r="I140" s="15"/>
      <c r="J140" s="15"/>
      <c r="K140" s="2" t="s">
        <v>176</v>
      </c>
      <c r="L140" s="245" t="s">
        <v>1</v>
      </c>
      <c r="M140" s="245"/>
      <c r="N140" s="3"/>
      <c r="O140" s="3"/>
      <c r="P140" s="515">
        <v>3727.2040000000002</v>
      </c>
      <c r="Q140" s="516"/>
      <c r="R140" s="294"/>
      <c r="S140" s="294"/>
      <c r="T140" s="294">
        <f>P140+R140</f>
        <v>3727.2040000000002</v>
      </c>
      <c r="U140" s="294"/>
      <c r="V140" s="274">
        <v>3691.873</v>
      </c>
      <c r="W140" s="275"/>
      <c r="X140" s="220"/>
      <c r="Y140" s="6">
        <f>V140</f>
        <v>3691.873</v>
      </c>
      <c r="Z140" s="6">
        <f>V140-P140</f>
        <v>-35.331000000000131</v>
      </c>
      <c r="AA140" s="6"/>
      <c r="AB140" s="6">
        <f>Z140+AA140</f>
        <v>-35.331000000000131</v>
      </c>
      <c r="AD140" s="158"/>
      <c r="AE140" s="158"/>
      <c r="AF140" s="158"/>
      <c r="AG140" s="158"/>
      <c r="AH140" s="158"/>
      <c r="AI140" s="158"/>
      <c r="AJ140" s="158"/>
      <c r="AK140" s="158"/>
      <c r="AL140" s="33"/>
      <c r="AM140" s="33"/>
      <c r="AN140" s="33"/>
      <c r="AO140" s="33"/>
      <c r="AP140" s="33"/>
    </row>
    <row r="141" spans="1:42" ht="35.25" customHeight="1" x14ac:dyDescent="0.25">
      <c r="A141" s="5">
        <v>3</v>
      </c>
      <c r="B141" s="350" t="s">
        <v>209</v>
      </c>
      <c r="C141" s="319"/>
      <c r="D141" s="319"/>
      <c r="E141" s="319"/>
      <c r="F141" s="15"/>
      <c r="G141" s="15"/>
      <c r="H141" s="15"/>
      <c r="I141" s="15"/>
      <c r="J141" s="15"/>
      <c r="K141" s="2" t="s">
        <v>73</v>
      </c>
      <c r="L141" s="241" t="s">
        <v>113</v>
      </c>
      <c r="M141" s="242"/>
      <c r="N141" s="3"/>
      <c r="O141" s="3"/>
      <c r="P141" s="513">
        <v>3800</v>
      </c>
      <c r="Q141" s="514"/>
      <c r="R141" s="425"/>
      <c r="S141" s="426"/>
      <c r="T141" s="353">
        <f>P141+R141</f>
        <v>3800</v>
      </c>
      <c r="U141" s="353"/>
      <c r="V141" s="121">
        <v>3800</v>
      </c>
      <c r="W141" s="214"/>
      <c r="X141" s="121"/>
      <c r="Y141" s="97">
        <f>V141+X141</f>
        <v>3800</v>
      </c>
      <c r="Z141" s="58">
        <f>V141-P141</f>
        <v>0</v>
      </c>
      <c r="AA141" s="58"/>
      <c r="AB141" s="58">
        <f>Z141+AA141</f>
        <v>0</v>
      </c>
      <c r="AD141" s="158"/>
      <c r="AE141" s="158"/>
      <c r="AF141" s="158"/>
      <c r="AG141" s="158"/>
      <c r="AH141" s="158"/>
      <c r="AI141" s="158"/>
      <c r="AJ141" s="158"/>
      <c r="AK141" s="158"/>
      <c r="AL141" s="33"/>
      <c r="AM141" s="33"/>
      <c r="AN141" s="33"/>
      <c r="AO141" s="33"/>
      <c r="AP141" s="33"/>
    </row>
    <row r="142" spans="1:42" ht="36" customHeight="1" x14ac:dyDescent="0.25">
      <c r="A142" s="5">
        <v>4</v>
      </c>
      <c r="B142" s="350" t="s">
        <v>241</v>
      </c>
      <c r="C142" s="319"/>
      <c r="D142" s="319"/>
      <c r="E142" s="319"/>
      <c r="F142" s="15"/>
      <c r="G142" s="15"/>
      <c r="H142" s="15"/>
      <c r="I142" s="15"/>
      <c r="J142" s="15"/>
      <c r="K142" s="2" t="s">
        <v>73</v>
      </c>
      <c r="L142" s="245" t="s">
        <v>1</v>
      </c>
      <c r="M142" s="245"/>
      <c r="N142" s="3"/>
      <c r="O142" s="3"/>
      <c r="P142" s="276">
        <v>50</v>
      </c>
      <c r="Q142" s="277"/>
      <c r="R142" s="356"/>
      <c r="S142" s="357"/>
      <c r="T142" s="320">
        <f>P142+R142</f>
        <v>50</v>
      </c>
      <c r="U142" s="320"/>
      <c r="V142" s="232">
        <v>50</v>
      </c>
      <c r="W142" s="124"/>
      <c r="X142" s="121"/>
      <c r="Y142" s="97">
        <f>V142+X142</f>
        <v>50</v>
      </c>
      <c r="Z142" s="58">
        <f>V142-P142</f>
        <v>0</v>
      </c>
      <c r="AA142" s="97"/>
      <c r="AB142" s="58">
        <f>Z142+AA142</f>
        <v>0</v>
      </c>
      <c r="AD142" s="158"/>
      <c r="AE142" s="158"/>
      <c r="AF142" s="158"/>
      <c r="AG142" s="158"/>
      <c r="AH142" s="158"/>
      <c r="AI142" s="158"/>
      <c r="AJ142" s="158"/>
      <c r="AK142" s="158"/>
      <c r="AL142" s="33"/>
      <c r="AM142" s="33"/>
      <c r="AN142" s="33"/>
      <c r="AO142" s="33"/>
      <c r="AP142" s="33"/>
    </row>
    <row r="143" spans="1:42" ht="20.100000000000001" customHeight="1" x14ac:dyDescent="0.25">
      <c r="A143" s="5"/>
      <c r="B143" s="317" t="s">
        <v>123</v>
      </c>
      <c r="C143" s="317"/>
      <c r="D143" s="317"/>
      <c r="E143" s="317"/>
      <c r="F143" s="17"/>
      <c r="G143" s="17"/>
      <c r="H143" s="17"/>
      <c r="I143" s="17"/>
      <c r="J143" s="17"/>
      <c r="K143" s="2"/>
      <c r="L143" s="245"/>
      <c r="M143" s="245"/>
      <c r="N143" s="3"/>
      <c r="O143" s="3"/>
      <c r="P143" s="245" t="s">
        <v>85</v>
      </c>
      <c r="Q143" s="245"/>
      <c r="R143" s="331"/>
      <c r="S143" s="331"/>
      <c r="T143" s="331"/>
      <c r="U143" s="331"/>
      <c r="V143" s="5"/>
      <c r="W143" s="5"/>
      <c r="X143" s="5"/>
      <c r="Y143" s="5"/>
      <c r="Z143" s="5"/>
      <c r="AA143" s="5"/>
      <c r="AB143" s="5"/>
      <c r="AD143" s="158"/>
      <c r="AE143" s="158"/>
      <c r="AF143" s="158"/>
      <c r="AG143" s="158"/>
      <c r="AH143" s="158"/>
      <c r="AI143" s="158"/>
      <c r="AJ143" s="158"/>
      <c r="AK143" s="158"/>
      <c r="AL143" s="33"/>
      <c r="AM143" s="33"/>
      <c r="AN143" s="33"/>
      <c r="AO143" s="33"/>
      <c r="AP143" s="33"/>
    </row>
    <row r="144" spans="1:42" ht="36.75" customHeight="1" x14ac:dyDescent="0.25">
      <c r="A144" s="5">
        <v>1</v>
      </c>
      <c r="B144" s="302" t="s">
        <v>86</v>
      </c>
      <c r="C144" s="302"/>
      <c r="D144" s="302"/>
      <c r="E144" s="302"/>
      <c r="F144" s="53"/>
      <c r="G144" s="53"/>
      <c r="H144" s="53"/>
      <c r="I144" s="53"/>
      <c r="J144" s="53"/>
      <c r="K144" s="2" t="s">
        <v>71</v>
      </c>
      <c r="L144" s="241" t="s">
        <v>78</v>
      </c>
      <c r="M144" s="335"/>
      <c r="N144" s="16"/>
      <c r="O144" s="16"/>
      <c r="P144" s="312">
        <f>P134/P139</f>
        <v>901.85699039487724</v>
      </c>
      <c r="Q144" s="312"/>
      <c r="R144" s="294"/>
      <c r="S144" s="294"/>
      <c r="T144" s="294">
        <f>P144</f>
        <v>901.85699039487724</v>
      </c>
      <c r="U144" s="294"/>
      <c r="V144" s="6">
        <f>V134/V139</f>
        <v>891.20438726007171</v>
      </c>
      <c r="W144" s="100"/>
      <c r="X144" s="6"/>
      <c r="Y144" s="6">
        <f>V144</f>
        <v>891.20438726007171</v>
      </c>
      <c r="Z144" s="6">
        <f>V144-P144</f>
        <v>-10.652603134805531</v>
      </c>
      <c r="AA144" s="6"/>
      <c r="AB144" s="6">
        <f>Z144</f>
        <v>-10.652603134805531</v>
      </c>
      <c r="AD144" s="159"/>
      <c r="AE144" s="159"/>
      <c r="AF144" s="159"/>
      <c r="AG144" s="159"/>
      <c r="AH144" s="159"/>
      <c r="AI144" s="159"/>
      <c r="AJ144" s="159"/>
      <c r="AK144" s="159"/>
      <c r="AL144" s="33"/>
      <c r="AM144" s="33"/>
      <c r="AN144" s="33"/>
      <c r="AO144" s="33"/>
      <c r="AP144" s="33"/>
    </row>
    <row r="145" spans="1:42" ht="33.75" customHeight="1" x14ac:dyDescent="0.25">
      <c r="A145" s="5">
        <v>2</v>
      </c>
      <c r="B145" s="286" t="s">
        <v>87</v>
      </c>
      <c r="C145" s="287"/>
      <c r="D145" s="287"/>
      <c r="E145" s="287"/>
      <c r="F145" s="7"/>
      <c r="G145" s="7"/>
      <c r="H145" s="7"/>
      <c r="I145" s="7"/>
      <c r="J145" s="7"/>
      <c r="K145" s="2" t="s">
        <v>71</v>
      </c>
      <c r="L145" s="241" t="s">
        <v>1</v>
      </c>
      <c r="M145" s="335"/>
      <c r="N145" s="16"/>
      <c r="O145" s="16"/>
      <c r="P145" s="312">
        <f>P135/P140/1000</f>
        <v>8.8030598808114604</v>
      </c>
      <c r="Q145" s="312"/>
      <c r="R145" s="294"/>
      <c r="S145" s="294"/>
      <c r="T145" s="294">
        <f>P145+R145</f>
        <v>8.8030598808114604</v>
      </c>
      <c r="U145" s="294"/>
      <c r="V145" s="312">
        <f>V135/V140/1000</f>
        <v>8.8847401413862279</v>
      </c>
      <c r="W145" s="312"/>
      <c r="X145" s="6"/>
      <c r="Y145" s="6">
        <f>V145</f>
        <v>8.8847401413862279</v>
      </c>
      <c r="Z145" s="6">
        <f>V145-P145</f>
        <v>8.1680260574767516E-2</v>
      </c>
      <c r="AA145" s="6"/>
      <c r="AB145" s="6">
        <f>Z145</f>
        <v>8.1680260574767516E-2</v>
      </c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</row>
    <row r="146" spans="1:42" ht="33" customHeight="1" x14ac:dyDescent="0.25">
      <c r="A146" s="5">
        <v>3</v>
      </c>
      <c r="B146" s="301" t="s">
        <v>210</v>
      </c>
      <c r="C146" s="302"/>
      <c r="D146" s="302"/>
      <c r="E146" s="302"/>
      <c r="F146" s="8"/>
      <c r="G146" s="8"/>
      <c r="H146" s="8"/>
      <c r="I146" s="8"/>
      <c r="J146" s="8"/>
      <c r="K146" s="2" t="s">
        <v>71</v>
      </c>
      <c r="L146" s="241" t="s">
        <v>78</v>
      </c>
      <c r="M146" s="335"/>
      <c r="N146" s="16"/>
      <c r="O146" s="16"/>
      <c r="P146" s="243">
        <f>P136/P141</f>
        <v>5342.621052631579</v>
      </c>
      <c r="Q146" s="244"/>
      <c r="R146" s="294"/>
      <c r="S146" s="294"/>
      <c r="T146" s="294">
        <f>P146+R146</f>
        <v>5342.621052631579</v>
      </c>
      <c r="U146" s="294"/>
      <c r="V146" s="1">
        <f>V136/V141</f>
        <v>5342.621052631579</v>
      </c>
      <c r="W146" s="1"/>
      <c r="X146" s="6"/>
      <c r="Y146" s="6">
        <f>V146</f>
        <v>5342.621052631579</v>
      </c>
      <c r="Z146" s="6">
        <f>V146-P146</f>
        <v>0</v>
      </c>
      <c r="AA146" s="6"/>
      <c r="AB146" s="6">
        <f>Z146</f>
        <v>0</v>
      </c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</row>
    <row r="147" spans="1:42" ht="35.25" customHeight="1" x14ac:dyDescent="0.25">
      <c r="A147" s="5">
        <v>4</v>
      </c>
      <c r="B147" s="301" t="s">
        <v>242</v>
      </c>
      <c r="C147" s="302"/>
      <c r="D147" s="302"/>
      <c r="E147" s="302"/>
      <c r="F147" s="8"/>
      <c r="G147" s="8"/>
      <c r="H147" s="8"/>
      <c r="I147" s="8"/>
      <c r="J147" s="8"/>
      <c r="K147" s="2" t="s">
        <v>71</v>
      </c>
      <c r="L147" s="241" t="s">
        <v>78</v>
      </c>
      <c r="M147" s="335"/>
      <c r="N147" s="16"/>
      <c r="O147" s="16"/>
      <c r="P147" s="243">
        <f>P137/P142</f>
        <v>17903.560000000001</v>
      </c>
      <c r="Q147" s="244"/>
      <c r="R147" s="294"/>
      <c r="S147" s="294"/>
      <c r="T147" s="294">
        <f>P147+R147</f>
        <v>17903.560000000001</v>
      </c>
      <c r="U147" s="294"/>
      <c r="V147" s="1">
        <f>V137/V142</f>
        <v>17344.169999999998</v>
      </c>
      <c r="W147" s="1"/>
      <c r="X147" s="6"/>
      <c r="Y147" s="6">
        <f>V147</f>
        <v>17344.169999999998</v>
      </c>
      <c r="Z147" s="6">
        <f>V147-P147</f>
        <v>-559.39000000000306</v>
      </c>
      <c r="AA147" s="6"/>
      <c r="AB147" s="6">
        <f>AA147</f>
        <v>0</v>
      </c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</row>
    <row r="148" spans="1:42" ht="20.100000000000001" customHeight="1" x14ac:dyDescent="0.25">
      <c r="A148" s="5"/>
      <c r="B148" s="317" t="s">
        <v>124</v>
      </c>
      <c r="C148" s="317"/>
      <c r="D148" s="317"/>
      <c r="E148" s="317"/>
      <c r="F148" s="17"/>
      <c r="G148" s="17"/>
      <c r="H148" s="17"/>
      <c r="I148" s="17"/>
      <c r="J148" s="17"/>
      <c r="K148" s="2"/>
      <c r="L148" s="245"/>
      <c r="M148" s="245"/>
      <c r="N148" s="3"/>
      <c r="O148" s="3"/>
      <c r="P148" s="346"/>
      <c r="Q148" s="346"/>
      <c r="R148" s="331"/>
      <c r="S148" s="331"/>
      <c r="T148" s="331"/>
      <c r="U148" s="331"/>
      <c r="V148" s="5"/>
      <c r="W148" s="5"/>
      <c r="X148" s="5"/>
      <c r="Y148" s="5"/>
      <c r="Z148" s="5"/>
      <c r="AA148" s="5"/>
      <c r="AB148" s="5"/>
      <c r="AD148" s="33"/>
      <c r="AE148" s="33"/>
      <c r="AF148" s="57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</row>
    <row r="149" spans="1:42" ht="68.25" customHeight="1" x14ac:dyDescent="0.25">
      <c r="A149" s="5">
        <v>1</v>
      </c>
      <c r="B149" s="336" t="s">
        <v>243</v>
      </c>
      <c r="C149" s="336"/>
      <c r="D149" s="336"/>
      <c r="E149" s="336"/>
      <c r="F149" s="15"/>
      <c r="G149" s="15"/>
      <c r="H149" s="15"/>
      <c r="I149" s="15"/>
      <c r="J149" s="15"/>
      <c r="K149" s="169" t="s">
        <v>0</v>
      </c>
      <c r="L149" s="241" t="s">
        <v>78</v>
      </c>
      <c r="M149" s="335"/>
      <c r="N149" s="16"/>
      <c r="O149" s="16"/>
      <c r="P149" s="309">
        <f>P134/19277842.81*100</f>
        <v>87.669560160709707</v>
      </c>
      <c r="Q149" s="309"/>
      <c r="R149" s="295"/>
      <c r="S149" s="295"/>
      <c r="T149" s="311">
        <f>P149</f>
        <v>87.669560160709707</v>
      </c>
      <c r="U149" s="295"/>
      <c r="V149" s="309">
        <f>V134/19277842.81*100</f>
        <v>87.669560160709707</v>
      </c>
      <c r="W149" s="309"/>
      <c r="X149" s="10"/>
      <c r="Y149" s="58">
        <f>V149</f>
        <v>87.669560160709707</v>
      </c>
      <c r="Z149" s="58">
        <f>V149-P149</f>
        <v>0</v>
      </c>
      <c r="AA149" s="4"/>
      <c r="AB149" s="58">
        <f>Z149</f>
        <v>0</v>
      </c>
      <c r="AD149" s="33"/>
      <c r="AE149" s="188"/>
      <c r="AG149" s="33"/>
      <c r="AH149" s="188"/>
      <c r="AI149" s="33"/>
      <c r="AJ149" s="33"/>
      <c r="AK149" s="33"/>
      <c r="AL149" s="33"/>
      <c r="AM149" s="33"/>
      <c r="AN149" s="33"/>
      <c r="AO149" s="33"/>
      <c r="AP149" s="33"/>
    </row>
    <row r="150" spans="1:42" ht="52.5" customHeight="1" x14ac:dyDescent="0.25">
      <c r="A150" s="5">
        <v>2</v>
      </c>
      <c r="B150" s="336" t="s">
        <v>211</v>
      </c>
      <c r="C150" s="336"/>
      <c r="D150" s="336"/>
      <c r="E150" s="336"/>
      <c r="F150" s="15"/>
      <c r="G150" s="15"/>
      <c r="H150" s="15"/>
      <c r="I150" s="15"/>
      <c r="J150" s="15"/>
      <c r="K150" s="169" t="s">
        <v>0</v>
      </c>
      <c r="L150" s="241" t="s">
        <v>78</v>
      </c>
      <c r="M150" s="335"/>
      <c r="N150" s="16"/>
      <c r="O150" s="16"/>
      <c r="P150" s="337">
        <f>P135/27089853.08*100</f>
        <v>121.11841250340218</v>
      </c>
      <c r="Q150" s="337">
        <f>(3891.46/14397)/(3735.8/14315)*100-100</f>
        <v>3.5734161265454247</v>
      </c>
      <c r="R150" s="318"/>
      <c r="S150" s="318"/>
      <c r="T150" s="311">
        <f>P150</f>
        <v>121.11841250340218</v>
      </c>
      <c r="U150" s="311"/>
      <c r="V150" s="337">
        <f>V135/27089853.08*100</f>
        <v>121.08346303367992</v>
      </c>
      <c r="W150" s="337">
        <f>(3891.46/14397)/(3735.8/14315)*100-100</f>
        <v>3.5734161265454247</v>
      </c>
      <c r="X150" s="10"/>
      <c r="Y150" s="58">
        <f>V150</f>
        <v>121.08346303367992</v>
      </c>
      <c r="Z150" s="58">
        <f>V150-P150</f>
        <v>-3.4949469722263871E-2</v>
      </c>
      <c r="AA150" s="4"/>
      <c r="AB150" s="58">
        <f>Z150</f>
        <v>-3.4949469722263871E-2</v>
      </c>
      <c r="AD150" s="187"/>
      <c r="AE150" s="33"/>
      <c r="AF150" s="33"/>
      <c r="AG150" s="33"/>
      <c r="AH150" s="155"/>
      <c r="AI150" s="33"/>
      <c r="AJ150" s="33"/>
      <c r="AK150" s="33"/>
      <c r="AL150" s="33"/>
      <c r="AM150" s="33"/>
      <c r="AN150" s="33"/>
      <c r="AO150" s="33"/>
      <c r="AP150" s="33"/>
    </row>
    <row r="151" spans="1:42" ht="20.100000000000001" customHeight="1" x14ac:dyDescent="0.25">
      <c r="A151" s="5"/>
      <c r="B151" s="264" t="s">
        <v>187</v>
      </c>
      <c r="C151" s="264"/>
      <c r="D151" s="264"/>
      <c r="E151" s="264"/>
      <c r="F151" s="264"/>
      <c r="G151" s="264"/>
      <c r="H151" s="264"/>
      <c r="I151" s="264"/>
      <c r="J151" s="264"/>
      <c r="K151" s="264"/>
      <c r="L151" s="264"/>
      <c r="M151" s="264"/>
      <c r="N151" s="264"/>
      <c r="O151" s="264"/>
      <c r="P151" s="264"/>
      <c r="Q151" s="264"/>
      <c r="R151" s="279"/>
      <c r="S151" s="279"/>
      <c r="T151" s="279"/>
      <c r="U151" s="279"/>
      <c r="V151" s="202"/>
      <c r="W151" s="202"/>
      <c r="X151" s="202"/>
      <c r="Y151" s="202"/>
      <c r="Z151" s="202"/>
      <c r="AA151" s="202"/>
      <c r="AB151" s="202"/>
      <c r="AD151" s="33"/>
      <c r="AE151" s="33"/>
      <c r="AF151" s="33"/>
      <c r="AG151" s="33"/>
      <c r="AH151" s="155"/>
      <c r="AI151" s="33"/>
      <c r="AJ151" s="33"/>
      <c r="AK151" s="33"/>
      <c r="AL151" s="33"/>
      <c r="AM151" s="33"/>
      <c r="AN151" s="33"/>
      <c r="AO151" s="33"/>
      <c r="AP151" s="33"/>
    </row>
    <row r="152" spans="1:42" ht="18" customHeight="1" x14ac:dyDescent="0.25">
      <c r="A152" s="5"/>
      <c r="B152" s="296" t="s">
        <v>121</v>
      </c>
      <c r="C152" s="296"/>
      <c r="D152" s="296"/>
      <c r="E152" s="296"/>
      <c r="F152" s="61"/>
      <c r="G152" s="61"/>
      <c r="H152" s="61"/>
      <c r="I152" s="61"/>
      <c r="J152" s="61"/>
      <c r="K152" s="3"/>
      <c r="L152" s="245"/>
      <c r="M152" s="245"/>
      <c r="N152" s="3"/>
      <c r="O152" s="3"/>
      <c r="P152" s="346"/>
      <c r="Q152" s="421"/>
      <c r="R152" s="331"/>
      <c r="S152" s="331"/>
      <c r="T152" s="331"/>
      <c r="U152" s="331"/>
      <c r="V152" s="5"/>
      <c r="W152" s="5"/>
      <c r="X152" s="5"/>
      <c r="Y152" s="5"/>
      <c r="Z152" s="5"/>
      <c r="AA152" s="5"/>
      <c r="AB152" s="5"/>
      <c r="AD152" s="33"/>
      <c r="AE152" s="33"/>
      <c r="AF152" s="33"/>
      <c r="AG152" s="33"/>
      <c r="AH152" s="155"/>
      <c r="AI152" s="33"/>
      <c r="AJ152" s="33"/>
      <c r="AK152" s="33"/>
      <c r="AL152" s="33"/>
      <c r="AM152" s="33"/>
      <c r="AN152" s="33"/>
      <c r="AO152" s="33"/>
      <c r="AP152" s="33"/>
    </row>
    <row r="153" spans="1:42" ht="24" customHeight="1" x14ac:dyDescent="0.25">
      <c r="A153" s="5">
        <v>1</v>
      </c>
      <c r="B153" s="521" t="s">
        <v>66</v>
      </c>
      <c r="C153" s="522"/>
      <c r="D153" s="522"/>
      <c r="E153" s="522"/>
      <c r="F153" s="522"/>
      <c r="G153" s="522"/>
      <c r="H153" s="522"/>
      <c r="I153" s="522"/>
      <c r="J153" s="522"/>
      <c r="K153" s="3" t="s">
        <v>71</v>
      </c>
      <c r="L153" s="245" t="s">
        <v>69</v>
      </c>
      <c r="M153" s="245"/>
      <c r="N153" s="3"/>
      <c r="O153" s="3"/>
      <c r="P153" s="345">
        <f>SUM(P154:Q156)</f>
        <v>7030340</v>
      </c>
      <c r="Q153" s="422"/>
      <c r="R153" s="295"/>
      <c r="S153" s="295"/>
      <c r="T153" s="294">
        <f>P153</f>
        <v>7030340</v>
      </c>
      <c r="U153" s="295"/>
      <c r="V153" s="345">
        <f>SUM(V154:V156)</f>
        <v>6858986.0899999999</v>
      </c>
      <c r="W153" s="422"/>
      <c r="X153" s="6"/>
      <c r="Y153" s="6">
        <f>V153</f>
        <v>6858986.0899999999</v>
      </c>
      <c r="Z153" s="6">
        <f>V153-P153</f>
        <v>-171353.91000000015</v>
      </c>
      <c r="AA153" s="6"/>
      <c r="AB153" s="6">
        <f>Z153</f>
        <v>-171353.91000000015</v>
      </c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</row>
    <row r="154" spans="1:42" ht="21" customHeight="1" x14ac:dyDescent="0.25">
      <c r="A154" s="5">
        <v>2</v>
      </c>
      <c r="B154" s="518" t="s">
        <v>89</v>
      </c>
      <c r="C154" s="519"/>
      <c r="D154" s="519"/>
      <c r="E154" s="519"/>
      <c r="F154" s="519"/>
      <c r="G154" s="519"/>
      <c r="H154" s="519"/>
      <c r="I154" s="519"/>
      <c r="J154" s="519"/>
      <c r="K154" s="3" t="s">
        <v>71</v>
      </c>
      <c r="L154" s="245" t="s">
        <v>88</v>
      </c>
      <c r="M154" s="245"/>
      <c r="N154" s="3"/>
      <c r="O154" s="3"/>
      <c r="P154" s="294">
        <v>2131200</v>
      </c>
      <c r="Q154" s="294"/>
      <c r="R154" s="295"/>
      <c r="S154" s="295"/>
      <c r="T154" s="294">
        <f>P154</f>
        <v>2131200</v>
      </c>
      <c r="U154" s="295"/>
      <c r="V154" s="149">
        <v>2097892.44</v>
      </c>
      <c r="W154" s="125"/>
      <c r="X154" s="6"/>
      <c r="Y154" s="6">
        <f>V154</f>
        <v>2097892.44</v>
      </c>
      <c r="Z154" s="6">
        <f>V154-P154</f>
        <v>-33307.560000000056</v>
      </c>
      <c r="AA154" s="6"/>
      <c r="AB154" s="6">
        <f>Z154</f>
        <v>-33307.560000000056</v>
      </c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</row>
    <row r="155" spans="1:42" ht="36" customHeight="1" x14ac:dyDescent="0.25">
      <c r="A155" s="5">
        <v>3</v>
      </c>
      <c r="B155" s="332" t="s">
        <v>178</v>
      </c>
      <c r="C155" s="333"/>
      <c r="D155" s="333"/>
      <c r="E155" s="333"/>
      <c r="F155" s="333"/>
      <c r="G155" s="333"/>
      <c r="H155" s="333"/>
      <c r="I155" s="333"/>
      <c r="J155" s="333"/>
      <c r="K155" s="3" t="s">
        <v>71</v>
      </c>
      <c r="L155" s="245" t="s">
        <v>88</v>
      </c>
      <c r="M155" s="245"/>
      <c r="N155" s="3"/>
      <c r="O155" s="3"/>
      <c r="P155" s="294">
        <v>3756600</v>
      </c>
      <c r="Q155" s="294"/>
      <c r="R155" s="295"/>
      <c r="S155" s="295"/>
      <c r="T155" s="294">
        <f>P155</f>
        <v>3756600</v>
      </c>
      <c r="U155" s="295"/>
      <c r="V155" s="149">
        <v>3746587.28</v>
      </c>
      <c r="W155" s="125"/>
      <c r="X155" s="6"/>
      <c r="Y155" s="6">
        <f>V155</f>
        <v>3746587.28</v>
      </c>
      <c r="Z155" s="6">
        <f>V155-P155</f>
        <v>-10012.720000000205</v>
      </c>
      <c r="AA155" s="6"/>
      <c r="AB155" s="6">
        <f>Z155</f>
        <v>-10012.720000000205</v>
      </c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</row>
    <row r="156" spans="1:42" ht="48.75" customHeight="1" x14ac:dyDescent="0.25">
      <c r="A156" s="5">
        <v>4</v>
      </c>
      <c r="B156" s="332" t="s">
        <v>91</v>
      </c>
      <c r="C156" s="333"/>
      <c r="D156" s="333"/>
      <c r="E156" s="333"/>
      <c r="F156" s="333"/>
      <c r="G156" s="333"/>
      <c r="H156" s="333"/>
      <c r="I156" s="333"/>
      <c r="J156" s="333"/>
      <c r="K156" s="3" t="s">
        <v>71</v>
      </c>
      <c r="L156" s="245" t="s">
        <v>77</v>
      </c>
      <c r="M156" s="245"/>
      <c r="N156" s="3"/>
      <c r="O156" s="3"/>
      <c r="P156" s="294">
        <v>1142540</v>
      </c>
      <c r="Q156" s="294"/>
      <c r="R156" s="295"/>
      <c r="S156" s="295"/>
      <c r="T156" s="294">
        <f>P156</f>
        <v>1142540</v>
      </c>
      <c r="U156" s="295"/>
      <c r="V156" s="149">
        <v>1014506.37</v>
      </c>
      <c r="W156" s="125"/>
      <c r="X156" s="6"/>
      <c r="Y156" s="6">
        <f>V156</f>
        <v>1014506.37</v>
      </c>
      <c r="Z156" s="6">
        <f>V156-P156</f>
        <v>-128033.63</v>
      </c>
      <c r="AA156" s="6"/>
      <c r="AB156" s="6">
        <f>Z156</f>
        <v>-128033.63</v>
      </c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</row>
    <row r="157" spans="1:42" ht="19.5" customHeight="1" x14ac:dyDescent="0.25">
      <c r="A157" s="5"/>
      <c r="B157" s="296" t="s">
        <v>159</v>
      </c>
      <c r="C157" s="296"/>
      <c r="D157" s="296"/>
      <c r="E157" s="296"/>
      <c r="F157" s="61"/>
      <c r="G157" s="61"/>
      <c r="H157" s="61"/>
      <c r="I157" s="61"/>
      <c r="J157" s="61"/>
      <c r="K157" s="3"/>
      <c r="L157" s="245"/>
      <c r="M157" s="245"/>
      <c r="N157" s="3"/>
      <c r="O157" s="3"/>
      <c r="P157" s="245"/>
      <c r="Q157" s="245"/>
      <c r="R157" s="279" t="s">
        <v>85</v>
      </c>
      <c r="S157" s="279"/>
      <c r="T157" s="279"/>
      <c r="U157" s="279"/>
      <c r="V157" s="202"/>
      <c r="W157" s="202"/>
      <c r="X157" s="202"/>
      <c r="Y157" s="202"/>
      <c r="Z157" s="202"/>
      <c r="AA157" s="202"/>
      <c r="AB157" s="202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</row>
    <row r="158" spans="1:42" ht="24.75" customHeight="1" x14ac:dyDescent="0.25">
      <c r="A158" s="5">
        <v>1</v>
      </c>
      <c r="B158" s="287" t="s">
        <v>89</v>
      </c>
      <c r="C158" s="287"/>
      <c r="D158" s="287"/>
      <c r="E158" s="287"/>
      <c r="F158" s="9"/>
      <c r="G158" s="9"/>
      <c r="H158" s="9"/>
      <c r="I158" s="9"/>
      <c r="J158" s="9"/>
      <c r="K158" s="3" t="s">
        <v>73</v>
      </c>
      <c r="L158" s="245" t="s">
        <v>78</v>
      </c>
      <c r="M158" s="245"/>
      <c r="N158" s="3"/>
      <c r="O158" s="3"/>
      <c r="P158" s="397">
        <v>1015</v>
      </c>
      <c r="Q158" s="397"/>
      <c r="R158" s="320"/>
      <c r="S158" s="320"/>
      <c r="T158" s="320">
        <f>P158</f>
        <v>1015</v>
      </c>
      <c r="U158" s="320"/>
      <c r="V158" s="98">
        <v>1015</v>
      </c>
      <c r="W158" s="98"/>
      <c r="X158" s="97"/>
      <c r="Y158" s="97">
        <f>V158</f>
        <v>1015</v>
      </c>
      <c r="Z158" s="97">
        <f>V158-P158</f>
        <v>0</v>
      </c>
      <c r="AA158" s="97"/>
      <c r="AB158" s="97">
        <f>Z158</f>
        <v>0</v>
      </c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</row>
    <row r="159" spans="1:42" ht="36.75" customHeight="1" x14ac:dyDescent="0.25">
      <c r="A159" s="5">
        <v>2</v>
      </c>
      <c r="B159" s="287" t="s">
        <v>90</v>
      </c>
      <c r="C159" s="287"/>
      <c r="D159" s="287"/>
      <c r="E159" s="287"/>
      <c r="F159" s="9"/>
      <c r="G159" s="9"/>
      <c r="H159" s="9"/>
      <c r="I159" s="9"/>
      <c r="J159" s="9"/>
      <c r="K159" s="3" t="s">
        <v>73</v>
      </c>
      <c r="L159" s="245" t="s">
        <v>78</v>
      </c>
      <c r="M159" s="245"/>
      <c r="N159" s="3"/>
      <c r="O159" s="3"/>
      <c r="P159" s="397">
        <v>170</v>
      </c>
      <c r="Q159" s="397"/>
      <c r="R159" s="295"/>
      <c r="S159" s="295"/>
      <c r="T159" s="320">
        <f>P159</f>
        <v>170</v>
      </c>
      <c r="U159" s="320"/>
      <c r="V159" s="99">
        <v>162</v>
      </c>
      <c r="W159" s="99"/>
      <c r="X159" s="4"/>
      <c r="Y159" s="4">
        <f>V159</f>
        <v>162</v>
      </c>
      <c r="Z159" s="97">
        <f>V159-P159</f>
        <v>-8</v>
      </c>
      <c r="AA159" s="97"/>
      <c r="AB159" s="97">
        <f>Z159</f>
        <v>-8</v>
      </c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</row>
    <row r="160" spans="1:42" ht="34.5" customHeight="1" x14ac:dyDescent="0.25">
      <c r="A160" s="5">
        <f>A159+1</f>
        <v>3</v>
      </c>
      <c r="B160" s="427" t="s">
        <v>93</v>
      </c>
      <c r="C160" s="427"/>
      <c r="D160" s="427"/>
      <c r="E160" s="427"/>
      <c r="F160" s="119"/>
      <c r="G160" s="119"/>
      <c r="H160" s="119"/>
      <c r="I160" s="119"/>
      <c r="J160" s="119"/>
      <c r="K160" s="3" t="s">
        <v>94</v>
      </c>
      <c r="L160" s="245" t="s">
        <v>95</v>
      </c>
      <c r="M160" s="245"/>
      <c r="N160" s="3"/>
      <c r="O160" s="3"/>
      <c r="P160" s="397">
        <v>9</v>
      </c>
      <c r="Q160" s="397"/>
      <c r="R160" s="320"/>
      <c r="S160" s="320"/>
      <c r="T160" s="320">
        <f>P160</f>
        <v>9</v>
      </c>
      <c r="U160" s="320"/>
      <c r="V160" s="99">
        <v>14.8</v>
      </c>
      <c r="W160" s="99"/>
      <c r="X160" s="4"/>
      <c r="Y160" s="4">
        <f>V160</f>
        <v>14.8</v>
      </c>
      <c r="Z160" s="59">
        <f>V160-P160</f>
        <v>5.8000000000000007</v>
      </c>
      <c r="AA160" s="59"/>
      <c r="AB160" s="59">
        <f>Z160</f>
        <v>5.8000000000000007</v>
      </c>
      <c r="AD160" s="57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</row>
    <row r="161" spans="1:66" ht="19.5" customHeight="1" x14ac:dyDescent="0.25">
      <c r="A161" s="5"/>
      <c r="B161" s="296" t="s">
        <v>162</v>
      </c>
      <c r="C161" s="296"/>
      <c r="D161" s="296"/>
      <c r="E161" s="296"/>
      <c r="F161" s="61"/>
      <c r="G161" s="61"/>
      <c r="H161" s="61"/>
      <c r="I161" s="61"/>
      <c r="J161" s="61"/>
      <c r="K161" s="3"/>
      <c r="L161" s="245"/>
      <c r="M161" s="245"/>
      <c r="N161" s="3"/>
      <c r="O161" s="3"/>
      <c r="P161" s="245"/>
      <c r="Q161" s="245"/>
      <c r="R161" s="279"/>
      <c r="S161" s="279"/>
      <c r="T161" s="279"/>
      <c r="U161" s="279"/>
      <c r="V161" s="202"/>
      <c r="W161" s="202"/>
      <c r="X161" s="202"/>
      <c r="Y161" s="202"/>
      <c r="Z161" s="202"/>
      <c r="AA161" s="202"/>
      <c r="AB161" s="202"/>
      <c r="AC161" s="57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</row>
    <row r="162" spans="1:66" ht="36.75" customHeight="1" x14ac:dyDescent="0.25">
      <c r="A162" s="5">
        <v>1</v>
      </c>
      <c r="B162" s="332" t="s">
        <v>96</v>
      </c>
      <c r="C162" s="333"/>
      <c r="D162" s="333"/>
      <c r="E162" s="333"/>
      <c r="F162" s="333"/>
      <c r="G162" s="333"/>
      <c r="H162" s="333"/>
      <c r="I162" s="333"/>
      <c r="J162" s="333"/>
      <c r="K162" s="3" t="s">
        <v>71</v>
      </c>
      <c r="L162" s="245" t="s">
        <v>78</v>
      </c>
      <c r="M162" s="245"/>
      <c r="N162" s="3"/>
      <c r="O162" s="3"/>
      <c r="P162" s="243">
        <f>P154/P158</f>
        <v>2099.7044334975371</v>
      </c>
      <c r="Q162" s="244"/>
      <c r="R162" s="294"/>
      <c r="S162" s="294"/>
      <c r="T162" s="294">
        <f>P162</f>
        <v>2099.7044334975371</v>
      </c>
      <c r="U162" s="294"/>
      <c r="V162" s="243">
        <f>V154/V158</f>
        <v>2066.8891034482758</v>
      </c>
      <c r="W162" s="244"/>
      <c r="X162" s="6"/>
      <c r="Y162" s="6">
        <f>V162</f>
        <v>2066.8891034482758</v>
      </c>
      <c r="Z162" s="6">
        <f>V162-P162</f>
        <v>-32.81533004926132</v>
      </c>
      <c r="AA162" s="6"/>
      <c r="AB162" s="6">
        <f>Z162</f>
        <v>-32.81533004926132</v>
      </c>
      <c r="AC162" s="57"/>
      <c r="AD162" s="33"/>
      <c r="AE162" s="33"/>
      <c r="AF162" s="33"/>
      <c r="AG162" s="33"/>
      <c r="AH162" s="33"/>
      <c r="AI162" s="33"/>
      <c r="AJ162" s="33"/>
      <c r="AK162" s="57"/>
      <c r="AL162" s="33"/>
      <c r="AM162" s="33"/>
      <c r="AN162" s="33"/>
      <c r="AO162" s="33"/>
      <c r="AP162" s="33"/>
    </row>
    <row r="163" spans="1:66" ht="36" customHeight="1" x14ac:dyDescent="0.25">
      <c r="A163" s="5">
        <v>2</v>
      </c>
      <c r="B163" s="332" t="s">
        <v>97</v>
      </c>
      <c r="C163" s="333"/>
      <c r="D163" s="333"/>
      <c r="E163" s="333"/>
      <c r="F163" s="333"/>
      <c r="G163" s="333"/>
      <c r="H163" s="333"/>
      <c r="I163" s="333"/>
      <c r="J163" s="333"/>
      <c r="K163" s="3" t="s">
        <v>71</v>
      </c>
      <c r="L163" s="245" t="s">
        <v>78</v>
      </c>
      <c r="M163" s="245"/>
      <c r="N163" s="3"/>
      <c r="O163" s="3"/>
      <c r="P163" s="243">
        <f>P155/12</f>
        <v>313050</v>
      </c>
      <c r="Q163" s="244"/>
      <c r="R163" s="294"/>
      <c r="S163" s="294"/>
      <c r="T163" s="294">
        <f>P163</f>
        <v>313050</v>
      </c>
      <c r="U163" s="294"/>
      <c r="V163" s="243">
        <f>V155/12</f>
        <v>312215.60666666663</v>
      </c>
      <c r="W163" s="244"/>
      <c r="X163" s="6"/>
      <c r="Y163" s="6">
        <f>V163</f>
        <v>312215.60666666663</v>
      </c>
      <c r="Z163" s="6">
        <f>V163-P163</f>
        <v>-834.39333333336981</v>
      </c>
      <c r="AA163" s="6"/>
      <c r="AB163" s="6">
        <f>Z163</f>
        <v>-834.39333333336981</v>
      </c>
      <c r="AC163" s="57"/>
      <c r="AD163" s="33"/>
      <c r="AE163" s="33"/>
      <c r="AF163" s="33"/>
      <c r="AG163" s="33"/>
      <c r="AH163" s="33"/>
      <c r="AI163" s="33"/>
      <c r="AJ163" s="33"/>
      <c r="AK163" s="57"/>
      <c r="AL163" s="33"/>
      <c r="AM163" s="33"/>
      <c r="AN163" s="33"/>
      <c r="AO163" s="33"/>
      <c r="AP163" s="33"/>
    </row>
    <row r="164" spans="1:66" ht="48.75" customHeight="1" x14ac:dyDescent="0.25">
      <c r="A164" s="5">
        <v>3</v>
      </c>
      <c r="B164" s="332" t="s">
        <v>98</v>
      </c>
      <c r="C164" s="333"/>
      <c r="D164" s="333"/>
      <c r="E164" s="333"/>
      <c r="F164" s="333"/>
      <c r="G164" s="333"/>
      <c r="H164" s="333"/>
      <c r="I164" s="333"/>
      <c r="J164" s="333"/>
      <c r="K164" s="3" t="s">
        <v>71</v>
      </c>
      <c r="L164" s="245" t="s">
        <v>78</v>
      </c>
      <c r="M164" s="245"/>
      <c r="N164" s="3"/>
      <c r="O164" s="3"/>
      <c r="P164" s="243">
        <f>P156/P160</f>
        <v>126948.88888888889</v>
      </c>
      <c r="Q164" s="244"/>
      <c r="R164" s="294"/>
      <c r="S164" s="294"/>
      <c r="T164" s="294">
        <f>P164</f>
        <v>126948.88888888889</v>
      </c>
      <c r="U164" s="294"/>
      <c r="V164" s="243">
        <f>V156/V160</f>
        <v>68547.727702702701</v>
      </c>
      <c r="W164" s="244"/>
      <c r="X164" s="6"/>
      <c r="Y164" s="6">
        <f>V164</f>
        <v>68547.727702702701</v>
      </c>
      <c r="Z164" s="6">
        <f>V164-P164</f>
        <v>-58401.161186186189</v>
      </c>
      <c r="AA164" s="6"/>
      <c r="AB164" s="6">
        <f>Z164</f>
        <v>-58401.161186186189</v>
      </c>
      <c r="AC164" s="55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</row>
    <row r="165" spans="1:66" ht="18.75" customHeight="1" x14ac:dyDescent="0.25">
      <c r="A165" s="5"/>
      <c r="B165" s="296" t="s">
        <v>160</v>
      </c>
      <c r="C165" s="296"/>
      <c r="D165" s="296"/>
      <c r="E165" s="296"/>
      <c r="F165" s="61"/>
      <c r="G165" s="61"/>
      <c r="H165" s="61"/>
      <c r="I165" s="61"/>
      <c r="J165" s="61"/>
      <c r="K165" s="3"/>
      <c r="L165" s="245"/>
      <c r="M165" s="245"/>
      <c r="N165" s="3"/>
      <c r="O165" s="3"/>
      <c r="P165" s="346"/>
      <c r="Q165" s="346"/>
      <c r="R165" s="331"/>
      <c r="S165" s="331"/>
      <c r="T165" s="331"/>
      <c r="U165" s="331"/>
      <c r="V165" s="5"/>
      <c r="W165" s="5"/>
      <c r="X165" s="5"/>
      <c r="Y165" s="5"/>
      <c r="Z165" s="5"/>
      <c r="AA165" s="5"/>
      <c r="AB165" s="5"/>
      <c r="AD165" s="33"/>
      <c r="AE165" s="33"/>
      <c r="AF165" s="33"/>
      <c r="AG165" s="156"/>
      <c r="AH165" s="156"/>
      <c r="AI165" s="33"/>
      <c r="AJ165" s="33"/>
      <c r="AK165" s="33"/>
      <c r="AL165" s="33"/>
      <c r="AM165" s="33"/>
      <c r="AN165" s="33"/>
      <c r="AO165" s="33"/>
      <c r="AP165" s="33"/>
    </row>
    <row r="166" spans="1:66" ht="62.25" customHeight="1" x14ac:dyDescent="0.25">
      <c r="A166" s="5">
        <v>1</v>
      </c>
      <c r="B166" s="270" t="s">
        <v>244</v>
      </c>
      <c r="C166" s="270"/>
      <c r="D166" s="270"/>
      <c r="E166" s="270"/>
      <c r="F166" s="12"/>
      <c r="G166" s="12"/>
      <c r="H166" s="12"/>
      <c r="I166" s="12"/>
      <c r="J166" s="12"/>
      <c r="K166" s="169" t="s">
        <v>0</v>
      </c>
      <c r="L166" s="245" t="s">
        <v>78</v>
      </c>
      <c r="M166" s="245"/>
      <c r="N166" s="3"/>
      <c r="O166" s="3"/>
      <c r="P166" s="309">
        <f>P163/320886.9*100</f>
        <v>97.557737632792112</v>
      </c>
      <c r="Q166" s="309"/>
      <c r="R166" s="295"/>
      <c r="S166" s="295"/>
      <c r="T166" s="311">
        <f>P166</f>
        <v>97.557737632792112</v>
      </c>
      <c r="U166" s="295"/>
      <c r="V166" s="309">
        <f>V163/320886.9*100</f>
        <v>97.297710397858751</v>
      </c>
      <c r="W166" s="309"/>
      <c r="X166" s="10"/>
      <c r="Y166" s="58">
        <f>V166</f>
        <v>97.297710397858751</v>
      </c>
      <c r="Z166" s="58">
        <f>V166-P166</f>
        <v>-0.26002723493336077</v>
      </c>
      <c r="AA166" s="4"/>
      <c r="AB166" s="58">
        <f>Z166</f>
        <v>-0.26002723493336077</v>
      </c>
      <c r="AD166" s="33"/>
      <c r="AE166" s="33"/>
      <c r="AF166" s="33"/>
      <c r="AG166" s="156"/>
      <c r="AH166" s="156"/>
      <c r="AI166" s="33"/>
      <c r="AJ166" s="33"/>
      <c r="AK166" s="33"/>
      <c r="AL166" s="33"/>
      <c r="AM166" s="33"/>
      <c r="AN166" s="33"/>
      <c r="AO166" s="33"/>
      <c r="AP166" s="33"/>
    </row>
    <row r="167" spans="1:66" ht="64.5" customHeight="1" x14ac:dyDescent="0.25">
      <c r="A167" s="5">
        <v>2</v>
      </c>
      <c r="B167" s="270" t="s">
        <v>245</v>
      </c>
      <c r="C167" s="270"/>
      <c r="D167" s="270"/>
      <c r="E167" s="270"/>
      <c r="F167" s="12"/>
      <c r="G167" s="12"/>
      <c r="H167" s="12"/>
      <c r="I167" s="12"/>
      <c r="J167" s="12"/>
      <c r="K167" s="169" t="s">
        <v>0</v>
      </c>
      <c r="L167" s="245" t="s">
        <v>78</v>
      </c>
      <c r="M167" s="245"/>
      <c r="N167" s="3"/>
      <c r="O167" s="3"/>
      <c r="P167" s="309">
        <f>P156/1150574.09*100</f>
        <v>99.301732059688561</v>
      </c>
      <c r="Q167" s="309"/>
      <c r="R167" s="295"/>
      <c r="S167" s="295"/>
      <c r="T167" s="311">
        <f>P167</f>
        <v>99.301732059688561</v>
      </c>
      <c r="U167" s="295"/>
      <c r="V167" s="309">
        <f>V156/1150574.09*100</f>
        <v>88.173928025791014</v>
      </c>
      <c r="W167" s="309"/>
      <c r="X167" s="10"/>
      <c r="Y167" s="58">
        <f>V167</f>
        <v>88.173928025791014</v>
      </c>
      <c r="Z167" s="58">
        <f>V167-P167</f>
        <v>-11.127804033897547</v>
      </c>
      <c r="AA167" s="4"/>
      <c r="AB167" s="58">
        <f>Z167</f>
        <v>-11.127804033897547</v>
      </c>
      <c r="AD167" s="33"/>
      <c r="AE167" s="33"/>
      <c r="AF167" s="33"/>
      <c r="AG167" s="156"/>
      <c r="AH167" s="156"/>
      <c r="AI167" s="33"/>
      <c r="AJ167" s="33"/>
      <c r="AK167" s="33"/>
      <c r="AL167" s="33"/>
      <c r="AM167" s="33"/>
      <c r="AN167" s="33"/>
      <c r="AO167" s="33"/>
      <c r="AP167" s="33"/>
    </row>
    <row r="168" spans="1:66" ht="20.100000000000001" customHeight="1" x14ac:dyDescent="0.25">
      <c r="A168" s="5"/>
      <c r="B168" s="388" t="s">
        <v>62</v>
      </c>
      <c r="C168" s="388"/>
      <c r="D168" s="388"/>
      <c r="E168" s="388"/>
      <c r="F168" s="388"/>
      <c r="G168" s="388"/>
      <c r="H168" s="388"/>
      <c r="I168" s="388"/>
      <c r="J168" s="388"/>
      <c r="K168" s="388"/>
      <c r="L168" s="388"/>
      <c r="M168" s="388"/>
      <c r="N168" s="388"/>
      <c r="O168" s="388"/>
      <c r="P168" s="388"/>
      <c r="Q168" s="388"/>
      <c r="R168" s="388"/>
      <c r="S168" s="388"/>
      <c r="T168" s="388"/>
      <c r="U168" s="388"/>
      <c r="V168" s="388"/>
      <c r="W168" s="388"/>
      <c r="X168" s="388"/>
      <c r="Y168" s="388"/>
      <c r="Z168" s="388"/>
      <c r="AA168" s="388"/>
      <c r="AB168" s="388"/>
      <c r="AD168" s="33"/>
      <c r="AE168" s="33"/>
      <c r="AF168" s="33"/>
      <c r="AG168" s="156"/>
      <c r="AH168" s="156"/>
      <c r="AI168" s="33"/>
      <c r="AJ168" s="33"/>
      <c r="AK168" s="33"/>
      <c r="AL168" s="33"/>
      <c r="AM168" s="33"/>
      <c r="AN168" s="33"/>
      <c r="AO168" s="33"/>
      <c r="AP168" s="33"/>
    </row>
    <row r="169" spans="1:66" ht="20.25" customHeight="1" x14ac:dyDescent="0.25">
      <c r="A169" s="5"/>
      <c r="B169" s="328" t="s">
        <v>161</v>
      </c>
      <c r="C169" s="329"/>
      <c r="D169" s="329"/>
      <c r="E169" s="329"/>
      <c r="F169" s="17"/>
      <c r="G169" s="17"/>
      <c r="H169" s="17"/>
      <c r="I169" s="17"/>
      <c r="J169" s="17"/>
      <c r="K169" s="2"/>
      <c r="L169" s="245"/>
      <c r="M169" s="245"/>
      <c r="N169" s="3"/>
      <c r="O169" s="3"/>
      <c r="P169" s="346"/>
      <c r="Q169" s="421"/>
      <c r="R169" s="331"/>
      <c r="S169" s="331"/>
      <c r="T169" s="331"/>
      <c r="U169" s="331"/>
      <c r="V169" s="5"/>
      <c r="W169" s="5"/>
      <c r="X169" s="5"/>
      <c r="Y169" s="5"/>
      <c r="Z169" s="5"/>
      <c r="AA169" s="5"/>
      <c r="AB169" s="5"/>
      <c r="AD169" s="33"/>
      <c r="AE169" s="33"/>
      <c r="AF169" s="33"/>
      <c r="AG169" s="156"/>
      <c r="AH169" s="155"/>
      <c r="AI169" s="33"/>
      <c r="AJ169" s="33"/>
      <c r="AK169" s="33"/>
      <c r="AL169" s="33"/>
      <c r="AM169" s="33"/>
      <c r="AN169" s="33"/>
      <c r="AO169" s="33"/>
      <c r="AP169" s="33"/>
    </row>
    <row r="170" spans="1:66" ht="22.5" customHeight="1" x14ac:dyDescent="0.25">
      <c r="A170" s="5"/>
      <c r="B170" s="350" t="s">
        <v>66</v>
      </c>
      <c r="C170" s="319"/>
      <c r="D170" s="319"/>
      <c r="E170" s="319"/>
      <c r="F170" s="17"/>
      <c r="G170" s="17"/>
      <c r="H170" s="17"/>
      <c r="I170" s="17"/>
      <c r="J170" s="17"/>
      <c r="K170" s="2" t="s">
        <v>71</v>
      </c>
      <c r="L170" s="245" t="s">
        <v>69</v>
      </c>
      <c r="M170" s="245"/>
      <c r="N170" s="3"/>
      <c r="O170" s="3"/>
      <c r="P170" s="243">
        <f>P171+P172+P173</f>
        <v>157896111</v>
      </c>
      <c r="Q170" s="242"/>
      <c r="R170" s="356"/>
      <c r="S170" s="357"/>
      <c r="T170" s="282">
        <f>P170</f>
        <v>157896111</v>
      </c>
      <c r="U170" s="357"/>
      <c r="V170" s="6">
        <f>SUM(V171:W173)</f>
        <v>155940180.12</v>
      </c>
      <c r="W170" s="6"/>
      <c r="X170" s="4"/>
      <c r="Y170" s="6">
        <f>V170</f>
        <v>155940180.12</v>
      </c>
      <c r="Z170" s="6">
        <f>Z171+Z172+Z173</f>
        <v>-1955930.8799999934</v>
      </c>
      <c r="AA170" s="4"/>
      <c r="AB170" s="6">
        <f>Z170</f>
        <v>-1955930.8799999934</v>
      </c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spans="1:66" ht="35.25" customHeight="1" x14ac:dyDescent="0.25">
      <c r="A171" s="5">
        <v>1</v>
      </c>
      <c r="B171" s="350" t="s">
        <v>190</v>
      </c>
      <c r="C171" s="319"/>
      <c r="D171" s="319"/>
      <c r="E171" s="319"/>
      <c r="F171" s="319"/>
      <c r="G171" s="319"/>
      <c r="H171" s="319"/>
      <c r="I171" s="319"/>
      <c r="J171" s="351"/>
      <c r="K171" s="2" t="s">
        <v>71</v>
      </c>
      <c r="L171" s="245" t="s">
        <v>88</v>
      </c>
      <c r="M171" s="245"/>
      <c r="N171" s="3"/>
      <c r="O171" s="3"/>
      <c r="P171" s="272">
        <f>(46.62+(1447-300)+40.49+76.94+(9004.12-595.099-4552.82)+(10189.28+2519.42+1057.56)+(64479.1-2858+858-6150-2173.24)+90.95+(187.07-87.31)+1453.32+66.21+671.77+(42281.87-87.9)+(2770.66+967.26)+21.13+54.52+148.08+(718.19-369.33)+(789.54-214.25)+179.45+(674.61-122.12)+(200-110)+(220-71.07)+(500+200.78)+87.9)*1000</f>
        <v>124310701</v>
      </c>
      <c r="Q171" s="273">
        <f>(46.62+(1447-300)+40.49+76.94+(9004.12-595.099-4552.82)+(10189.28+2519.42+1057.56)+(64479.1-2858+858-6150-2173.24)+90.95+(187.07-87.31)+1453.32+66.21+671.77+(42281.87-87.9)+(2770.66+967.26)+21.13+54.52+148.08+(718.19-369.33)+(789.54-214.25)+179.45+(674.61-122.12)+(200-110)+(220-71.07)+(500+200.78)+87.9)*1000</f>
        <v>124310701</v>
      </c>
      <c r="R171" s="294"/>
      <c r="S171" s="294"/>
      <c r="T171" s="282">
        <f>P171</f>
        <v>124310701</v>
      </c>
      <c r="U171" s="357"/>
      <c r="V171" s="138">
        <f>122957195.65</f>
        <v>122957195.65000001</v>
      </c>
      <c r="W171" s="126"/>
      <c r="X171" s="6"/>
      <c r="Y171" s="6">
        <f t="shared" ref="Y171:Y178" si="7">V171</f>
        <v>122957195.65000001</v>
      </c>
      <c r="Z171" s="100">
        <f>V171-P171</f>
        <v>-1353505.349999994</v>
      </c>
      <c r="AA171" s="6"/>
      <c r="AB171" s="6">
        <f t="shared" ref="AB171:AB193" si="8">Z171</f>
        <v>-1353505.349999994</v>
      </c>
      <c r="AD171" s="221"/>
      <c r="AE171" s="211"/>
      <c r="AF171" s="211"/>
      <c r="AG171" s="211"/>
      <c r="AH171" s="211"/>
      <c r="AI171" s="211"/>
      <c r="AJ171" s="211"/>
      <c r="AK171" s="211"/>
      <c r="AL171" s="161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spans="1:66" ht="20.100000000000001" customHeight="1" x14ac:dyDescent="0.25">
      <c r="A172" s="5">
        <v>2</v>
      </c>
      <c r="B172" s="350" t="s">
        <v>99</v>
      </c>
      <c r="C172" s="319"/>
      <c r="D172" s="319"/>
      <c r="E172" s="319"/>
      <c r="F172" s="319"/>
      <c r="G172" s="319"/>
      <c r="H172" s="319"/>
      <c r="I172" s="319"/>
      <c r="J172" s="351"/>
      <c r="K172" s="2" t="s">
        <v>71</v>
      </c>
      <c r="L172" s="241" t="s">
        <v>88</v>
      </c>
      <c r="M172" s="242"/>
      <c r="N172" s="16"/>
      <c r="O172" s="16"/>
      <c r="P172" s="272">
        <f>((7289.57+2902)+(1638.98+469.83)+463.78+(10470.72-1205.85)+(300-300))*1000</f>
        <v>22029030</v>
      </c>
      <c r="Q172" s="273">
        <f>((7289.57+2902)+(1638.98+469.83)+463.78+(10470.72-1205.85)+(300-300))*1000</f>
        <v>22029030</v>
      </c>
      <c r="R172" s="282"/>
      <c r="S172" s="283"/>
      <c r="T172" s="282">
        <f>P172</f>
        <v>22029030</v>
      </c>
      <c r="U172" s="357"/>
      <c r="V172" s="138">
        <v>21426612.710000001</v>
      </c>
      <c r="W172" s="126"/>
      <c r="X172" s="6"/>
      <c r="Y172" s="6">
        <f>V172</f>
        <v>21426612.710000001</v>
      </c>
      <c r="Z172" s="100">
        <f t="shared" ref="Z172:Z193" si="9">V172-P172</f>
        <v>-602417.28999999911</v>
      </c>
      <c r="AA172" s="6"/>
      <c r="AB172" s="6">
        <f>Z172</f>
        <v>-602417.28999999911</v>
      </c>
      <c r="AD172" s="211"/>
      <c r="AE172" s="211"/>
      <c r="AF172" s="211"/>
      <c r="AG172" s="211"/>
      <c r="AH172" s="211"/>
      <c r="AI172" s="211"/>
      <c r="AJ172" s="211"/>
      <c r="AK172" s="211"/>
      <c r="AL172" s="161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spans="1:66" ht="34.5" customHeight="1" x14ac:dyDescent="0.25">
      <c r="A173" s="203">
        <v>3</v>
      </c>
      <c r="B173" s="343" t="s">
        <v>13</v>
      </c>
      <c r="C173" s="344"/>
      <c r="D173" s="344"/>
      <c r="E173" s="344"/>
      <c r="F173" s="112"/>
      <c r="G173" s="112"/>
      <c r="H173" s="112"/>
      <c r="I173" s="112"/>
      <c r="J173" s="112"/>
      <c r="K173" s="99" t="s">
        <v>71</v>
      </c>
      <c r="L173" s="245" t="s">
        <v>69</v>
      </c>
      <c r="M173" s="245"/>
      <c r="N173" s="99"/>
      <c r="O173" s="99"/>
      <c r="P173" s="272">
        <f>2858000+4000000+2000000+2698380</f>
        <v>11556380</v>
      </c>
      <c r="Q173" s="273">
        <f>2858000+4000000+2000000+2698380</f>
        <v>11556380</v>
      </c>
      <c r="R173" s="389"/>
      <c r="S173" s="389"/>
      <c r="T173" s="389">
        <f>P173</f>
        <v>11556380</v>
      </c>
      <c r="U173" s="389"/>
      <c r="V173" s="174">
        <v>11556371.76</v>
      </c>
      <c r="W173" s="174"/>
      <c r="X173" s="100"/>
      <c r="Y173" s="100">
        <f t="shared" si="7"/>
        <v>11556371.76</v>
      </c>
      <c r="Z173" s="100">
        <f t="shared" si="9"/>
        <v>-8.2400000002235174</v>
      </c>
      <c r="AA173" s="100"/>
      <c r="AB173" s="100">
        <f t="shared" si="8"/>
        <v>-8.2400000002235174</v>
      </c>
      <c r="AC173" s="114"/>
      <c r="AD173" s="211"/>
      <c r="AE173" s="211"/>
      <c r="AF173" s="211"/>
      <c r="AG173" s="211"/>
      <c r="AH173" s="211"/>
      <c r="AI173" s="211"/>
      <c r="AJ173" s="211"/>
      <c r="AK173" s="211"/>
      <c r="AL173" s="33"/>
      <c r="AM173" s="33"/>
      <c r="AN173" s="33"/>
      <c r="AO173" s="33"/>
      <c r="AP173" s="33"/>
    </row>
    <row r="174" spans="1:66" ht="19.5" customHeight="1" x14ac:dyDescent="0.25">
      <c r="A174" s="5"/>
      <c r="B174" s="328" t="s">
        <v>159</v>
      </c>
      <c r="C174" s="329"/>
      <c r="D174" s="329"/>
      <c r="E174" s="329"/>
      <c r="F174" s="17"/>
      <c r="G174" s="17"/>
      <c r="H174" s="17"/>
      <c r="I174" s="17"/>
      <c r="J174" s="17"/>
      <c r="K174" s="2"/>
      <c r="L174" s="245"/>
      <c r="M174" s="245"/>
      <c r="N174" s="3"/>
      <c r="O174" s="3"/>
      <c r="P174" s="396"/>
      <c r="Q174" s="396"/>
      <c r="R174" s="331"/>
      <c r="S174" s="331"/>
      <c r="T174" s="374"/>
      <c r="U174" s="331"/>
      <c r="V174" s="5"/>
      <c r="W174" s="5"/>
      <c r="X174" s="5"/>
      <c r="Y174" s="5"/>
      <c r="Z174" s="46"/>
      <c r="AA174" s="5"/>
      <c r="AB174" s="46"/>
      <c r="AC174" s="114"/>
      <c r="AD174" s="161"/>
      <c r="AE174" s="161"/>
      <c r="AF174" s="161"/>
      <c r="AG174" s="161"/>
      <c r="AH174" s="161"/>
      <c r="AI174" s="161"/>
      <c r="AJ174" s="161"/>
      <c r="AK174" s="161"/>
      <c r="AL174" s="33"/>
      <c r="AM174" s="33"/>
      <c r="AN174" s="33"/>
      <c r="AO174" s="33"/>
      <c r="AP174" s="33"/>
    </row>
    <row r="175" spans="1:66" ht="67.5" customHeight="1" x14ac:dyDescent="0.25">
      <c r="A175" s="203">
        <v>1</v>
      </c>
      <c r="B175" s="394" t="s">
        <v>14</v>
      </c>
      <c r="C175" s="394"/>
      <c r="D175" s="394"/>
      <c r="E175" s="394"/>
      <c r="F175" s="109"/>
      <c r="G175" s="109"/>
      <c r="H175" s="109"/>
      <c r="I175" s="109"/>
      <c r="J175" s="109"/>
      <c r="K175" s="110" t="s">
        <v>100</v>
      </c>
      <c r="L175" s="380" t="s">
        <v>88</v>
      </c>
      <c r="M175" s="380"/>
      <c r="N175" s="99"/>
      <c r="O175" s="99"/>
      <c r="P175" s="470">
        <f>63.28+8.48</f>
        <v>71.760000000000005</v>
      </c>
      <c r="Q175" s="470"/>
      <c r="R175" s="325"/>
      <c r="S175" s="325"/>
      <c r="T175" s="325">
        <f>P175</f>
        <v>71.760000000000005</v>
      </c>
      <c r="U175" s="325"/>
      <c r="V175" s="470">
        <v>70.13</v>
      </c>
      <c r="W175" s="470"/>
      <c r="X175" s="146"/>
      <c r="Y175" s="115">
        <f t="shared" si="7"/>
        <v>70.13</v>
      </c>
      <c r="Z175" s="115">
        <f t="shared" si="9"/>
        <v>-1.6300000000000097</v>
      </c>
      <c r="AA175" s="115"/>
      <c r="AB175" s="115">
        <f t="shared" si="8"/>
        <v>-1.6300000000000097</v>
      </c>
      <c r="AC175" s="114"/>
      <c r="AD175" s="225"/>
      <c r="AE175" s="225"/>
      <c r="AF175" s="225"/>
      <c r="AG175" s="225"/>
      <c r="AH175" s="225"/>
      <c r="AI175" s="225"/>
      <c r="AJ175" s="225"/>
      <c r="AK175" s="225"/>
      <c r="AL175" s="33"/>
      <c r="AM175" s="33"/>
      <c r="AN175" s="33"/>
      <c r="AO175" s="33"/>
      <c r="AP175" s="33"/>
    </row>
    <row r="176" spans="1:66" ht="61.5" customHeight="1" x14ac:dyDescent="0.25">
      <c r="A176" s="203">
        <v>2</v>
      </c>
      <c r="B176" s="394" t="s">
        <v>15</v>
      </c>
      <c r="C176" s="395"/>
      <c r="D176" s="395"/>
      <c r="E176" s="395"/>
      <c r="F176" s="197"/>
      <c r="G176" s="197"/>
      <c r="H176" s="197"/>
      <c r="I176" s="197"/>
      <c r="J176" s="197"/>
      <c r="K176" s="110" t="s">
        <v>100</v>
      </c>
      <c r="L176" s="380" t="s">
        <v>88</v>
      </c>
      <c r="M176" s="380"/>
      <c r="N176" s="99"/>
      <c r="O176" s="99"/>
      <c r="P176" s="309">
        <f>(287.03+3.09+8.38+1.93+8)*1000000/1000</f>
        <v>308429.99999999994</v>
      </c>
      <c r="Q176" s="309"/>
      <c r="R176" s="325"/>
      <c r="S176" s="325"/>
      <c r="T176" s="325">
        <f>P176</f>
        <v>308429.99999999994</v>
      </c>
      <c r="U176" s="325"/>
      <c r="V176" s="470">
        <f>(231129509+60382868)/1000</f>
        <v>291512.37699999998</v>
      </c>
      <c r="W176" s="470"/>
      <c r="X176" s="146"/>
      <c r="Y176" s="115">
        <f t="shared" si="7"/>
        <v>291512.37699999998</v>
      </c>
      <c r="Z176" s="115">
        <f t="shared" si="9"/>
        <v>-16917.622999999963</v>
      </c>
      <c r="AA176" s="115"/>
      <c r="AB176" s="115">
        <f t="shared" si="8"/>
        <v>-16917.622999999963</v>
      </c>
      <c r="AC176" s="114"/>
      <c r="AD176" s="163"/>
      <c r="AE176" s="163"/>
      <c r="AF176" s="163"/>
      <c r="AG176" s="163"/>
      <c r="AH176" s="163"/>
      <c r="AI176" s="163"/>
      <c r="AJ176" s="163"/>
      <c r="AK176" s="163"/>
      <c r="AL176" s="33"/>
      <c r="AM176" s="33"/>
      <c r="AN176" s="33"/>
      <c r="AO176" s="33"/>
      <c r="AP176" s="33"/>
    </row>
    <row r="177" spans="1:42" ht="36" customHeight="1" x14ac:dyDescent="0.25">
      <c r="A177" s="203">
        <v>3</v>
      </c>
      <c r="B177" s="394" t="s">
        <v>101</v>
      </c>
      <c r="C177" s="394"/>
      <c r="D177" s="394"/>
      <c r="E177" s="394"/>
      <c r="F177" s="109"/>
      <c r="G177" s="109"/>
      <c r="H177" s="109"/>
      <c r="I177" s="109"/>
      <c r="J177" s="109"/>
      <c r="K177" s="110" t="s">
        <v>102</v>
      </c>
      <c r="L177" s="380" t="s">
        <v>88</v>
      </c>
      <c r="M177" s="380"/>
      <c r="N177" s="99"/>
      <c r="O177" s="99"/>
      <c r="P177" s="339">
        <v>125</v>
      </c>
      <c r="Q177" s="339"/>
      <c r="R177" s="338"/>
      <c r="S177" s="338"/>
      <c r="T177" s="338">
        <f>P177</f>
        <v>125</v>
      </c>
      <c r="U177" s="338"/>
      <c r="V177" s="139">
        <v>125</v>
      </c>
      <c r="W177" s="139"/>
      <c r="X177" s="143"/>
      <c r="Y177" s="142">
        <f t="shared" si="7"/>
        <v>125</v>
      </c>
      <c r="Z177" s="108">
        <f t="shared" si="9"/>
        <v>0</v>
      </c>
      <c r="AA177" s="108"/>
      <c r="AB177" s="108">
        <f t="shared" si="8"/>
        <v>0</v>
      </c>
      <c r="AD177" s="226"/>
      <c r="AE177" s="226"/>
      <c r="AF177" s="226"/>
      <c r="AG177" s="226"/>
      <c r="AH177" s="226"/>
      <c r="AI177" s="226"/>
      <c r="AJ177" s="226"/>
      <c r="AK177" s="226"/>
      <c r="AL177" s="33"/>
      <c r="AM177" s="33"/>
      <c r="AN177" s="33"/>
      <c r="AO177" s="33"/>
      <c r="AP177" s="33"/>
    </row>
    <row r="178" spans="1:42" ht="33.75" customHeight="1" x14ac:dyDescent="0.25">
      <c r="A178" s="203">
        <v>4</v>
      </c>
      <c r="B178" s="394" t="s">
        <v>103</v>
      </c>
      <c r="C178" s="394"/>
      <c r="D178" s="394"/>
      <c r="E178" s="394"/>
      <c r="F178" s="109"/>
      <c r="G178" s="109"/>
      <c r="H178" s="109"/>
      <c r="I178" s="109"/>
      <c r="J178" s="109"/>
      <c r="K178" s="110" t="s">
        <v>100</v>
      </c>
      <c r="L178" s="380" t="s">
        <v>88</v>
      </c>
      <c r="M178" s="380"/>
      <c r="N178" s="99"/>
      <c r="O178" s="99"/>
      <c r="P178" s="466">
        <f>(27406.44+1153.5+2810)/1000</f>
        <v>31.36994</v>
      </c>
      <c r="Q178" s="466"/>
      <c r="R178" s="325"/>
      <c r="S178" s="325"/>
      <c r="T178" s="325">
        <f>P178</f>
        <v>31.36994</v>
      </c>
      <c r="U178" s="325"/>
      <c r="V178" s="147">
        <f>32910.34/1000</f>
        <v>32.910339999999998</v>
      </c>
      <c r="W178" s="147"/>
      <c r="X178" s="148"/>
      <c r="Y178" s="115">
        <f t="shared" si="7"/>
        <v>32.910339999999998</v>
      </c>
      <c r="Z178" s="100">
        <f t="shared" si="9"/>
        <v>1.5403999999999982</v>
      </c>
      <c r="AA178" s="100"/>
      <c r="AB178" s="100">
        <f t="shared" si="8"/>
        <v>1.5403999999999982</v>
      </c>
      <c r="AD178" s="227"/>
      <c r="AE178" s="227"/>
      <c r="AF178" s="227"/>
      <c r="AG178" s="227"/>
      <c r="AH178" s="227"/>
      <c r="AI178" s="227"/>
      <c r="AJ178" s="227"/>
      <c r="AK178" s="227"/>
      <c r="AL178" s="33"/>
      <c r="AM178" s="33"/>
      <c r="AN178" s="33"/>
      <c r="AO178" s="33"/>
      <c r="AP178" s="33"/>
    </row>
    <row r="179" spans="1:42" ht="36.75" customHeight="1" x14ac:dyDescent="0.25">
      <c r="A179" s="203">
        <v>5</v>
      </c>
      <c r="B179" s="512" t="s">
        <v>20</v>
      </c>
      <c r="C179" s="512"/>
      <c r="D179" s="512"/>
      <c r="E179" s="512"/>
      <c r="F179" s="165"/>
      <c r="G179" s="165"/>
      <c r="H179" s="165"/>
      <c r="I179" s="165"/>
      <c r="J179" s="165"/>
      <c r="K179" s="99" t="s">
        <v>94</v>
      </c>
      <c r="L179" s="380" t="s">
        <v>77</v>
      </c>
      <c r="M179" s="380"/>
      <c r="N179" s="99"/>
      <c r="O179" s="99"/>
      <c r="P179" s="466">
        <f>630+888.8+2500+2455.6</f>
        <v>6474.4</v>
      </c>
      <c r="Q179" s="466"/>
      <c r="R179" s="338"/>
      <c r="S179" s="338"/>
      <c r="T179" s="338">
        <f>P179</f>
        <v>6474.4</v>
      </c>
      <c r="U179" s="338"/>
      <c r="V179" s="129">
        <v>6474.4</v>
      </c>
      <c r="W179" s="135"/>
      <c r="X179" s="111"/>
      <c r="Y179" s="108">
        <f>V179</f>
        <v>6474.4</v>
      </c>
      <c r="Z179" s="115">
        <f t="shared" si="9"/>
        <v>0</v>
      </c>
      <c r="AA179" s="115"/>
      <c r="AB179" s="115">
        <f t="shared" si="8"/>
        <v>0</v>
      </c>
      <c r="AD179" s="227"/>
      <c r="AE179" s="227"/>
      <c r="AF179" s="227"/>
      <c r="AG179" s="227"/>
      <c r="AH179" s="227"/>
      <c r="AI179" s="227"/>
      <c r="AJ179" s="227"/>
      <c r="AK179" s="227"/>
      <c r="AL179" s="33"/>
      <c r="AM179" s="33"/>
      <c r="AN179" s="33"/>
      <c r="AO179" s="33"/>
      <c r="AP179" s="33"/>
    </row>
    <row r="180" spans="1:42" ht="18.75" customHeight="1" x14ac:dyDescent="0.25">
      <c r="A180" s="5"/>
      <c r="B180" s="328" t="s">
        <v>162</v>
      </c>
      <c r="C180" s="329"/>
      <c r="D180" s="329"/>
      <c r="E180" s="329"/>
      <c r="F180" s="17"/>
      <c r="G180" s="17"/>
      <c r="H180" s="17"/>
      <c r="I180" s="17"/>
      <c r="J180" s="17"/>
      <c r="K180" s="2"/>
      <c r="L180" s="241"/>
      <c r="M180" s="242"/>
      <c r="N180" s="3"/>
      <c r="O180" s="3"/>
      <c r="P180" s="241"/>
      <c r="Q180" s="242"/>
      <c r="R180" s="356"/>
      <c r="S180" s="357"/>
      <c r="T180" s="282"/>
      <c r="U180" s="283"/>
      <c r="V180" s="96"/>
      <c r="W180" s="96"/>
      <c r="X180" s="4"/>
      <c r="Y180" s="4"/>
      <c r="Z180" s="6"/>
      <c r="AA180" s="4"/>
      <c r="AB180" s="6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</row>
    <row r="181" spans="1:42" ht="51.75" customHeight="1" x14ac:dyDescent="0.25">
      <c r="A181" s="5">
        <v>1</v>
      </c>
      <c r="B181" s="336" t="s">
        <v>3</v>
      </c>
      <c r="C181" s="336"/>
      <c r="D181" s="336"/>
      <c r="E181" s="336"/>
      <c r="F181" s="15"/>
      <c r="G181" s="15"/>
      <c r="H181" s="15"/>
      <c r="I181" s="15"/>
      <c r="J181" s="15"/>
      <c r="K181" s="2" t="s">
        <v>104</v>
      </c>
      <c r="L181" s="245" t="s">
        <v>78</v>
      </c>
      <c r="M181" s="245"/>
      <c r="N181" s="3"/>
      <c r="O181" s="2"/>
      <c r="P181" s="311">
        <f>(64479.1-2858+858-6150)*1000/(P175*1000)</f>
        <v>784.96516164994421</v>
      </c>
      <c r="Q181" s="311"/>
      <c r="R181" s="295"/>
      <c r="S181" s="295"/>
      <c r="T181" s="294">
        <f t="shared" ref="T181:T186" si="10">P181</f>
        <v>784.96516164994421</v>
      </c>
      <c r="U181" s="295"/>
      <c r="V181" s="138">
        <f>54115144.43/(V175*1000)</f>
        <v>771.64044531584204</v>
      </c>
      <c r="W181" s="138"/>
      <c r="X181" s="6"/>
      <c r="Y181" s="6">
        <f t="shared" ref="Y181:Y186" si="11">V181</f>
        <v>771.64044531584204</v>
      </c>
      <c r="Z181" s="6">
        <f t="shared" si="9"/>
        <v>-13.324716334102163</v>
      </c>
      <c r="AA181" s="4"/>
      <c r="AB181" s="6">
        <f t="shared" si="8"/>
        <v>-13.324716334102163</v>
      </c>
      <c r="AD181" s="33"/>
      <c r="AE181" s="57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</row>
    <row r="182" spans="1:42" ht="36.75" customHeight="1" x14ac:dyDescent="0.25">
      <c r="A182" s="5">
        <v>2</v>
      </c>
      <c r="B182" s="324" t="s">
        <v>179</v>
      </c>
      <c r="C182" s="324"/>
      <c r="D182" s="324"/>
      <c r="E182" s="324"/>
      <c r="F182" s="8"/>
      <c r="G182" s="8"/>
      <c r="H182" s="8"/>
      <c r="I182" s="8"/>
      <c r="J182" s="8"/>
      <c r="K182" s="2" t="s">
        <v>71</v>
      </c>
      <c r="L182" s="245" t="s">
        <v>78</v>
      </c>
      <c r="M182" s="245"/>
      <c r="N182" s="3"/>
      <c r="O182" s="2"/>
      <c r="P182" s="311">
        <v>10.95</v>
      </c>
      <c r="Q182" s="311"/>
      <c r="R182" s="295"/>
      <c r="S182" s="295"/>
      <c r="T182" s="294">
        <f t="shared" si="10"/>
        <v>10.95</v>
      </c>
      <c r="U182" s="295"/>
      <c r="V182" s="1">
        <v>10.86</v>
      </c>
      <c r="W182" s="1"/>
      <c r="X182" s="1"/>
      <c r="Y182" s="6">
        <f t="shared" si="11"/>
        <v>10.86</v>
      </c>
      <c r="Z182" s="6">
        <f t="shared" si="9"/>
        <v>-8.9999999999999858E-2</v>
      </c>
      <c r="AA182" s="4"/>
      <c r="AB182" s="6">
        <f t="shared" si="8"/>
        <v>-8.9999999999999858E-2</v>
      </c>
      <c r="AD182" s="33"/>
      <c r="AE182" s="238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</row>
    <row r="183" spans="1:42" ht="35.25" customHeight="1" x14ac:dyDescent="0.25">
      <c r="A183" s="5">
        <v>3</v>
      </c>
      <c r="B183" s="324" t="s">
        <v>105</v>
      </c>
      <c r="C183" s="324"/>
      <c r="D183" s="324"/>
      <c r="E183" s="324"/>
      <c r="F183" s="8"/>
      <c r="G183" s="8"/>
      <c r="H183" s="8"/>
      <c r="I183" s="8"/>
      <c r="J183" s="8"/>
      <c r="K183" s="2" t="s">
        <v>71</v>
      </c>
      <c r="L183" s="245" t="s">
        <v>78</v>
      </c>
      <c r="M183" s="245"/>
      <c r="N183" s="3"/>
      <c r="O183" s="2"/>
      <c r="P183" s="311">
        <v>29.26</v>
      </c>
      <c r="Q183" s="311"/>
      <c r="R183" s="295"/>
      <c r="S183" s="295"/>
      <c r="T183" s="294">
        <f t="shared" si="10"/>
        <v>29.26</v>
      </c>
      <c r="U183" s="295"/>
      <c r="V183" s="1">
        <v>36.520000000000003</v>
      </c>
      <c r="W183" s="1"/>
      <c r="X183" s="1"/>
      <c r="Y183" s="6">
        <f t="shared" si="11"/>
        <v>36.520000000000003</v>
      </c>
      <c r="Z183" s="6">
        <f t="shared" si="9"/>
        <v>7.2600000000000016</v>
      </c>
      <c r="AA183" s="4"/>
      <c r="AB183" s="6">
        <f t="shared" si="8"/>
        <v>7.2600000000000016</v>
      </c>
      <c r="AD183" s="33"/>
      <c r="AE183" s="238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</row>
    <row r="184" spans="1:42" ht="48" customHeight="1" x14ac:dyDescent="0.25">
      <c r="A184" s="5">
        <v>4</v>
      </c>
      <c r="B184" s="336" t="s">
        <v>4</v>
      </c>
      <c r="C184" s="336"/>
      <c r="D184" s="336"/>
      <c r="E184" s="336"/>
      <c r="F184" s="15"/>
      <c r="G184" s="15"/>
      <c r="H184" s="15"/>
      <c r="I184" s="15"/>
      <c r="J184" s="15"/>
      <c r="K184" s="2" t="s">
        <v>71</v>
      </c>
      <c r="L184" s="241" t="s">
        <v>78</v>
      </c>
      <c r="M184" s="335"/>
      <c r="N184" s="16"/>
      <c r="O184" s="16"/>
      <c r="P184" s="311">
        <f>7289.57/P177/12*1000</f>
        <v>4859.7133333333322</v>
      </c>
      <c r="Q184" s="311"/>
      <c r="R184" s="295"/>
      <c r="S184" s="295"/>
      <c r="T184" s="294">
        <f t="shared" si="10"/>
        <v>4859.7133333333322</v>
      </c>
      <c r="U184" s="295"/>
      <c r="V184" s="138">
        <f>9592.72452/V177/12*1000</f>
        <v>6395.1496799999995</v>
      </c>
      <c r="W184" s="138"/>
      <c r="X184" s="6"/>
      <c r="Y184" s="6">
        <f t="shared" si="11"/>
        <v>6395.1496799999995</v>
      </c>
      <c r="Z184" s="6">
        <f t="shared" si="9"/>
        <v>1535.4363466666673</v>
      </c>
      <c r="AA184" s="4"/>
      <c r="AB184" s="6">
        <f t="shared" si="8"/>
        <v>1535.4363466666673</v>
      </c>
      <c r="AD184" s="33"/>
      <c r="AE184" s="57"/>
      <c r="AF184" s="33"/>
      <c r="AG184" s="33"/>
      <c r="AH184" s="162"/>
      <c r="AI184" s="156"/>
      <c r="AJ184" s="33"/>
      <c r="AK184" s="33"/>
      <c r="AL184" s="33"/>
      <c r="AM184" s="33"/>
      <c r="AN184" s="33"/>
      <c r="AO184" s="33"/>
      <c r="AP184" s="33"/>
    </row>
    <row r="185" spans="1:42" ht="35.25" customHeight="1" x14ac:dyDescent="0.25">
      <c r="A185" s="203">
        <v>5</v>
      </c>
      <c r="B185" s="326" t="s">
        <v>106</v>
      </c>
      <c r="C185" s="327"/>
      <c r="D185" s="327"/>
      <c r="E185" s="327"/>
      <c r="F185" s="116"/>
      <c r="G185" s="116"/>
      <c r="H185" s="116"/>
      <c r="I185" s="116"/>
      <c r="J185" s="116"/>
      <c r="K185" s="110" t="s">
        <v>71</v>
      </c>
      <c r="L185" s="410" t="s">
        <v>78</v>
      </c>
      <c r="M185" s="411"/>
      <c r="N185" s="99"/>
      <c r="O185" s="110"/>
      <c r="P185" s="311">
        <f>10470.72/(P178)</f>
        <v>333.78195814209397</v>
      </c>
      <c r="Q185" s="311"/>
      <c r="R185" s="392"/>
      <c r="S185" s="393"/>
      <c r="T185" s="468">
        <f t="shared" si="10"/>
        <v>333.78195814209397</v>
      </c>
      <c r="U185" s="469"/>
      <c r="V185" s="174">
        <f>9262.96992/(V178)</f>
        <v>281.46077858812765</v>
      </c>
      <c r="W185" s="174"/>
      <c r="X185" s="100"/>
      <c r="Y185" s="100">
        <f t="shared" si="11"/>
        <v>281.46077858812765</v>
      </c>
      <c r="Z185" s="100">
        <f t="shared" si="9"/>
        <v>-52.321179553966317</v>
      </c>
      <c r="AA185" s="96"/>
      <c r="AB185" s="100">
        <f t="shared" si="8"/>
        <v>-52.321179553966317</v>
      </c>
      <c r="AD185" s="33"/>
      <c r="AE185" s="33"/>
      <c r="AF185" s="33"/>
      <c r="AG185" s="33"/>
      <c r="AH185" s="156"/>
      <c r="AI185" s="156"/>
      <c r="AJ185" s="33"/>
      <c r="AK185" s="33"/>
      <c r="AL185" s="33"/>
      <c r="AM185" s="33"/>
      <c r="AN185" s="33"/>
      <c r="AO185" s="33"/>
      <c r="AP185" s="33"/>
    </row>
    <row r="186" spans="1:42" ht="33" customHeight="1" x14ac:dyDescent="0.25">
      <c r="A186" s="203">
        <v>6</v>
      </c>
      <c r="B186" s="326" t="s">
        <v>21</v>
      </c>
      <c r="C186" s="327"/>
      <c r="D186" s="327"/>
      <c r="E186" s="327"/>
      <c r="F186" s="116"/>
      <c r="G186" s="116"/>
      <c r="H186" s="116"/>
      <c r="I186" s="116"/>
      <c r="J186" s="116"/>
      <c r="K186" s="110" t="s">
        <v>71</v>
      </c>
      <c r="L186" s="410" t="s">
        <v>78</v>
      </c>
      <c r="M186" s="411"/>
      <c r="N186" s="113"/>
      <c r="O186" s="113"/>
      <c r="P186" s="311">
        <f>P173/P179</f>
        <v>1784.9345113060672</v>
      </c>
      <c r="Q186" s="311"/>
      <c r="R186" s="392"/>
      <c r="S186" s="393"/>
      <c r="T186" s="468">
        <f t="shared" si="10"/>
        <v>1784.9345113060672</v>
      </c>
      <c r="U186" s="469"/>
      <c r="V186" s="138">
        <f>V173/V179</f>
        <v>1784.9332386012604</v>
      </c>
      <c r="W186" s="189"/>
      <c r="X186" s="190"/>
      <c r="Y186" s="100">
        <f t="shared" si="11"/>
        <v>1784.9332386012604</v>
      </c>
      <c r="Z186" s="100">
        <f t="shared" si="9"/>
        <v>-1.2727048067517899E-3</v>
      </c>
      <c r="AA186" s="117"/>
      <c r="AB186" s="100">
        <f t="shared" si="8"/>
        <v>-1.2727048067517899E-3</v>
      </c>
      <c r="AD186" s="57"/>
      <c r="AE186" s="33"/>
      <c r="AF186" s="33"/>
      <c r="AG186" s="33"/>
      <c r="AH186" s="156"/>
      <c r="AI186" s="156"/>
      <c r="AJ186" s="33"/>
      <c r="AK186" s="33"/>
      <c r="AL186" s="33"/>
      <c r="AM186" s="33"/>
      <c r="AN186" s="33"/>
      <c r="AO186" s="33"/>
      <c r="AP186" s="33"/>
    </row>
    <row r="187" spans="1:42" ht="19.5" customHeight="1" x14ac:dyDescent="0.25">
      <c r="A187" s="5"/>
      <c r="B187" s="328" t="s">
        <v>160</v>
      </c>
      <c r="C187" s="329"/>
      <c r="D187" s="329"/>
      <c r="E187" s="329"/>
      <c r="F187" s="17"/>
      <c r="G187" s="17"/>
      <c r="H187" s="17"/>
      <c r="I187" s="17"/>
      <c r="J187" s="17"/>
      <c r="K187" s="2"/>
      <c r="L187" s="245"/>
      <c r="M187" s="245"/>
      <c r="N187" s="3"/>
      <c r="O187" s="3"/>
      <c r="P187" s="346"/>
      <c r="Q187" s="346"/>
      <c r="R187" s="331"/>
      <c r="S187" s="331"/>
      <c r="T187" s="331"/>
      <c r="U187" s="331"/>
      <c r="V187" s="5"/>
      <c r="W187" s="5"/>
      <c r="X187" s="5"/>
      <c r="Y187" s="5"/>
      <c r="Z187" s="46"/>
      <c r="AA187" s="5"/>
      <c r="AB187" s="46"/>
      <c r="AD187" s="33"/>
      <c r="AE187" s="33"/>
      <c r="AF187" s="33"/>
      <c r="AG187" s="33"/>
      <c r="AH187" s="156"/>
      <c r="AI187" s="156"/>
      <c r="AJ187" s="33"/>
      <c r="AK187" s="33"/>
      <c r="AL187" s="33"/>
      <c r="AM187" s="33"/>
      <c r="AN187" s="33"/>
      <c r="AO187" s="33"/>
      <c r="AP187" s="33"/>
    </row>
    <row r="188" spans="1:42" ht="82.5" customHeight="1" x14ac:dyDescent="0.25">
      <c r="A188" s="5">
        <v>1</v>
      </c>
      <c r="B188" s="336" t="s">
        <v>246</v>
      </c>
      <c r="C188" s="336"/>
      <c r="D188" s="336"/>
      <c r="E188" s="336"/>
      <c r="F188" s="15"/>
      <c r="G188" s="15"/>
      <c r="H188" s="15"/>
      <c r="I188" s="15"/>
      <c r="J188" s="15"/>
      <c r="K188" s="169" t="s">
        <v>0</v>
      </c>
      <c r="L188" s="245" t="s">
        <v>78</v>
      </c>
      <c r="M188" s="245"/>
      <c r="N188" s="3"/>
      <c r="O188" s="3"/>
      <c r="P188" s="312">
        <f>P181/779.69*100</f>
        <v>100.67657166950252</v>
      </c>
      <c r="Q188" s="312">
        <f>Q181/446.08*100</f>
        <v>0</v>
      </c>
      <c r="R188" s="295"/>
      <c r="S188" s="295"/>
      <c r="T188" s="294">
        <f t="shared" ref="T188:T193" si="12">P188</f>
        <v>100.67657166950252</v>
      </c>
      <c r="U188" s="295"/>
      <c r="V188" s="312">
        <f>V181/779.69*100</f>
        <v>98.96759549511242</v>
      </c>
      <c r="W188" s="312">
        <f>W181/446.08*100</f>
        <v>0</v>
      </c>
      <c r="X188" s="1"/>
      <c r="Y188" s="58">
        <f t="shared" ref="Y188:Y193" si="13">V188</f>
        <v>98.96759549511242</v>
      </c>
      <c r="Z188" s="6">
        <f t="shared" si="9"/>
        <v>-1.7089761743901022</v>
      </c>
      <c r="AA188" s="4"/>
      <c r="AB188" s="6">
        <f t="shared" si="8"/>
        <v>-1.7089761743901022</v>
      </c>
      <c r="AD188" s="33"/>
      <c r="AE188" s="33"/>
      <c r="AF188" s="33"/>
      <c r="AG188" s="33"/>
      <c r="AH188" s="156"/>
      <c r="AI188" s="156"/>
      <c r="AJ188" s="33"/>
      <c r="AK188" s="33"/>
      <c r="AL188" s="33"/>
      <c r="AM188" s="33"/>
      <c r="AN188" s="33"/>
      <c r="AO188" s="33"/>
      <c r="AP188" s="33"/>
    </row>
    <row r="189" spans="1:42" ht="66" customHeight="1" x14ac:dyDescent="0.25">
      <c r="A189" s="5">
        <v>2</v>
      </c>
      <c r="B189" s="336" t="s">
        <v>304</v>
      </c>
      <c r="C189" s="391"/>
      <c r="D189" s="391"/>
      <c r="E189" s="391"/>
      <c r="F189" s="194"/>
      <c r="G189" s="194"/>
      <c r="H189" s="194"/>
      <c r="I189" s="194"/>
      <c r="J189" s="194"/>
      <c r="K189" s="169" t="s">
        <v>0</v>
      </c>
      <c r="L189" s="245" t="s">
        <v>78</v>
      </c>
      <c r="M189" s="245"/>
      <c r="N189" s="3"/>
      <c r="O189" s="3"/>
      <c r="P189" s="312">
        <f>P182/11.16*100</f>
        <v>98.118279569892465</v>
      </c>
      <c r="Q189" s="312">
        <f>Q182/5.5*100</f>
        <v>0</v>
      </c>
      <c r="R189" s="295"/>
      <c r="S189" s="295"/>
      <c r="T189" s="294">
        <f t="shared" si="12"/>
        <v>98.118279569892465</v>
      </c>
      <c r="U189" s="295"/>
      <c r="V189" s="312">
        <f>V182/11.16*100</f>
        <v>97.311827956989234</v>
      </c>
      <c r="W189" s="312">
        <f>W182/5.5*100</f>
        <v>0</v>
      </c>
      <c r="X189" s="1"/>
      <c r="Y189" s="58">
        <f t="shared" si="13"/>
        <v>97.311827956989234</v>
      </c>
      <c r="Z189" s="6">
        <f t="shared" si="9"/>
        <v>-0.80645161290323131</v>
      </c>
      <c r="AA189" s="4"/>
      <c r="AB189" s="6">
        <f t="shared" si="8"/>
        <v>-0.80645161290323131</v>
      </c>
      <c r="AD189" s="33"/>
      <c r="AE189" s="33"/>
      <c r="AF189" s="33"/>
      <c r="AG189" s="33"/>
      <c r="AH189" s="156"/>
      <c r="AI189" s="156"/>
      <c r="AJ189" s="33"/>
      <c r="AK189" s="33"/>
      <c r="AL189" s="33"/>
      <c r="AM189" s="33"/>
      <c r="AN189" s="33"/>
      <c r="AO189" s="33"/>
      <c r="AP189" s="33"/>
    </row>
    <row r="190" spans="1:42" ht="69" customHeight="1" x14ac:dyDescent="0.25">
      <c r="A190" s="5">
        <v>3</v>
      </c>
      <c r="B190" s="336" t="s">
        <v>305</v>
      </c>
      <c r="C190" s="391"/>
      <c r="D190" s="391"/>
      <c r="E190" s="391"/>
      <c r="F190" s="194"/>
      <c r="G190" s="194"/>
      <c r="H190" s="194"/>
      <c r="I190" s="194"/>
      <c r="J190" s="194"/>
      <c r="K190" s="169" t="s">
        <v>0</v>
      </c>
      <c r="L190" s="245" t="s">
        <v>78</v>
      </c>
      <c r="M190" s="245"/>
      <c r="N190" s="3"/>
      <c r="O190" s="3"/>
      <c r="P190" s="312">
        <f>P183/30.39*100</f>
        <v>96.281671602500836</v>
      </c>
      <c r="Q190" s="330">
        <f>Q183/38.12*100</f>
        <v>0</v>
      </c>
      <c r="R190" s="295"/>
      <c r="S190" s="295"/>
      <c r="T190" s="294">
        <f t="shared" si="12"/>
        <v>96.281671602500836</v>
      </c>
      <c r="U190" s="295"/>
      <c r="V190" s="312">
        <f>V183/30.39*100</f>
        <v>120.17110891740705</v>
      </c>
      <c r="W190" s="330">
        <f>W183/38.12*100</f>
        <v>0</v>
      </c>
      <c r="X190" s="122"/>
      <c r="Y190" s="58">
        <f t="shared" si="13"/>
        <v>120.17110891740705</v>
      </c>
      <c r="Z190" s="6">
        <f t="shared" si="9"/>
        <v>23.889437314906218</v>
      </c>
      <c r="AA190" s="4"/>
      <c r="AB190" s="6">
        <f t="shared" si="8"/>
        <v>23.889437314906218</v>
      </c>
      <c r="AD190" s="33"/>
      <c r="AE190" s="33"/>
      <c r="AF190" s="33"/>
      <c r="AG190" s="33"/>
      <c r="AH190" s="156"/>
      <c r="AI190" s="156"/>
      <c r="AJ190" s="33"/>
      <c r="AK190" s="33"/>
      <c r="AL190" s="33"/>
      <c r="AM190" s="33"/>
      <c r="AN190" s="33"/>
      <c r="AO190" s="33"/>
      <c r="AP190" s="33"/>
    </row>
    <row r="191" spans="1:42" ht="52.5" customHeight="1" x14ac:dyDescent="0.25">
      <c r="A191" s="5">
        <v>4</v>
      </c>
      <c r="B191" s="336" t="s">
        <v>306</v>
      </c>
      <c r="C191" s="336"/>
      <c r="D191" s="336"/>
      <c r="E191" s="336"/>
      <c r="F191" s="15"/>
      <c r="G191" s="15"/>
      <c r="H191" s="15"/>
      <c r="I191" s="15"/>
      <c r="J191" s="15"/>
      <c r="K191" s="169" t="s">
        <v>0</v>
      </c>
      <c r="L191" s="245" t="s">
        <v>78</v>
      </c>
      <c r="M191" s="245"/>
      <c r="N191" s="3"/>
      <c r="O191" s="3"/>
      <c r="P191" s="386">
        <f>P184/5007.99*100</f>
        <v>97.039198028217555</v>
      </c>
      <c r="Q191" s="387">
        <f>Q184/3720.94*100</f>
        <v>0</v>
      </c>
      <c r="R191" s="295"/>
      <c r="S191" s="295"/>
      <c r="T191" s="294">
        <f t="shared" si="12"/>
        <v>97.039198028217555</v>
      </c>
      <c r="U191" s="295"/>
      <c r="V191" s="386">
        <f>V184/5007.99*100</f>
        <v>127.69893070872745</v>
      </c>
      <c r="W191" s="387">
        <f>W184/3720.94*100</f>
        <v>0</v>
      </c>
      <c r="X191" s="123"/>
      <c r="Y191" s="58">
        <f t="shared" si="13"/>
        <v>127.69893070872745</v>
      </c>
      <c r="Z191" s="6">
        <f t="shared" si="9"/>
        <v>30.65973268050989</v>
      </c>
      <c r="AA191" s="4"/>
      <c r="AB191" s="6">
        <f t="shared" si="8"/>
        <v>30.65973268050989</v>
      </c>
      <c r="AD191" s="33"/>
      <c r="AE191" s="33"/>
      <c r="AF191" s="33"/>
      <c r="AG191" s="33"/>
      <c r="AH191" s="155"/>
      <c r="AI191" s="156"/>
      <c r="AJ191" s="33"/>
      <c r="AK191" s="33"/>
      <c r="AL191" s="33"/>
      <c r="AM191" s="33"/>
      <c r="AN191" s="33"/>
      <c r="AO191" s="33"/>
      <c r="AP191" s="33"/>
    </row>
    <row r="192" spans="1:42" ht="51" customHeight="1" x14ac:dyDescent="0.25">
      <c r="A192" s="5">
        <v>5</v>
      </c>
      <c r="B192" s="359" t="s">
        <v>307</v>
      </c>
      <c r="C192" s="270"/>
      <c r="D192" s="270"/>
      <c r="E192" s="270"/>
      <c r="F192" s="18"/>
      <c r="G192" s="18"/>
      <c r="H192" s="18"/>
      <c r="I192" s="18"/>
      <c r="J192" s="18"/>
      <c r="K192" s="169" t="s">
        <v>0</v>
      </c>
      <c r="L192" s="245" t="s">
        <v>78</v>
      </c>
      <c r="M192" s="245"/>
      <c r="N192" s="3"/>
      <c r="O192" s="3"/>
      <c r="P192" s="386">
        <f>P185/298.24*100</f>
        <v>111.91723381910339</v>
      </c>
      <c r="Q192" s="375">
        <f>Q185/237.67*100</f>
        <v>0</v>
      </c>
      <c r="R192" s="295"/>
      <c r="S192" s="295"/>
      <c r="T192" s="294">
        <f t="shared" si="12"/>
        <v>111.91723381910339</v>
      </c>
      <c r="U192" s="295"/>
      <c r="V192" s="386">
        <f>V185/298.24*100</f>
        <v>94.373919859216613</v>
      </c>
      <c r="W192" s="375">
        <f>W185/237.67*100</f>
        <v>0</v>
      </c>
      <c r="X192" s="92"/>
      <c r="Y192" s="58">
        <f t="shared" si="13"/>
        <v>94.373919859216613</v>
      </c>
      <c r="Z192" s="6">
        <f t="shared" si="9"/>
        <v>-17.543313959886774</v>
      </c>
      <c r="AA192" s="4"/>
      <c r="AB192" s="6">
        <f t="shared" si="8"/>
        <v>-17.543313959886774</v>
      </c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</row>
    <row r="193" spans="1:42" ht="58.5" customHeight="1" x14ac:dyDescent="0.25">
      <c r="A193" s="5">
        <v>6</v>
      </c>
      <c r="B193" s="350" t="s">
        <v>308</v>
      </c>
      <c r="C193" s="319"/>
      <c r="D193" s="319"/>
      <c r="E193" s="319"/>
      <c r="F193" s="15"/>
      <c r="G193" s="15"/>
      <c r="H193" s="15"/>
      <c r="I193" s="15"/>
      <c r="J193" s="15"/>
      <c r="K193" s="169" t="s">
        <v>0</v>
      </c>
      <c r="L193" s="245" t="s">
        <v>78</v>
      </c>
      <c r="M193" s="245"/>
      <c r="N193" s="16"/>
      <c r="O193" s="16"/>
      <c r="P193" s="386">
        <f>P186/3760.79*100</f>
        <v>47.461690530608386</v>
      </c>
      <c r="Q193" s="375">
        <f>Q186/3283.9*100</f>
        <v>0</v>
      </c>
      <c r="R193" s="295"/>
      <c r="S193" s="295"/>
      <c r="T193" s="294">
        <f t="shared" si="12"/>
        <v>47.461690530608386</v>
      </c>
      <c r="U193" s="295"/>
      <c r="V193" s="386">
        <f>V186/3760.79*100</f>
        <v>47.46165668918659</v>
      </c>
      <c r="W193" s="375">
        <f>W186/3283.9*100</f>
        <v>0</v>
      </c>
      <c r="X193" s="92"/>
      <c r="Y193" s="58">
        <f t="shared" si="13"/>
        <v>47.46165668918659</v>
      </c>
      <c r="Z193" s="6">
        <f t="shared" si="9"/>
        <v>-3.3841421796410032E-5</v>
      </c>
      <c r="AA193" s="118"/>
      <c r="AB193" s="6">
        <f t="shared" si="8"/>
        <v>-3.3841421796410032E-5</v>
      </c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</row>
    <row r="194" spans="1:42" ht="22.5" customHeight="1" x14ac:dyDescent="0.25">
      <c r="A194" s="5"/>
      <c r="B194" s="378" t="s">
        <v>63</v>
      </c>
      <c r="C194" s="379"/>
      <c r="D194" s="379"/>
      <c r="E194" s="379"/>
      <c r="F194" s="379"/>
      <c r="G194" s="379"/>
      <c r="H194" s="379"/>
      <c r="I194" s="379"/>
      <c r="J194" s="379"/>
      <c r="K194" s="379"/>
      <c r="L194" s="379"/>
      <c r="M194" s="379"/>
      <c r="N194" s="379"/>
      <c r="O194" s="379"/>
      <c r="P194" s="379"/>
      <c r="Q194" s="379"/>
      <c r="R194" s="379"/>
      <c r="S194" s="379"/>
      <c r="T194" s="379"/>
      <c r="U194" s="379"/>
      <c r="V194" s="379"/>
      <c r="W194" s="379"/>
      <c r="X194" s="379"/>
      <c r="Y194" s="379"/>
      <c r="Z194" s="379"/>
      <c r="AA194" s="379"/>
      <c r="AB194" s="379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</row>
    <row r="195" spans="1:42" ht="21" customHeight="1" x14ac:dyDescent="0.25">
      <c r="A195" s="5"/>
      <c r="B195" s="390" t="s">
        <v>161</v>
      </c>
      <c r="C195" s="390"/>
      <c r="D195" s="390"/>
      <c r="E195" s="390"/>
      <c r="F195" s="54"/>
      <c r="G195" s="54"/>
      <c r="H195" s="54"/>
      <c r="I195" s="54"/>
      <c r="J195" s="54"/>
      <c r="K195" s="48"/>
      <c r="L195" s="464"/>
      <c r="M195" s="465"/>
      <c r="N195" s="49"/>
      <c r="O195" s="49"/>
      <c r="P195" s="457"/>
      <c r="Q195" s="517"/>
      <c r="R195" s="385"/>
      <c r="S195" s="385"/>
      <c r="T195" s="385"/>
      <c r="U195" s="385"/>
      <c r="V195" s="55"/>
      <c r="W195" s="55"/>
      <c r="X195" s="55"/>
      <c r="Y195" s="55"/>
      <c r="Z195" s="55"/>
      <c r="AA195" s="55"/>
      <c r="AB195" s="55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</row>
    <row r="196" spans="1:42" ht="52.5" customHeight="1" x14ac:dyDescent="0.25">
      <c r="A196" s="5">
        <v>1</v>
      </c>
      <c r="B196" s="319" t="s">
        <v>212</v>
      </c>
      <c r="C196" s="319"/>
      <c r="D196" s="319"/>
      <c r="E196" s="319"/>
      <c r="F196" s="11"/>
      <c r="G196" s="11"/>
      <c r="H196" s="11"/>
      <c r="I196" s="11"/>
      <c r="J196" s="11"/>
      <c r="K196" s="2" t="s">
        <v>71</v>
      </c>
      <c r="L196" s="245" t="s">
        <v>69</v>
      </c>
      <c r="M196" s="245"/>
      <c r="N196" s="3"/>
      <c r="O196" s="3"/>
      <c r="P196" s="312">
        <v>5000</v>
      </c>
      <c r="Q196" s="312"/>
      <c r="R196" s="295"/>
      <c r="S196" s="295"/>
      <c r="T196" s="294">
        <f>P196</f>
        <v>5000</v>
      </c>
      <c r="U196" s="294"/>
      <c r="V196" s="6">
        <v>580.28</v>
      </c>
      <c r="W196" s="6"/>
      <c r="X196" s="6"/>
      <c r="Y196" s="6">
        <f>V196</f>
        <v>580.28</v>
      </c>
      <c r="Z196" s="6">
        <f>V196-P196</f>
        <v>-4419.72</v>
      </c>
      <c r="AA196" s="6"/>
      <c r="AB196" s="6">
        <f>Z196</f>
        <v>-4419.72</v>
      </c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</row>
    <row r="197" spans="1:42" ht="20.100000000000001" customHeight="1" x14ac:dyDescent="0.25">
      <c r="A197" s="5"/>
      <c r="B197" s="317" t="s">
        <v>159</v>
      </c>
      <c r="C197" s="317"/>
      <c r="D197" s="317"/>
      <c r="E197" s="317"/>
      <c r="F197" s="17"/>
      <c r="G197" s="17"/>
      <c r="H197" s="17"/>
      <c r="I197" s="17"/>
      <c r="J197" s="17"/>
      <c r="K197" s="2"/>
      <c r="L197" s="241"/>
      <c r="M197" s="335"/>
      <c r="N197" s="16"/>
      <c r="O197" s="16"/>
      <c r="P197" s="245"/>
      <c r="Q197" s="245"/>
      <c r="R197" s="295"/>
      <c r="S197" s="295"/>
      <c r="T197" s="381"/>
      <c r="U197" s="295"/>
      <c r="V197" s="4"/>
      <c r="W197" s="4"/>
      <c r="X197" s="4"/>
      <c r="Y197" s="4"/>
      <c r="Z197" s="4"/>
      <c r="AA197" s="4"/>
      <c r="AB197" s="4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</row>
    <row r="198" spans="1:42" ht="37.5" customHeight="1" x14ac:dyDescent="0.25">
      <c r="A198" s="5">
        <v>1</v>
      </c>
      <c r="B198" s="286" t="s">
        <v>184</v>
      </c>
      <c r="C198" s="287"/>
      <c r="D198" s="287"/>
      <c r="E198" s="287"/>
      <c r="F198" s="9"/>
      <c r="G198" s="9"/>
      <c r="H198" s="9"/>
      <c r="I198" s="9"/>
      <c r="J198" s="9"/>
      <c r="K198" s="3" t="s">
        <v>107</v>
      </c>
      <c r="L198" s="245" t="s">
        <v>78</v>
      </c>
      <c r="M198" s="245"/>
      <c r="N198" s="3"/>
      <c r="O198" s="3"/>
      <c r="P198" s="376">
        <f>P196/P200/1000</f>
        <v>0.32679738562091498</v>
      </c>
      <c r="Q198" s="377"/>
      <c r="R198" s="311"/>
      <c r="S198" s="311"/>
      <c r="T198" s="311">
        <f>P198</f>
        <v>0.32679738562091498</v>
      </c>
      <c r="U198" s="311"/>
      <c r="V198" s="376">
        <v>0</v>
      </c>
      <c r="W198" s="377"/>
      <c r="X198" s="58"/>
      <c r="Y198" s="58">
        <f>V198</f>
        <v>0</v>
      </c>
      <c r="Z198" s="58">
        <f>V198-P198</f>
        <v>-0.32679738562091498</v>
      </c>
      <c r="AA198" s="58"/>
      <c r="AB198" s="58">
        <f>Z198</f>
        <v>-0.32679738562091498</v>
      </c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</row>
    <row r="199" spans="1:42" ht="18.75" customHeight="1" x14ac:dyDescent="0.25">
      <c r="A199" s="5"/>
      <c r="B199" s="317" t="s">
        <v>162</v>
      </c>
      <c r="C199" s="317"/>
      <c r="D199" s="317"/>
      <c r="E199" s="317"/>
      <c r="F199" s="17"/>
      <c r="G199" s="17"/>
      <c r="H199" s="17"/>
      <c r="I199" s="17"/>
      <c r="J199" s="17"/>
      <c r="K199" s="2"/>
      <c r="L199" s="241"/>
      <c r="M199" s="335"/>
      <c r="N199" s="16"/>
      <c r="O199" s="16"/>
      <c r="P199" s="245"/>
      <c r="Q199" s="245"/>
      <c r="R199" s="295"/>
      <c r="S199" s="295"/>
      <c r="T199" s="381"/>
      <c r="U199" s="295"/>
      <c r="V199" s="4"/>
      <c r="W199" s="4"/>
      <c r="X199" s="4"/>
      <c r="Y199" s="4"/>
      <c r="Z199" s="4"/>
      <c r="AA199" s="4"/>
      <c r="AB199" s="4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</row>
    <row r="200" spans="1:42" ht="50.25" customHeight="1" x14ac:dyDescent="0.25">
      <c r="A200" s="5">
        <v>1</v>
      </c>
      <c r="B200" s="324" t="s">
        <v>185</v>
      </c>
      <c r="C200" s="324"/>
      <c r="D200" s="324"/>
      <c r="E200" s="324"/>
      <c r="F200" s="8"/>
      <c r="G200" s="8"/>
      <c r="H200" s="8"/>
      <c r="I200" s="8"/>
      <c r="J200" s="8"/>
      <c r="K200" s="2" t="s">
        <v>71</v>
      </c>
      <c r="L200" s="241" t="s">
        <v>1</v>
      </c>
      <c r="M200" s="335"/>
      <c r="N200" s="16"/>
      <c r="O200" s="16"/>
      <c r="P200" s="312">
        <v>15.3</v>
      </c>
      <c r="Q200" s="312"/>
      <c r="R200" s="311"/>
      <c r="S200" s="311"/>
      <c r="T200" s="311">
        <f>P200</f>
        <v>15.3</v>
      </c>
      <c r="U200" s="311"/>
      <c r="V200" s="312">
        <v>0</v>
      </c>
      <c r="W200" s="312"/>
      <c r="X200" s="58"/>
      <c r="Y200" s="58">
        <f>V200</f>
        <v>0</v>
      </c>
      <c r="Z200" s="58">
        <f>V200-P200</f>
        <v>-15.3</v>
      </c>
      <c r="AA200" s="4"/>
      <c r="AB200" s="58">
        <f>Z200</f>
        <v>-15.3</v>
      </c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</row>
    <row r="201" spans="1:42" ht="18.75" customHeight="1" x14ac:dyDescent="0.25">
      <c r="A201" s="5"/>
      <c r="B201" s="317" t="s">
        <v>124</v>
      </c>
      <c r="C201" s="317"/>
      <c r="D201" s="317"/>
      <c r="E201" s="317"/>
      <c r="F201" s="17"/>
      <c r="G201" s="17"/>
      <c r="H201" s="17"/>
      <c r="I201" s="17"/>
      <c r="J201" s="17"/>
      <c r="K201" s="2"/>
      <c r="L201" s="245"/>
      <c r="M201" s="245"/>
      <c r="N201" s="3"/>
      <c r="O201" s="3"/>
      <c r="P201" s="245"/>
      <c r="Q201" s="245"/>
      <c r="R201" s="295"/>
      <c r="S201" s="295"/>
      <c r="T201" s="381"/>
      <c r="U201" s="295"/>
      <c r="V201" s="4"/>
      <c r="W201" s="4"/>
      <c r="X201" s="4"/>
      <c r="Y201" s="4"/>
      <c r="Z201" s="4"/>
      <c r="AA201" s="4"/>
      <c r="AB201" s="4"/>
      <c r="AD201" s="33"/>
      <c r="AE201" s="163"/>
      <c r="AF201" s="163"/>
      <c r="AG201" s="163"/>
      <c r="AH201" s="163"/>
      <c r="AI201" s="163"/>
      <c r="AJ201" s="163"/>
      <c r="AK201" s="163"/>
      <c r="AL201" s="33"/>
      <c r="AM201" s="33"/>
      <c r="AN201" s="33"/>
      <c r="AO201" s="33"/>
      <c r="AP201" s="33"/>
    </row>
    <row r="202" spans="1:42" ht="51" customHeight="1" x14ac:dyDescent="0.25">
      <c r="A202" s="5">
        <v>1</v>
      </c>
      <c r="B202" s="286" t="s">
        <v>213</v>
      </c>
      <c r="C202" s="287"/>
      <c r="D202" s="287"/>
      <c r="E202" s="287"/>
      <c r="F202" s="9"/>
      <c r="G202" s="9"/>
      <c r="H202" s="9"/>
      <c r="I202" s="9"/>
      <c r="J202" s="9"/>
      <c r="K202" s="3" t="s">
        <v>214</v>
      </c>
      <c r="L202" s="241" t="s">
        <v>78</v>
      </c>
      <c r="M202" s="335"/>
      <c r="N202" s="16"/>
      <c r="O202" s="16"/>
      <c r="P202" s="309">
        <f>P196/526.91</f>
        <v>9.4892865954337555</v>
      </c>
      <c r="Q202" s="309"/>
      <c r="R202" s="295"/>
      <c r="S202" s="295"/>
      <c r="T202" s="294">
        <f>P202</f>
        <v>9.4892865954337555</v>
      </c>
      <c r="U202" s="294"/>
      <c r="V202" s="58">
        <f>V196/526.91*100</f>
        <v>110.128864511966</v>
      </c>
      <c r="W202" s="127"/>
      <c r="X202" s="58"/>
      <c r="Y202" s="58">
        <f>V202</f>
        <v>110.128864511966</v>
      </c>
      <c r="Z202" s="58">
        <f>V202-P202</f>
        <v>100.63957791653225</v>
      </c>
      <c r="AA202" s="4"/>
      <c r="AB202" s="58">
        <f>Z202</f>
        <v>100.63957791653225</v>
      </c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</row>
    <row r="203" spans="1:42" ht="19.5" customHeight="1" x14ac:dyDescent="0.25">
      <c r="A203" s="5"/>
      <c r="B203" s="382" t="s">
        <v>64</v>
      </c>
      <c r="C203" s="383"/>
      <c r="D203" s="383"/>
      <c r="E203" s="383"/>
      <c r="F203" s="383"/>
      <c r="G203" s="383"/>
      <c r="H203" s="383"/>
      <c r="I203" s="383"/>
      <c r="J203" s="383"/>
      <c r="K203" s="383"/>
      <c r="L203" s="383"/>
      <c r="M203" s="383"/>
      <c r="N203" s="383"/>
      <c r="O203" s="383"/>
      <c r="P203" s="383"/>
      <c r="Q203" s="384"/>
      <c r="R203" s="279"/>
      <c r="S203" s="279"/>
      <c r="T203" s="279"/>
      <c r="U203" s="279"/>
      <c r="V203" s="50"/>
      <c r="W203" s="50"/>
      <c r="X203" s="50"/>
      <c r="Y203" s="50"/>
      <c r="Z203" s="50"/>
      <c r="AA203" s="50"/>
      <c r="AB203" s="50"/>
      <c r="AD203" s="33"/>
      <c r="AE203" s="33"/>
      <c r="AF203" s="33"/>
      <c r="AG203" s="33"/>
      <c r="AH203" s="157"/>
      <c r="AI203" s="156"/>
      <c r="AJ203" s="33"/>
      <c r="AK203" s="33"/>
      <c r="AL203" s="33"/>
      <c r="AM203" s="33"/>
      <c r="AN203" s="33"/>
      <c r="AO203" s="33"/>
      <c r="AP203" s="33"/>
    </row>
    <row r="204" spans="1:42" ht="20.100000000000001" customHeight="1" x14ac:dyDescent="0.25">
      <c r="A204" s="5"/>
      <c r="B204" s="321" t="s">
        <v>161</v>
      </c>
      <c r="C204" s="322"/>
      <c r="D204" s="322"/>
      <c r="E204" s="322"/>
      <c r="F204" s="44"/>
      <c r="G204" s="44"/>
      <c r="H204" s="44"/>
      <c r="I204" s="44"/>
      <c r="J204" s="44"/>
      <c r="K204" s="3"/>
      <c r="L204" s="245"/>
      <c r="M204" s="245"/>
      <c r="N204" s="3"/>
      <c r="O204" s="3"/>
      <c r="P204" s="245"/>
      <c r="Q204" s="471"/>
      <c r="R204" s="279"/>
      <c r="S204" s="279"/>
      <c r="T204" s="279"/>
      <c r="U204" s="279"/>
      <c r="V204" s="50"/>
      <c r="W204" s="50"/>
      <c r="X204" s="50"/>
      <c r="Y204" s="50"/>
      <c r="Z204" s="50"/>
      <c r="AA204" s="50"/>
      <c r="AB204" s="50"/>
      <c r="AD204" s="33"/>
      <c r="AE204" s="33"/>
      <c r="AF204" s="33"/>
      <c r="AG204" s="33"/>
      <c r="AH204" s="157"/>
      <c r="AI204" s="33"/>
      <c r="AJ204" s="33"/>
      <c r="AK204" s="33"/>
      <c r="AL204" s="33"/>
      <c r="AM204" s="33"/>
      <c r="AN204" s="33"/>
      <c r="AO204" s="33"/>
      <c r="AP204" s="33"/>
    </row>
    <row r="205" spans="1:42" ht="22.5" customHeight="1" x14ac:dyDescent="0.25">
      <c r="A205" s="5">
        <v>1</v>
      </c>
      <c r="B205" s="359" t="s">
        <v>66</v>
      </c>
      <c r="C205" s="270"/>
      <c r="D205" s="270"/>
      <c r="E205" s="270"/>
      <c r="F205" s="12"/>
      <c r="G205" s="12"/>
      <c r="H205" s="12"/>
      <c r="I205" s="12"/>
      <c r="J205" s="12"/>
      <c r="K205" s="3" t="s">
        <v>71</v>
      </c>
      <c r="L205" s="245" t="s">
        <v>69</v>
      </c>
      <c r="M205" s="245"/>
      <c r="N205" s="3"/>
      <c r="O205" s="3"/>
      <c r="P205" s="312">
        <f>SUM(P206:Q211)</f>
        <v>884501</v>
      </c>
      <c r="Q205" s="312"/>
      <c r="R205" s="294"/>
      <c r="S205" s="294"/>
      <c r="T205" s="294">
        <f t="shared" ref="T205:T211" si="14">P205</f>
        <v>884501</v>
      </c>
      <c r="U205" s="294"/>
      <c r="V205" s="6">
        <f>SUM(V206:V211)</f>
        <v>869129.16999999993</v>
      </c>
      <c r="W205" s="6"/>
      <c r="X205" s="6"/>
      <c r="Y205" s="6">
        <f>V205</f>
        <v>869129.16999999993</v>
      </c>
      <c r="Z205" s="6">
        <f>V205-P205</f>
        <v>-15371.830000000075</v>
      </c>
      <c r="AA205" s="6"/>
      <c r="AB205" s="6">
        <f>Z205</f>
        <v>-15371.830000000075</v>
      </c>
      <c r="AD205" s="33"/>
      <c r="AE205" s="33"/>
      <c r="AF205" s="33"/>
      <c r="AG205" s="33"/>
      <c r="AH205" s="155"/>
      <c r="AI205" s="33"/>
      <c r="AJ205" s="33"/>
      <c r="AK205" s="33"/>
      <c r="AL205" s="33"/>
      <c r="AM205" s="33"/>
      <c r="AN205" s="33"/>
      <c r="AO205" s="33"/>
      <c r="AP205" s="33"/>
    </row>
    <row r="206" spans="1:42" ht="20.100000000000001" customHeight="1" x14ac:dyDescent="0.25">
      <c r="A206" s="5">
        <f t="shared" ref="A206:A211" si="15">A205+1</f>
        <v>2</v>
      </c>
      <c r="B206" s="505" t="s">
        <v>197</v>
      </c>
      <c r="C206" s="506"/>
      <c r="D206" s="506"/>
      <c r="E206" s="506"/>
      <c r="F206" s="506"/>
      <c r="G206" s="506"/>
      <c r="H206" s="506"/>
      <c r="I206" s="506"/>
      <c r="J206" s="507"/>
      <c r="K206" s="3" t="s">
        <v>71</v>
      </c>
      <c r="L206" s="241" t="s">
        <v>70</v>
      </c>
      <c r="M206" s="242"/>
      <c r="N206" s="13"/>
      <c r="O206" s="13"/>
      <c r="P206" s="294">
        <v>100000</v>
      </c>
      <c r="Q206" s="294"/>
      <c r="R206" s="294"/>
      <c r="S206" s="294"/>
      <c r="T206" s="294">
        <f t="shared" si="14"/>
        <v>100000</v>
      </c>
      <c r="U206" s="294"/>
      <c r="V206" s="6">
        <v>98480.65</v>
      </c>
      <c r="W206" s="6"/>
      <c r="X206" s="6"/>
      <c r="Y206" s="6">
        <f t="shared" ref="Y206:Y226" si="16">V206</f>
        <v>98480.65</v>
      </c>
      <c r="Z206" s="6">
        <f t="shared" ref="Z206:Z231" si="17">V206-P206</f>
        <v>-1519.3500000000058</v>
      </c>
      <c r="AA206" s="6"/>
      <c r="AB206" s="6">
        <f t="shared" ref="AB206:AB231" si="18">Z206</f>
        <v>-1519.3500000000058</v>
      </c>
      <c r="AD206" s="57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</row>
    <row r="207" spans="1:42" ht="36.75" customHeight="1" x14ac:dyDescent="0.25">
      <c r="A207" s="5">
        <f t="shared" si="15"/>
        <v>3</v>
      </c>
      <c r="B207" s="407" t="s">
        <v>16</v>
      </c>
      <c r="C207" s="408"/>
      <c r="D207" s="408"/>
      <c r="E207" s="408"/>
      <c r="F207" s="408"/>
      <c r="G207" s="408"/>
      <c r="H207" s="408"/>
      <c r="I207" s="408"/>
      <c r="J207" s="409"/>
      <c r="K207" s="3" t="s">
        <v>71</v>
      </c>
      <c r="L207" s="245" t="s">
        <v>70</v>
      </c>
      <c r="M207" s="245"/>
      <c r="N207" s="3"/>
      <c r="O207" s="3"/>
      <c r="P207" s="294">
        <v>100000</v>
      </c>
      <c r="Q207" s="294"/>
      <c r="R207" s="294"/>
      <c r="S207" s="294"/>
      <c r="T207" s="294">
        <f t="shared" si="14"/>
        <v>100000</v>
      </c>
      <c r="U207" s="294"/>
      <c r="V207" s="6">
        <v>95644.04</v>
      </c>
      <c r="W207" s="6"/>
      <c r="X207" s="6"/>
      <c r="Y207" s="6">
        <f t="shared" si="16"/>
        <v>95644.04</v>
      </c>
      <c r="Z207" s="6">
        <f t="shared" si="17"/>
        <v>-4355.9600000000064</v>
      </c>
      <c r="AA207" s="6"/>
      <c r="AB207" s="6">
        <f t="shared" si="18"/>
        <v>-4355.9600000000064</v>
      </c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</row>
    <row r="208" spans="1:42" ht="67.5" customHeight="1" x14ac:dyDescent="0.25">
      <c r="A208" s="5">
        <f t="shared" si="15"/>
        <v>4</v>
      </c>
      <c r="B208" s="404" t="s">
        <v>17</v>
      </c>
      <c r="C208" s="405"/>
      <c r="D208" s="405"/>
      <c r="E208" s="406"/>
      <c r="F208" s="145" t="s">
        <v>177</v>
      </c>
      <c r="G208" s="145" t="s">
        <v>177</v>
      </c>
      <c r="H208" s="145" t="s">
        <v>177</v>
      </c>
      <c r="I208" s="145" t="s">
        <v>177</v>
      </c>
      <c r="J208" s="145" t="s">
        <v>177</v>
      </c>
      <c r="K208" s="3" t="s">
        <v>71</v>
      </c>
      <c r="L208" s="241" t="s">
        <v>70</v>
      </c>
      <c r="M208" s="242"/>
      <c r="N208" s="241" t="s">
        <v>70</v>
      </c>
      <c r="O208" s="242"/>
      <c r="P208" s="282">
        <v>200000</v>
      </c>
      <c r="Q208" s="283"/>
      <c r="R208" s="282"/>
      <c r="S208" s="283"/>
      <c r="T208" s="282">
        <f t="shared" si="14"/>
        <v>200000</v>
      </c>
      <c r="U208" s="283"/>
      <c r="V208" s="6">
        <v>194323.77</v>
      </c>
      <c r="W208" s="6"/>
      <c r="X208" s="6"/>
      <c r="Y208" s="6">
        <f t="shared" si="16"/>
        <v>194323.77</v>
      </c>
      <c r="Z208" s="6">
        <f t="shared" si="17"/>
        <v>-5676.2300000000105</v>
      </c>
      <c r="AA208" s="6"/>
      <c r="AB208" s="6">
        <f t="shared" si="18"/>
        <v>-5676.2300000000105</v>
      </c>
      <c r="AD208" s="57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</row>
    <row r="209" spans="1:51" ht="34.5" customHeight="1" x14ac:dyDescent="0.25">
      <c r="A209" s="5">
        <f t="shared" si="15"/>
        <v>5</v>
      </c>
      <c r="B209" s="404" t="s">
        <v>215</v>
      </c>
      <c r="C209" s="405"/>
      <c r="D209" s="405"/>
      <c r="E209" s="406"/>
      <c r="F209" s="145"/>
      <c r="G209" s="145"/>
      <c r="H209" s="145"/>
      <c r="I209" s="145"/>
      <c r="J209" s="145"/>
      <c r="K209" s="3" t="s">
        <v>71</v>
      </c>
      <c r="L209" s="241" t="s">
        <v>70</v>
      </c>
      <c r="M209" s="242"/>
      <c r="N209" s="3"/>
      <c r="O209" s="3"/>
      <c r="P209" s="282">
        <f>50000-32056</f>
        <v>17944</v>
      </c>
      <c r="Q209" s="283"/>
      <c r="R209" s="282"/>
      <c r="S209" s="283"/>
      <c r="T209" s="282">
        <f t="shared" si="14"/>
        <v>17944</v>
      </c>
      <c r="U209" s="283"/>
      <c r="V209" s="6">
        <v>17943.990000000002</v>
      </c>
      <c r="W209" s="6"/>
      <c r="X209" s="6"/>
      <c r="Y209" s="6">
        <f t="shared" si="16"/>
        <v>17943.990000000002</v>
      </c>
      <c r="Z209" s="6">
        <f t="shared" si="17"/>
        <v>-9.9999999983992893E-3</v>
      </c>
      <c r="AA209" s="6"/>
      <c r="AB209" s="6">
        <f t="shared" si="18"/>
        <v>-9.9999999983992893E-3</v>
      </c>
      <c r="AD209" s="57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</row>
    <row r="210" spans="1:51" ht="35.25" customHeight="1" x14ac:dyDescent="0.25">
      <c r="A210" s="5">
        <f t="shared" si="15"/>
        <v>6</v>
      </c>
      <c r="B210" s="404" t="s">
        <v>216</v>
      </c>
      <c r="C210" s="405"/>
      <c r="D210" s="405"/>
      <c r="E210" s="406"/>
      <c r="F210" s="145"/>
      <c r="G210" s="145"/>
      <c r="H210" s="145"/>
      <c r="I210" s="145"/>
      <c r="J210" s="145"/>
      <c r="K210" s="3" t="s">
        <v>71</v>
      </c>
      <c r="L210" s="241" t="s">
        <v>70</v>
      </c>
      <c r="M210" s="242"/>
      <c r="N210" s="3"/>
      <c r="O210" s="3"/>
      <c r="P210" s="282">
        <v>300000</v>
      </c>
      <c r="Q210" s="283"/>
      <c r="R210" s="282"/>
      <c r="S210" s="283"/>
      <c r="T210" s="282">
        <f t="shared" si="14"/>
        <v>300000</v>
      </c>
      <c r="U210" s="283"/>
      <c r="V210" s="6">
        <v>296180.68</v>
      </c>
      <c r="W210" s="6"/>
      <c r="X210" s="6"/>
      <c r="Y210" s="6">
        <f t="shared" si="16"/>
        <v>296180.68</v>
      </c>
      <c r="Z210" s="6">
        <f t="shared" si="17"/>
        <v>-3819.320000000007</v>
      </c>
      <c r="AA210" s="6"/>
      <c r="AB210" s="6">
        <f t="shared" si="18"/>
        <v>-3819.320000000007</v>
      </c>
      <c r="AD210" s="57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</row>
    <row r="211" spans="1:51" ht="81.75" customHeight="1" x14ac:dyDescent="0.25">
      <c r="A211" s="5">
        <f t="shared" si="15"/>
        <v>7</v>
      </c>
      <c r="B211" s="404" t="s">
        <v>247</v>
      </c>
      <c r="C211" s="405"/>
      <c r="D211" s="405"/>
      <c r="E211" s="406"/>
      <c r="F211" s="145"/>
      <c r="G211" s="145"/>
      <c r="H211" s="145"/>
      <c r="I211" s="145"/>
      <c r="J211" s="145"/>
      <c r="K211" s="3" t="s">
        <v>71</v>
      </c>
      <c r="L211" s="241" t="s">
        <v>70</v>
      </c>
      <c r="M211" s="242"/>
      <c r="N211" s="3"/>
      <c r="O211" s="3"/>
      <c r="P211" s="282">
        <f>200000-33443</f>
        <v>166557</v>
      </c>
      <c r="Q211" s="283"/>
      <c r="R211" s="282"/>
      <c r="S211" s="283"/>
      <c r="T211" s="282">
        <f t="shared" si="14"/>
        <v>166557</v>
      </c>
      <c r="U211" s="283"/>
      <c r="V211" s="6">
        <v>166556.04</v>
      </c>
      <c r="W211" s="6"/>
      <c r="X211" s="6"/>
      <c r="Y211" s="6">
        <f t="shared" si="16"/>
        <v>166556.04</v>
      </c>
      <c r="Z211" s="6">
        <f t="shared" si="17"/>
        <v>-0.95999999999185093</v>
      </c>
      <c r="AA211" s="6"/>
      <c r="AB211" s="6">
        <f t="shared" si="18"/>
        <v>-0.95999999999185093</v>
      </c>
      <c r="AD211" s="57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</row>
    <row r="212" spans="1:51" ht="21" customHeight="1" x14ac:dyDescent="0.25">
      <c r="A212" s="5"/>
      <c r="B212" s="328" t="s">
        <v>122</v>
      </c>
      <c r="C212" s="329"/>
      <c r="D212" s="329"/>
      <c r="E212" s="321"/>
      <c r="F212" s="44"/>
      <c r="G212" s="44"/>
      <c r="H212" s="44"/>
      <c r="I212" s="44"/>
      <c r="J212" s="44"/>
      <c r="K212" s="3"/>
      <c r="L212" s="241"/>
      <c r="M212" s="242"/>
      <c r="N212" s="3"/>
      <c r="O212" s="3"/>
      <c r="P212" s="413"/>
      <c r="Q212" s="414"/>
      <c r="R212" s="415"/>
      <c r="S212" s="416"/>
      <c r="T212" s="419"/>
      <c r="U212" s="420"/>
      <c r="V212" s="5"/>
      <c r="W212" s="5"/>
      <c r="X212" s="5"/>
      <c r="Y212" s="5"/>
      <c r="Z212" s="46"/>
      <c r="AA212" s="5"/>
      <c r="AB212" s="46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</row>
    <row r="213" spans="1:51" ht="34.5" customHeight="1" x14ac:dyDescent="0.25">
      <c r="A213" s="5">
        <v>1</v>
      </c>
      <c r="B213" s="350" t="s">
        <v>217</v>
      </c>
      <c r="C213" s="319"/>
      <c r="D213" s="319"/>
      <c r="E213" s="351"/>
      <c r="F213" s="44"/>
      <c r="G213" s="44"/>
      <c r="H213" s="44"/>
      <c r="I213" s="44"/>
      <c r="J213" s="44"/>
      <c r="K213" s="3" t="s">
        <v>92</v>
      </c>
      <c r="L213" s="241" t="s">
        <v>218</v>
      </c>
      <c r="M213" s="242"/>
      <c r="N213" s="3"/>
      <c r="O213" s="3"/>
      <c r="P213" s="241">
        <v>450</v>
      </c>
      <c r="Q213" s="242"/>
      <c r="R213" s="356"/>
      <c r="S213" s="357"/>
      <c r="T213" s="353">
        <f>P213</f>
        <v>450</v>
      </c>
      <c r="U213" s="353"/>
      <c r="V213" s="241">
        <v>452.4</v>
      </c>
      <c r="W213" s="242"/>
      <c r="X213" s="5"/>
      <c r="Y213" s="4">
        <f t="shared" si="16"/>
        <v>452.4</v>
      </c>
      <c r="Z213" s="59">
        <f t="shared" si="17"/>
        <v>2.3999999999999773</v>
      </c>
      <c r="AA213" s="237"/>
      <c r="AB213" s="59">
        <f t="shared" si="18"/>
        <v>2.3999999999999773</v>
      </c>
      <c r="AD213" s="33"/>
      <c r="AE213" s="57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</row>
    <row r="214" spans="1:51" ht="34.5" customHeight="1" x14ac:dyDescent="0.25">
      <c r="A214" s="5">
        <v>2</v>
      </c>
      <c r="B214" s="286" t="s">
        <v>219</v>
      </c>
      <c r="C214" s="287"/>
      <c r="D214" s="287"/>
      <c r="E214" s="287"/>
      <c r="F214" s="9"/>
      <c r="G214" s="9"/>
      <c r="H214" s="9"/>
      <c r="I214" s="9"/>
      <c r="J214" s="9"/>
      <c r="K214" s="3" t="s">
        <v>2</v>
      </c>
      <c r="L214" s="245" t="s">
        <v>232</v>
      </c>
      <c r="M214" s="245"/>
      <c r="N214" s="3"/>
      <c r="O214" s="3"/>
      <c r="P214" s="467">
        <v>3290</v>
      </c>
      <c r="Q214" s="467"/>
      <c r="R214" s="295"/>
      <c r="S214" s="295"/>
      <c r="T214" s="353">
        <f>P214</f>
        <v>3290</v>
      </c>
      <c r="U214" s="353"/>
      <c r="V214" s="467">
        <v>3146.2</v>
      </c>
      <c r="W214" s="467"/>
      <c r="X214" s="121"/>
      <c r="Y214" s="4">
        <f t="shared" si="16"/>
        <v>3146.2</v>
      </c>
      <c r="Z214" s="97">
        <f t="shared" si="17"/>
        <v>-143.80000000000018</v>
      </c>
      <c r="AA214" s="97"/>
      <c r="AB214" s="97">
        <f t="shared" si="18"/>
        <v>-143.80000000000018</v>
      </c>
      <c r="AD214" s="57"/>
      <c r="AE214" s="164"/>
      <c r="AF214" s="164"/>
      <c r="AG214" s="164"/>
      <c r="AH214" s="164"/>
      <c r="AI214" s="164"/>
      <c r="AJ214" s="164"/>
      <c r="AK214" s="164"/>
      <c r="AL214" s="164"/>
      <c r="AM214" s="164"/>
      <c r="AN214" s="164"/>
      <c r="AO214" s="164"/>
      <c r="AP214" s="164"/>
      <c r="AQ214" s="164"/>
      <c r="AR214" s="164"/>
      <c r="AS214" s="164"/>
      <c r="AT214" s="164"/>
      <c r="AU214" s="164"/>
      <c r="AV214" s="164"/>
      <c r="AW214" s="164"/>
      <c r="AX214" s="33"/>
      <c r="AY214" s="33"/>
    </row>
    <row r="215" spans="1:51" ht="35.25" customHeight="1" x14ac:dyDescent="0.25">
      <c r="A215" s="5">
        <v>3</v>
      </c>
      <c r="B215" s="286" t="s">
        <v>220</v>
      </c>
      <c r="C215" s="287"/>
      <c r="D215" s="287"/>
      <c r="E215" s="287"/>
      <c r="F215" s="9"/>
      <c r="G215" s="9"/>
      <c r="H215" s="9"/>
      <c r="I215" s="9"/>
      <c r="J215" s="9"/>
      <c r="K215" s="3" t="s">
        <v>73</v>
      </c>
      <c r="L215" s="245" t="s">
        <v>232</v>
      </c>
      <c r="M215" s="245"/>
      <c r="N215" s="215"/>
      <c r="O215" s="216"/>
      <c r="P215" s="412">
        <v>1</v>
      </c>
      <c r="Q215" s="412"/>
      <c r="R215" s="295"/>
      <c r="S215" s="295"/>
      <c r="T215" s="352">
        <f>P215</f>
        <v>1</v>
      </c>
      <c r="U215" s="352"/>
      <c r="V215" s="120">
        <v>1</v>
      </c>
      <c r="W215" s="120"/>
      <c r="X215" s="120"/>
      <c r="Y215" s="4">
        <f t="shared" si="16"/>
        <v>1</v>
      </c>
      <c r="Z215" s="91">
        <f t="shared" si="17"/>
        <v>0</v>
      </c>
      <c r="AA215" s="91"/>
      <c r="AB215" s="91">
        <f t="shared" si="18"/>
        <v>0</v>
      </c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</row>
    <row r="216" spans="1:51" ht="33" customHeight="1" x14ac:dyDescent="0.25">
      <c r="A216" s="5">
        <v>5</v>
      </c>
      <c r="B216" s="286" t="s">
        <v>221</v>
      </c>
      <c r="C216" s="287"/>
      <c r="D216" s="287"/>
      <c r="E216" s="287"/>
      <c r="F216" s="9"/>
      <c r="G216" s="9"/>
      <c r="H216" s="9"/>
      <c r="I216" s="9"/>
      <c r="J216" s="9"/>
      <c r="K216" s="3" t="s">
        <v>73</v>
      </c>
      <c r="L216" s="354" t="s">
        <v>222</v>
      </c>
      <c r="M216" s="355"/>
      <c r="N216" s="217"/>
      <c r="O216" s="218"/>
      <c r="P216" s="412">
        <v>2</v>
      </c>
      <c r="Q216" s="412"/>
      <c r="R216" s="295"/>
      <c r="S216" s="295"/>
      <c r="T216" s="352">
        <f>P216</f>
        <v>2</v>
      </c>
      <c r="U216" s="352"/>
      <c r="V216" s="120">
        <v>3</v>
      </c>
      <c r="W216" s="120"/>
      <c r="X216" s="120"/>
      <c r="Y216" s="4">
        <f t="shared" si="16"/>
        <v>3</v>
      </c>
      <c r="Z216" s="91">
        <f t="shared" si="17"/>
        <v>1</v>
      </c>
      <c r="AA216" s="91"/>
      <c r="AB216" s="91">
        <f t="shared" si="18"/>
        <v>1</v>
      </c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</row>
    <row r="217" spans="1:51" ht="34.5" customHeight="1" x14ac:dyDescent="0.25">
      <c r="A217" s="5">
        <v>6</v>
      </c>
      <c r="B217" s="332" t="s">
        <v>248</v>
      </c>
      <c r="C217" s="333"/>
      <c r="D217" s="333"/>
      <c r="E217" s="333"/>
      <c r="F217" s="333"/>
      <c r="G217" s="333"/>
      <c r="H217" s="333"/>
      <c r="I217" s="333"/>
      <c r="J217" s="334"/>
      <c r="K217" s="3" t="s">
        <v>73</v>
      </c>
      <c r="L217" s="354" t="s">
        <v>222</v>
      </c>
      <c r="M217" s="355"/>
      <c r="N217" s="245" t="s">
        <v>70</v>
      </c>
      <c r="O217" s="245"/>
      <c r="P217" s="412">
        <v>1</v>
      </c>
      <c r="Q217" s="412"/>
      <c r="R217" s="295"/>
      <c r="S217" s="295"/>
      <c r="T217" s="352">
        <f>P217</f>
        <v>1</v>
      </c>
      <c r="U217" s="352"/>
      <c r="V217" s="120">
        <v>1</v>
      </c>
      <c r="W217" s="120"/>
      <c r="X217" s="120"/>
      <c r="Y217" s="4">
        <f t="shared" si="16"/>
        <v>1</v>
      </c>
      <c r="Z217" s="91">
        <f t="shared" si="17"/>
        <v>0</v>
      </c>
      <c r="AA217" s="91"/>
      <c r="AB217" s="91">
        <f t="shared" si="18"/>
        <v>0</v>
      </c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</row>
    <row r="218" spans="1:51" ht="21" customHeight="1" x14ac:dyDescent="0.25">
      <c r="A218" s="5"/>
      <c r="B218" s="321" t="s">
        <v>123</v>
      </c>
      <c r="C218" s="322"/>
      <c r="D218" s="322"/>
      <c r="E218" s="322"/>
      <c r="F218" s="44"/>
      <c r="G218" s="44"/>
      <c r="H218" s="44"/>
      <c r="I218" s="44"/>
      <c r="J218" s="44"/>
      <c r="K218" s="3"/>
      <c r="L218" s="245"/>
      <c r="M218" s="245"/>
      <c r="N218" s="3"/>
      <c r="O218" s="3"/>
      <c r="P218" s="245"/>
      <c r="Q218" s="245"/>
      <c r="R218" s="295"/>
      <c r="S218" s="295"/>
      <c r="T218" s="294"/>
      <c r="U218" s="295"/>
      <c r="V218" s="4"/>
      <c r="W218" s="4"/>
      <c r="X218" s="4"/>
      <c r="Y218" s="4"/>
      <c r="Z218" s="6"/>
      <c r="AA218" s="4"/>
      <c r="AB218" s="6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</row>
    <row r="219" spans="1:51" ht="33.75" customHeight="1" x14ac:dyDescent="0.25">
      <c r="A219" s="5">
        <v>1</v>
      </c>
      <c r="B219" s="286" t="s">
        <v>223</v>
      </c>
      <c r="C219" s="287"/>
      <c r="D219" s="287"/>
      <c r="E219" s="287"/>
      <c r="F219" s="9"/>
      <c r="G219" s="9"/>
      <c r="H219" s="9"/>
      <c r="I219" s="9"/>
      <c r="J219" s="9"/>
      <c r="K219" s="3" t="s">
        <v>71</v>
      </c>
      <c r="L219" s="245" t="s">
        <v>78</v>
      </c>
      <c r="M219" s="245"/>
      <c r="N219" s="3"/>
      <c r="O219" s="3"/>
      <c r="P219" s="243">
        <f>P206/P213</f>
        <v>222.22222222222223</v>
      </c>
      <c r="Q219" s="244"/>
      <c r="R219" s="294"/>
      <c r="S219" s="294"/>
      <c r="T219" s="294">
        <f t="shared" ref="T219:T224" si="19">P219</f>
        <v>222.22222222222223</v>
      </c>
      <c r="U219" s="294"/>
      <c r="V219" s="243">
        <f>V206/V213</f>
        <v>217.68490274093722</v>
      </c>
      <c r="W219" s="244"/>
      <c r="X219" s="6"/>
      <c r="Y219" s="6">
        <f t="shared" si="16"/>
        <v>217.68490274093722</v>
      </c>
      <c r="Z219" s="6">
        <f t="shared" si="17"/>
        <v>-4.5373194812850102</v>
      </c>
      <c r="AA219" s="6"/>
      <c r="AB219" s="6">
        <f t="shared" si="18"/>
        <v>-4.5373194812850102</v>
      </c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</row>
    <row r="220" spans="1:51" ht="35.25" customHeight="1" x14ac:dyDescent="0.25">
      <c r="A220" s="5">
        <f>A219+1</f>
        <v>2</v>
      </c>
      <c r="B220" s="286" t="s">
        <v>224</v>
      </c>
      <c r="C220" s="287"/>
      <c r="D220" s="287"/>
      <c r="E220" s="287"/>
      <c r="F220" s="9"/>
      <c r="G220" s="9"/>
      <c r="H220" s="9"/>
      <c r="I220" s="9"/>
      <c r="J220" s="9"/>
      <c r="K220" s="3" t="s">
        <v>71</v>
      </c>
      <c r="L220" s="245" t="s">
        <v>78</v>
      </c>
      <c r="M220" s="245"/>
      <c r="N220" s="3"/>
      <c r="O220" s="3"/>
      <c r="P220" s="243">
        <f>P207/P214</f>
        <v>30.3951367781155</v>
      </c>
      <c r="Q220" s="244"/>
      <c r="R220" s="294"/>
      <c r="S220" s="294"/>
      <c r="T220" s="294">
        <f t="shared" si="19"/>
        <v>30.3951367781155</v>
      </c>
      <c r="U220" s="294"/>
      <c r="V220" s="312">
        <f>V207/V214</f>
        <v>30.399860148750875</v>
      </c>
      <c r="W220" s="312"/>
      <c r="X220" s="6"/>
      <c r="Y220" s="6">
        <f t="shared" si="16"/>
        <v>30.399860148750875</v>
      </c>
      <c r="Z220" s="6">
        <f t="shared" si="17"/>
        <v>4.7233706353750904E-3</v>
      </c>
      <c r="AA220" s="6"/>
      <c r="AB220" s="6">
        <f t="shared" si="18"/>
        <v>4.7233706353750904E-3</v>
      </c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</row>
    <row r="221" spans="1:51" ht="33.75" customHeight="1" x14ac:dyDescent="0.25">
      <c r="A221" s="5">
        <f>A220+1</f>
        <v>3</v>
      </c>
      <c r="B221" s="323" t="s">
        <v>225</v>
      </c>
      <c r="C221" s="324"/>
      <c r="D221" s="324"/>
      <c r="E221" s="286"/>
      <c r="F221" s="9"/>
      <c r="G221" s="9"/>
      <c r="H221" s="9"/>
      <c r="I221" s="9"/>
      <c r="J221" s="9"/>
      <c r="K221" s="3" t="s">
        <v>71</v>
      </c>
      <c r="L221" s="245" t="s">
        <v>78</v>
      </c>
      <c r="M221" s="245"/>
      <c r="N221" s="16"/>
      <c r="O221" s="16"/>
      <c r="P221" s="243">
        <f>P208</f>
        <v>200000</v>
      </c>
      <c r="Q221" s="244"/>
      <c r="R221" s="294"/>
      <c r="S221" s="294"/>
      <c r="T221" s="294">
        <f t="shared" si="19"/>
        <v>200000</v>
      </c>
      <c r="U221" s="294"/>
      <c r="V221" s="1">
        <f>V208</f>
        <v>194323.77</v>
      </c>
      <c r="W221" s="136"/>
      <c r="X221" s="95"/>
      <c r="Y221" s="6">
        <f t="shared" si="16"/>
        <v>194323.77</v>
      </c>
      <c r="Z221" s="6">
        <f t="shared" si="17"/>
        <v>-5676.2300000000105</v>
      </c>
      <c r="AA221" s="95"/>
      <c r="AB221" s="6">
        <f t="shared" si="18"/>
        <v>-5676.2300000000105</v>
      </c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</row>
    <row r="222" spans="1:51" ht="35.1" customHeight="1" x14ac:dyDescent="0.25">
      <c r="A222" s="5">
        <f>A221+1</f>
        <v>4</v>
      </c>
      <c r="B222" s="332" t="s">
        <v>226</v>
      </c>
      <c r="C222" s="333"/>
      <c r="D222" s="333"/>
      <c r="E222" s="334"/>
      <c r="F222" s="137"/>
      <c r="G222" s="137"/>
      <c r="H222" s="137"/>
      <c r="I222" s="137"/>
      <c r="J222" s="137"/>
      <c r="K222" s="3" t="s">
        <v>71</v>
      </c>
      <c r="L222" s="245" t="s">
        <v>78</v>
      </c>
      <c r="M222" s="245"/>
      <c r="N222" s="16"/>
      <c r="O222" s="16"/>
      <c r="P222" s="243">
        <f>P209/P215</f>
        <v>17944</v>
      </c>
      <c r="Q222" s="244"/>
      <c r="R222" s="282"/>
      <c r="S222" s="283"/>
      <c r="T222" s="294">
        <f t="shared" si="19"/>
        <v>17944</v>
      </c>
      <c r="U222" s="294"/>
      <c r="V222" s="1">
        <f>V209/V215</f>
        <v>17943.990000000002</v>
      </c>
      <c r="W222" s="136"/>
      <c r="X222" s="95"/>
      <c r="Y222" s="6">
        <f t="shared" si="16"/>
        <v>17943.990000000002</v>
      </c>
      <c r="Z222" s="6">
        <f t="shared" si="17"/>
        <v>-9.9999999983992893E-3</v>
      </c>
      <c r="AA222" s="95"/>
      <c r="AB222" s="6">
        <f t="shared" si="18"/>
        <v>-9.9999999983992893E-3</v>
      </c>
      <c r="AD222" s="57"/>
      <c r="AE222" s="33"/>
      <c r="AF222" s="33"/>
      <c r="AG222" s="33"/>
      <c r="AH222" s="155"/>
      <c r="AI222" s="33"/>
      <c r="AJ222" s="33"/>
      <c r="AK222" s="33"/>
      <c r="AL222" s="33"/>
      <c r="AM222" s="33"/>
      <c r="AN222" s="33"/>
      <c r="AO222" s="33"/>
      <c r="AP222" s="33"/>
    </row>
    <row r="223" spans="1:51" ht="35.1" customHeight="1" x14ac:dyDescent="0.25">
      <c r="A223" s="5">
        <f>A222+1</f>
        <v>5</v>
      </c>
      <c r="B223" s="332" t="s">
        <v>227</v>
      </c>
      <c r="C223" s="333"/>
      <c r="D223" s="333"/>
      <c r="E223" s="334"/>
      <c r="F223" s="137"/>
      <c r="G223" s="137"/>
      <c r="H223" s="137"/>
      <c r="I223" s="137"/>
      <c r="J223" s="137"/>
      <c r="K223" s="3" t="s">
        <v>71</v>
      </c>
      <c r="L223" s="245" t="s">
        <v>78</v>
      </c>
      <c r="M223" s="245"/>
      <c r="N223" s="16"/>
      <c r="O223" s="16"/>
      <c r="P223" s="243">
        <f>P210/P216</f>
        <v>150000</v>
      </c>
      <c r="Q223" s="244"/>
      <c r="R223" s="282"/>
      <c r="S223" s="283"/>
      <c r="T223" s="294">
        <f t="shared" si="19"/>
        <v>150000</v>
      </c>
      <c r="U223" s="294"/>
      <c r="V223" s="1">
        <f>V210/V216</f>
        <v>98726.893333333326</v>
      </c>
      <c r="W223" s="136"/>
      <c r="X223" s="95"/>
      <c r="Y223" s="6">
        <f t="shared" si="16"/>
        <v>98726.893333333326</v>
      </c>
      <c r="Z223" s="6">
        <f t="shared" si="17"/>
        <v>-51273.106666666674</v>
      </c>
      <c r="AA223" s="95"/>
      <c r="AB223" s="6">
        <f t="shared" si="18"/>
        <v>-51273.106666666674</v>
      </c>
      <c r="AD223" s="33"/>
      <c r="AE223" s="33"/>
      <c r="AF223" s="33"/>
      <c r="AG223" s="33"/>
      <c r="AH223" s="156"/>
      <c r="AI223" s="33"/>
      <c r="AJ223" s="33"/>
      <c r="AK223" s="33"/>
      <c r="AL223" s="33"/>
      <c r="AM223" s="33"/>
      <c r="AN223" s="33"/>
      <c r="AO223" s="33"/>
      <c r="AP223" s="33"/>
    </row>
    <row r="224" spans="1:51" ht="20.25" customHeight="1" x14ac:dyDescent="0.25">
      <c r="A224" s="5">
        <f>A223+1</f>
        <v>6</v>
      </c>
      <c r="B224" s="332" t="s">
        <v>284</v>
      </c>
      <c r="C224" s="333"/>
      <c r="D224" s="333"/>
      <c r="E224" s="334"/>
      <c r="F224" s="137"/>
      <c r="G224" s="137"/>
      <c r="H224" s="137"/>
      <c r="I224" s="137"/>
      <c r="J224" s="137"/>
      <c r="K224" s="3" t="s">
        <v>71</v>
      </c>
      <c r="L224" s="245" t="s">
        <v>78</v>
      </c>
      <c r="M224" s="245"/>
      <c r="N224" s="16"/>
      <c r="O224" s="16"/>
      <c r="P224" s="243">
        <f>P211/P217</f>
        <v>166557</v>
      </c>
      <c r="Q224" s="244"/>
      <c r="R224" s="282"/>
      <c r="S224" s="283"/>
      <c r="T224" s="294">
        <f t="shared" si="19"/>
        <v>166557</v>
      </c>
      <c r="U224" s="294"/>
      <c r="V224" s="1">
        <f>V211/V217</f>
        <v>166556.04</v>
      </c>
      <c r="W224" s="136"/>
      <c r="X224" s="95"/>
      <c r="Y224" s="6">
        <f t="shared" si="16"/>
        <v>166556.04</v>
      </c>
      <c r="Z224" s="6">
        <f t="shared" si="17"/>
        <v>-0.95999999999185093</v>
      </c>
      <c r="AA224" s="95"/>
      <c r="AB224" s="6">
        <f t="shared" si="18"/>
        <v>-0.95999999999185093</v>
      </c>
      <c r="AD224" s="33"/>
      <c r="AE224" s="33"/>
      <c r="AF224" s="33"/>
      <c r="AG224" s="33"/>
      <c r="AH224" s="156"/>
      <c r="AI224" s="33"/>
      <c r="AJ224" s="33"/>
      <c r="AK224" s="33"/>
      <c r="AL224" s="33"/>
      <c r="AM224" s="33"/>
      <c r="AN224" s="33"/>
      <c r="AO224" s="33"/>
      <c r="AP224" s="33"/>
    </row>
    <row r="225" spans="1:42" ht="16.5" customHeight="1" x14ac:dyDescent="0.25">
      <c r="A225" s="5"/>
      <c r="B225" s="321" t="s">
        <v>160</v>
      </c>
      <c r="C225" s="322"/>
      <c r="D225" s="322"/>
      <c r="E225" s="322"/>
      <c r="F225" s="44"/>
      <c r="G225" s="44"/>
      <c r="H225" s="44"/>
      <c r="I225" s="44"/>
      <c r="J225" s="44"/>
      <c r="K225" s="3"/>
      <c r="L225" s="245"/>
      <c r="M225" s="245"/>
      <c r="N225" s="3"/>
      <c r="O225" s="3"/>
      <c r="P225" s="245"/>
      <c r="Q225" s="245"/>
      <c r="R225" s="473"/>
      <c r="S225" s="473"/>
      <c r="T225" s="472"/>
      <c r="U225" s="473"/>
      <c r="V225" s="65"/>
      <c r="W225" s="65"/>
      <c r="X225" s="65"/>
      <c r="Y225" s="65"/>
      <c r="Z225" s="64"/>
      <c r="AA225" s="65"/>
      <c r="AB225" s="64"/>
      <c r="AD225" s="33"/>
      <c r="AE225" s="33"/>
      <c r="AF225" s="33"/>
      <c r="AG225" s="33"/>
      <c r="AH225" s="156"/>
      <c r="AI225" s="33"/>
      <c r="AJ225" s="33"/>
      <c r="AK225" s="33"/>
      <c r="AL225" s="33"/>
      <c r="AM225" s="33"/>
      <c r="AN225" s="33"/>
      <c r="AO225" s="33"/>
      <c r="AP225" s="33"/>
    </row>
    <row r="226" spans="1:42" ht="35.1" customHeight="1" x14ac:dyDescent="0.25">
      <c r="A226" s="5">
        <v>1</v>
      </c>
      <c r="B226" s="350" t="s">
        <v>18</v>
      </c>
      <c r="C226" s="319"/>
      <c r="D226" s="319"/>
      <c r="E226" s="319"/>
      <c r="F226" s="319"/>
      <c r="G226" s="319"/>
      <c r="H226" s="319"/>
      <c r="I226" s="319"/>
      <c r="J226" s="351"/>
      <c r="K226" s="169" t="s">
        <v>0</v>
      </c>
      <c r="L226" s="245" t="s">
        <v>78</v>
      </c>
      <c r="M226" s="245"/>
      <c r="N226" s="3"/>
      <c r="O226" s="3"/>
      <c r="P226" s="376">
        <f>P205/(P205)*100</f>
        <v>100</v>
      </c>
      <c r="Q226" s="377">
        <f>Q205/(Q205+50000+550000+271000)*100</f>
        <v>0</v>
      </c>
      <c r="R226" s="311"/>
      <c r="S226" s="311"/>
      <c r="T226" s="311">
        <f>P226</f>
        <v>100</v>
      </c>
      <c r="U226" s="311"/>
      <c r="V226" s="10">
        <f>V205/V205*100</f>
        <v>100</v>
      </c>
      <c r="W226" s="10">
        <f>W205/(W205+50000+550000+271000)*100</f>
        <v>0</v>
      </c>
      <c r="X226" s="10"/>
      <c r="Y226" s="58">
        <f t="shared" si="16"/>
        <v>100</v>
      </c>
      <c r="Z226" s="58">
        <f t="shared" si="17"/>
        <v>0</v>
      </c>
      <c r="AA226" s="58"/>
      <c r="AB226" s="58">
        <f t="shared" si="18"/>
        <v>0</v>
      </c>
      <c r="AD226" s="33"/>
      <c r="AE226" s="33"/>
      <c r="AF226" s="33"/>
      <c r="AG226" s="33"/>
      <c r="AH226" s="156"/>
      <c r="AI226" s="33"/>
      <c r="AJ226" s="33"/>
      <c r="AK226" s="33"/>
      <c r="AL226" s="33"/>
      <c r="AM226" s="33"/>
      <c r="AN226" s="33"/>
      <c r="AO226" s="33"/>
      <c r="AP226" s="33"/>
    </row>
    <row r="227" spans="1:42" ht="23.25" customHeight="1" x14ac:dyDescent="0.25">
      <c r="A227" s="5"/>
      <c r="B227" s="264" t="s">
        <v>65</v>
      </c>
      <c r="C227" s="264"/>
      <c r="D227" s="264"/>
      <c r="E227" s="264"/>
      <c r="F227" s="264"/>
      <c r="G227" s="264"/>
      <c r="H227" s="264"/>
      <c r="I227" s="264"/>
      <c r="J227" s="264"/>
      <c r="K227" s="264"/>
      <c r="L227" s="264"/>
      <c r="M227" s="264"/>
      <c r="N227" s="264"/>
      <c r="O227" s="264"/>
      <c r="P227" s="264"/>
      <c r="Q227" s="264"/>
      <c r="R227" s="264"/>
      <c r="S227" s="264"/>
      <c r="T227" s="264"/>
      <c r="U227" s="264"/>
      <c r="V227" s="264"/>
      <c r="W227" s="264"/>
      <c r="X227" s="264"/>
      <c r="Y227" s="264"/>
      <c r="Z227" s="264"/>
      <c r="AA227" s="264"/>
      <c r="AB227" s="264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</row>
    <row r="228" spans="1:42" ht="23.25" customHeight="1" x14ac:dyDescent="0.25">
      <c r="A228" s="5"/>
      <c r="B228" s="317" t="s">
        <v>161</v>
      </c>
      <c r="C228" s="317"/>
      <c r="D228" s="317"/>
      <c r="E228" s="317"/>
      <c r="F228" s="90"/>
      <c r="G228" s="90"/>
      <c r="H228" s="90"/>
      <c r="I228" s="90"/>
      <c r="J228" s="90"/>
      <c r="K228" s="56"/>
      <c r="L228" s="245"/>
      <c r="M228" s="245"/>
      <c r="N228" s="3"/>
      <c r="O228" s="3"/>
      <c r="P228" s="245"/>
      <c r="Q228" s="417"/>
      <c r="R228" s="278"/>
      <c r="S228" s="278"/>
      <c r="T228" s="279"/>
      <c r="U228" s="279"/>
      <c r="V228" s="202"/>
      <c r="W228" s="202"/>
      <c r="X228" s="202"/>
      <c r="Y228" s="202"/>
      <c r="Z228" s="204"/>
      <c r="AA228" s="202"/>
      <c r="AB228" s="204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</row>
    <row r="229" spans="1:42" ht="20.25" customHeight="1" x14ac:dyDescent="0.25">
      <c r="A229" s="5"/>
      <c r="B229" s="319" t="s">
        <v>66</v>
      </c>
      <c r="C229" s="319"/>
      <c r="D229" s="319"/>
      <c r="E229" s="319"/>
      <c r="F229" s="11"/>
      <c r="G229" s="11"/>
      <c r="H229" s="11"/>
      <c r="I229" s="11"/>
      <c r="J229" s="11"/>
      <c r="K229" s="3" t="s">
        <v>71</v>
      </c>
      <c r="L229" s="245" t="s">
        <v>69</v>
      </c>
      <c r="M229" s="245"/>
      <c r="N229" s="3"/>
      <c r="O229" s="3"/>
      <c r="P229" s="312">
        <f>SUM(P230:Q231)</f>
        <v>130016</v>
      </c>
      <c r="Q229" s="312"/>
      <c r="R229" s="294"/>
      <c r="S229" s="294"/>
      <c r="T229" s="294">
        <f>P229</f>
        <v>130016</v>
      </c>
      <c r="U229" s="294"/>
      <c r="V229" s="6">
        <f>V230+V231</f>
        <v>118762.17</v>
      </c>
      <c r="W229" s="6"/>
      <c r="X229" s="6"/>
      <c r="Y229" s="6">
        <f>V229</f>
        <v>118762.17</v>
      </c>
      <c r="Z229" s="6">
        <f t="shared" si="17"/>
        <v>-11253.830000000002</v>
      </c>
      <c r="AA229" s="6"/>
      <c r="AB229" s="6">
        <f t="shared" si="18"/>
        <v>-11253.830000000002</v>
      </c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</row>
    <row r="230" spans="1:42" ht="50.25" customHeight="1" x14ac:dyDescent="0.25">
      <c r="A230" s="5">
        <v>1</v>
      </c>
      <c r="B230" s="319" t="s">
        <v>108</v>
      </c>
      <c r="C230" s="319"/>
      <c r="D230" s="319"/>
      <c r="E230" s="319"/>
      <c r="F230" s="11"/>
      <c r="G230" s="11"/>
      <c r="H230" s="11"/>
      <c r="I230" s="11"/>
      <c r="J230" s="11"/>
      <c r="K230" s="3" t="s">
        <v>71</v>
      </c>
      <c r="L230" s="245" t="s">
        <v>88</v>
      </c>
      <c r="M230" s="245"/>
      <c r="N230" s="3"/>
      <c r="O230" s="3"/>
      <c r="P230" s="294">
        <f>255480-251680</f>
        <v>3800</v>
      </c>
      <c r="Q230" s="294"/>
      <c r="R230" s="294"/>
      <c r="S230" s="294"/>
      <c r="T230" s="294">
        <f t="shared" ref="T230:T239" si="20">P230</f>
        <v>3800</v>
      </c>
      <c r="U230" s="294"/>
      <c r="V230" s="6">
        <v>3798.18</v>
      </c>
      <c r="W230" s="6"/>
      <c r="X230" s="6"/>
      <c r="Y230" s="6">
        <f>V230</f>
        <v>3798.18</v>
      </c>
      <c r="Z230" s="6">
        <f t="shared" si="17"/>
        <v>-1.8200000000001637</v>
      </c>
      <c r="AA230" s="6"/>
      <c r="AB230" s="6">
        <f t="shared" si="18"/>
        <v>-1.8200000000001637</v>
      </c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</row>
    <row r="231" spans="1:42" ht="96.75" customHeight="1" x14ac:dyDescent="0.25">
      <c r="A231" s="5">
        <v>2</v>
      </c>
      <c r="B231" s="319" t="s">
        <v>109</v>
      </c>
      <c r="C231" s="319"/>
      <c r="D231" s="319"/>
      <c r="E231" s="319"/>
      <c r="F231" s="11"/>
      <c r="G231" s="11"/>
      <c r="H231" s="11"/>
      <c r="I231" s="11"/>
      <c r="J231" s="11"/>
      <c r="K231" s="3" t="s">
        <v>71</v>
      </c>
      <c r="L231" s="245" t="s">
        <v>77</v>
      </c>
      <c r="M231" s="245"/>
      <c r="N231" s="3"/>
      <c r="O231" s="3"/>
      <c r="P231" s="294">
        <f>88042+38174</f>
        <v>126216</v>
      </c>
      <c r="Q231" s="294"/>
      <c r="R231" s="294"/>
      <c r="S231" s="294"/>
      <c r="T231" s="294">
        <f t="shared" si="20"/>
        <v>126216</v>
      </c>
      <c r="U231" s="294"/>
      <c r="V231" s="6">
        <v>114963.99</v>
      </c>
      <c r="W231" s="6"/>
      <c r="X231" s="6"/>
      <c r="Y231" s="6">
        <f>V231</f>
        <v>114963.99</v>
      </c>
      <c r="Z231" s="6">
        <f t="shared" si="17"/>
        <v>-11252.009999999995</v>
      </c>
      <c r="AA231" s="6"/>
      <c r="AB231" s="6">
        <f t="shared" si="18"/>
        <v>-11252.009999999995</v>
      </c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</row>
    <row r="232" spans="1:42" ht="20.100000000000001" customHeight="1" x14ac:dyDescent="0.25">
      <c r="A232" s="5"/>
      <c r="B232" s="317" t="s">
        <v>159</v>
      </c>
      <c r="C232" s="317"/>
      <c r="D232" s="317"/>
      <c r="E232" s="317"/>
      <c r="F232" s="17"/>
      <c r="G232" s="17"/>
      <c r="H232" s="17"/>
      <c r="I232" s="17"/>
      <c r="J232" s="17"/>
      <c r="K232" s="3"/>
      <c r="L232" s="245"/>
      <c r="M232" s="245"/>
      <c r="N232" s="3"/>
      <c r="O232" s="3"/>
      <c r="P232" s="245"/>
      <c r="Q232" s="245"/>
      <c r="R232" s="311"/>
      <c r="S232" s="311"/>
      <c r="T232" s="294"/>
      <c r="U232" s="295"/>
      <c r="V232" s="4"/>
      <c r="W232" s="4"/>
      <c r="X232" s="4"/>
      <c r="Y232" s="4"/>
      <c r="Z232" s="6"/>
      <c r="AA232" s="4"/>
      <c r="AB232" s="6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</row>
    <row r="233" spans="1:42" ht="37.5" customHeight="1" x14ac:dyDescent="0.25">
      <c r="A233" s="5">
        <v>1</v>
      </c>
      <c r="B233" s="319" t="s">
        <v>110</v>
      </c>
      <c r="C233" s="319"/>
      <c r="D233" s="319"/>
      <c r="E233" s="319"/>
      <c r="F233" s="11"/>
      <c r="G233" s="11"/>
      <c r="H233" s="11"/>
      <c r="I233" s="11"/>
      <c r="J233" s="11"/>
      <c r="K233" s="3" t="s">
        <v>73</v>
      </c>
      <c r="L233" s="245" t="s">
        <v>77</v>
      </c>
      <c r="M233" s="245"/>
      <c r="N233" s="3"/>
      <c r="O233" s="3"/>
      <c r="P233" s="397">
        <v>3</v>
      </c>
      <c r="Q233" s="397"/>
      <c r="R233" s="320"/>
      <c r="S233" s="320"/>
      <c r="T233" s="320">
        <f t="shared" si="20"/>
        <v>3</v>
      </c>
      <c r="U233" s="320"/>
      <c r="V233" s="4">
        <v>3</v>
      </c>
      <c r="W233" s="4"/>
      <c r="X233" s="4"/>
      <c r="Y233" s="4">
        <f>V233</f>
        <v>3</v>
      </c>
      <c r="Z233" s="6">
        <f t="shared" ref="Z233:Z239" si="21">V233-P233</f>
        <v>0</v>
      </c>
      <c r="AA233" s="4"/>
      <c r="AB233" s="6">
        <f t="shared" ref="AB233:AB239" si="22">Z233</f>
        <v>0</v>
      </c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</row>
    <row r="234" spans="1:42" ht="33" customHeight="1" x14ac:dyDescent="0.25">
      <c r="A234" s="5">
        <v>2</v>
      </c>
      <c r="B234" s="302" t="s">
        <v>111</v>
      </c>
      <c r="C234" s="302"/>
      <c r="D234" s="302"/>
      <c r="E234" s="302"/>
      <c r="F234" s="53"/>
      <c r="G234" s="53"/>
      <c r="H234" s="53"/>
      <c r="I234" s="53"/>
      <c r="J234" s="53"/>
      <c r="K234" s="3" t="s">
        <v>92</v>
      </c>
      <c r="L234" s="245" t="s">
        <v>77</v>
      </c>
      <c r="M234" s="245"/>
      <c r="N234" s="3"/>
      <c r="O234" s="3"/>
      <c r="P234" s="309">
        <f>P231/P237</f>
        <v>7297.4098057354286</v>
      </c>
      <c r="Q234" s="309"/>
      <c r="R234" s="311"/>
      <c r="S234" s="311"/>
      <c r="T234" s="311">
        <f t="shared" si="20"/>
        <v>7297.4098057354286</v>
      </c>
      <c r="U234" s="311"/>
      <c r="V234" s="309">
        <f>V231/V237</f>
        <v>6646.8541859389443</v>
      </c>
      <c r="W234" s="309"/>
      <c r="X234" s="58"/>
      <c r="Y234" s="58">
        <f>V234</f>
        <v>6646.8541859389443</v>
      </c>
      <c r="Z234" s="58">
        <f t="shared" si="21"/>
        <v>-650.55561979648428</v>
      </c>
      <c r="AA234" s="58"/>
      <c r="AB234" s="58">
        <f t="shared" si="22"/>
        <v>-650.55561979648428</v>
      </c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</row>
    <row r="235" spans="1:42" ht="20.100000000000001" customHeight="1" x14ac:dyDescent="0.25">
      <c r="A235" s="5"/>
      <c r="B235" s="317" t="s">
        <v>162</v>
      </c>
      <c r="C235" s="317"/>
      <c r="D235" s="317"/>
      <c r="E235" s="317"/>
      <c r="F235" s="17"/>
      <c r="G235" s="17"/>
      <c r="H235" s="17"/>
      <c r="I235" s="17"/>
      <c r="J235" s="17"/>
      <c r="K235" s="3"/>
      <c r="L235" s="245"/>
      <c r="M235" s="245"/>
      <c r="N235" s="3"/>
      <c r="O235" s="3"/>
      <c r="P235" s="245"/>
      <c r="Q235" s="245"/>
      <c r="R235" s="311"/>
      <c r="S235" s="311"/>
      <c r="T235" s="294"/>
      <c r="U235" s="295"/>
      <c r="V235" s="4"/>
      <c r="W235" s="4"/>
      <c r="X235" s="4"/>
      <c r="Y235" s="4"/>
      <c r="Z235" s="6"/>
      <c r="AA235" s="4"/>
      <c r="AB235" s="6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</row>
    <row r="236" spans="1:42" ht="35.25" customHeight="1" x14ac:dyDescent="0.25">
      <c r="A236" s="5">
        <v>1</v>
      </c>
      <c r="B236" s="324" t="s">
        <v>266</v>
      </c>
      <c r="C236" s="324"/>
      <c r="D236" s="324"/>
      <c r="E236" s="324"/>
      <c r="F236" s="8"/>
      <c r="G236" s="8"/>
      <c r="H236" s="8"/>
      <c r="I236" s="8"/>
      <c r="J236" s="8"/>
      <c r="K236" s="3" t="s">
        <v>71</v>
      </c>
      <c r="L236" s="245" t="s">
        <v>78</v>
      </c>
      <c r="M236" s="245"/>
      <c r="N236" s="3"/>
      <c r="O236" s="3"/>
      <c r="P236" s="310">
        <f>P230</f>
        <v>3800</v>
      </c>
      <c r="Q236" s="310"/>
      <c r="R236" s="318"/>
      <c r="S236" s="318"/>
      <c r="T236" s="318">
        <f t="shared" si="20"/>
        <v>3800</v>
      </c>
      <c r="U236" s="318"/>
      <c r="V236" s="59">
        <f>V230</f>
        <v>3798.18</v>
      </c>
      <c r="W236" s="59"/>
      <c r="X236" s="59"/>
      <c r="Y236" s="59">
        <f>V236</f>
        <v>3798.18</v>
      </c>
      <c r="Z236" s="59">
        <f t="shared" si="21"/>
        <v>-1.8200000000001637</v>
      </c>
      <c r="AA236" s="59"/>
      <c r="AB236" s="59">
        <f t="shared" si="22"/>
        <v>-1.8200000000001637</v>
      </c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</row>
    <row r="237" spans="1:42" ht="52.5" customHeight="1" x14ac:dyDescent="0.25">
      <c r="A237" s="5">
        <v>2</v>
      </c>
      <c r="B237" s="474" t="s">
        <v>7</v>
      </c>
      <c r="C237" s="474"/>
      <c r="D237" s="474"/>
      <c r="E237" s="474"/>
      <c r="F237" s="60"/>
      <c r="G237" s="60"/>
      <c r="H237" s="60"/>
      <c r="I237" s="60"/>
      <c r="J237" s="60"/>
      <c r="K237" s="3" t="s">
        <v>71</v>
      </c>
      <c r="L237" s="245" t="s">
        <v>267</v>
      </c>
      <c r="M237" s="245"/>
      <c r="N237" s="3"/>
      <c r="O237" s="3"/>
      <c r="P237" s="309">
        <f>((13.22*6)+(21.372*6))/12</f>
        <v>17.296000000000003</v>
      </c>
      <c r="Q237" s="309">
        <f>((13.22*6)+(21.372*6))/12</f>
        <v>17.296000000000003</v>
      </c>
      <c r="R237" s="311"/>
      <c r="S237" s="311"/>
      <c r="T237" s="311">
        <f t="shared" si="20"/>
        <v>17.296000000000003</v>
      </c>
      <c r="U237" s="311"/>
      <c r="V237" s="58">
        <f>((13.22*6)+(21.372*6))/12</f>
        <v>17.296000000000003</v>
      </c>
      <c r="W237" s="58"/>
      <c r="X237" s="58"/>
      <c r="Y237" s="58">
        <f>V237</f>
        <v>17.296000000000003</v>
      </c>
      <c r="Z237" s="59">
        <f t="shared" si="21"/>
        <v>0</v>
      </c>
      <c r="AA237" s="59"/>
      <c r="AB237" s="59">
        <f t="shared" si="22"/>
        <v>0</v>
      </c>
      <c r="AD237" s="33"/>
      <c r="AE237" s="33"/>
      <c r="AF237" s="57"/>
      <c r="AG237" s="33"/>
      <c r="AH237" s="57"/>
      <c r="AI237" s="33"/>
      <c r="AJ237" s="33"/>
      <c r="AK237" s="33"/>
      <c r="AL237" s="33"/>
      <c r="AM237" s="33"/>
      <c r="AN237" s="33"/>
      <c r="AO237" s="33"/>
      <c r="AP237" s="33"/>
    </row>
    <row r="238" spans="1:42" ht="20.100000000000001" customHeight="1" x14ac:dyDescent="0.25">
      <c r="A238" s="5"/>
      <c r="B238" s="317" t="s">
        <v>160</v>
      </c>
      <c r="C238" s="317"/>
      <c r="D238" s="317"/>
      <c r="E238" s="317"/>
      <c r="F238" s="17"/>
      <c r="G238" s="17"/>
      <c r="H238" s="17"/>
      <c r="I238" s="17"/>
      <c r="J238" s="17"/>
      <c r="K238" s="3"/>
      <c r="L238" s="245"/>
      <c r="M238" s="245"/>
      <c r="N238" s="3"/>
      <c r="O238" s="3"/>
      <c r="P238" s="245"/>
      <c r="Q238" s="245"/>
      <c r="R238" s="311"/>
      <c r="S238" s="311"/>
      <c r="T238" s="294"/>
      <c r="U238" s="295"/>
      <c r="V238" s="4"/>
      <c r="W238" s="4"/>
      <c r="X238" s="4"/>
      <c r="Y238" s="4"/>
      <c r="Z238" s="6"/>
      <c r="AA238" s="4"/>
      <c r="AB238" s="6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</row>
    <row r="239" spans="1:42" ht="69" customHeight="1" x14ac:dyDescent="0.25">
      <c r="A239" s="5">
        <v>1</v>
      </c>
      <c r="B239" s="324" t="s">
        <v>8</v>
      </c>
      <c r="C239" s="324"/>
      <c r="D239" s="324"/>
      <c r="E239" s="324"/>
      <c r="F239" s="8"/>
      <c r="G239" s="8"/>
      <c r="H239" s="8"/>
      <c r="I239" s="8"/>
      <c r="J239" s="8"/>
      <c r="K239" s="169" t="s">
        <v>0</v>
      </c>
      <c r="L239" s="245" t="s">
        <v>78</v>
      </c>
      <c r="M239" s="245"/>
      <c r="N239" s="3"/>
      <c r="O239" s="3"/>
      <c r="P239" s="309">
        <f>P234/7297.41*100</f>
        <v>99.999997337896986</v>
      </c>
      <c r="Q239" s="309">
        <f>Q234/10507.41*100</f>
        <v>0</v>
      </c>
      <c r="R239" s="311"/>
      <c r="S239" s="311"/>
      <c r="T239" s="311">
        <f t="shared" si="20"/>
        <v>99.999997337896986</v>
      </c>
      <c r="U239" s="311"/>
      <c r="V239" s="309">
        <f>V234/6646.85*100</f>
        <v>100.00006297628114</v>
      </c>
      <c r="W239" s="309">
        <f>W234/10507.41*100</f>
        <v>0</v>
      </c>
      <c r="X239" s="58"/>
      <c r="Y239" s="58">
        <f>V239</f>
        <v>100.00006297628114</v>
      </c>
      <c r="Z239" s="58">
        <f t="shared" si="21"/>
        <v>6.5638384157296059E-5</v>
      </c>
      <c r="AA239" s="58"/>
      <c r="AB239" s="58">
        <f t="shared" si="22"/>
        <v>6.5638384157296059E-5</v>
      </c>
      <c r="AD239" s="161"/>
      <c r="AE239" s="161"/>
      <c r="AF239" s="161"/>
      <c r="AG239" s="161"/>
      <c r="AH239" s="161"/>
      <c r="AI239" s="161"/>
      <c r="AJ239" s="161"/>
      <c r="AK239" s="161"/>
      <c r="AL239" s="33"/>
      <c r="AM239" s="33"/>
      <c r="AN239" s="33"/>
      <c r="AO239" s="33"/>
      <c r="AP239" s="33"/>
    </row>
    <row r="240" spans="1:42" ht="18.75" customHeight="1" x14ac:dyDescent="0.25">
      <c r="A240" s="5"/>
      <c r="B240" s="418" t="s">
        <v>19</v>
      </c>
      <c r="C240" s="264"/>
      <c r="D240" s="264"/>
      <c r="E240" s="264"/>
      <c r="F240" s="264"/>
      <c r="G240" s="264"/>
      <c r="H240" s="264"/>
      <c r="I240" s="264"/>
      <c r="J240" s="264"/>
      <c r="K240" s="264"/>
      <c r="L240" s="264"/>
      <c r="M240" s="264"/>
      <c r="N240" s="264"/>
      <c r="O240" s="264"/>
      <c r="P240" s="264"/>
      <c r="Q240" s="264"/>
      <c r="R240" s="278"/>
      <c r="S240" s="278"/>
      <c r="T240" s="279"/>
      <c r="U240" s="279"/>
      <c r="V240" s="202"/>
      <c r="W240" s="202"/>
      <c r="X240" s="202"/>
      <c r="Y240" s="202"/>
      <c r="Z240" s="202"/>
      <c r="AA240" s="202"/>
      <c r="AB240" s="202"/>
      <c r="AD240" s="33"/>
      <c r="AE240" s="33"/>
      <c r="AF240" s="33"/>
      <c r="AG240" s="33"/>
      <c r="AH240" s="157"/>
      <c r="AI240" s="33"/>
      <c r="AJ240" s="33"/>
      <c r="AK240" s="33"/>
      <c r="AL240" s="33"/>
      <c r="AM240" s="33"/>
      <c r="AN240" s="33"/>
      <c r="AO240" s="33"/>
      <c r="AP240" s="33"/>
    </row>
    <row r="241" spans="1:51" ht="20.100000000000001" customHeight="1" x14ac:dyDescent="0.25">
      <c r="A241" s="5"/>
      <c r="B241" s="316" t="s">
        <v>161</v>
      </c>
      <c r="C241" s="296"/>
      <c r="D241" s="296"/>
      <c r="E241" s="296"/>
      <c r="F241" s="61"/>
      <c r="G241" s="61"/>
      <c r="H241" s="61"/>
      <c r="I241" s="61"/>
      <c r="J241" s="61"/>
      <c r="K241" s="3"/>
      <c r="L241" s="245"/>
      <c r="M241" s="245"/>
      <c r="N241" s="3"/>
      <c r="O241" s="3"/>
      <c r="P241" s="245"/>
      <c r="Q241" s="417"/>
      <c r="R241" s="278"/>
      <c r="S241" s="278"/>
      <c r="T241" s="279"/>
      <c r="U241" s="279"/>
      <c r="V241" s="202"/>
      <c r="W241" s="202"/>
      <c r="X241" s="202"/>
      <c r="Y241" s="202"/>
      <c r="Z241" s="202"/>
      <c r="AA241" s="202"/>
      <c r="AB241" s="202"/>
      <c r="AD241" s="33"/>
      <c r="AE241" s="33"/>
      <c r="AF241" s="33"/>
      <c r="AG241" s="33"/>
      <c r="AH241" s="157"/>
      <c r="AI241" s="33"/>
      <c r="AJ241" s="33"/>
      <c r="AK241" s="33"/>
      <c r="AL241" s="33"/>
      <c r="AM241" s="33"/>
      <c r="AN241" s="33"/>
      <c r="AO241" s="33"/>
      <c r="AP241" s="33"/>
    </row>
    <row r="242" spans="1:51" ht="20.25" customHeight="1" x14ac:dyDescent="0.25">
      <c r="A242" s="5">
        <v>1</v>
      </c>
      <c r="B242" s="351" t="s">
        <v>115</v>
      </c>
      <c r="C242" s="402"/>
      <c r="D242" s="402"/>
      <c r="E242" s="402"/>
      <c r="F242" s="62"/>
      <c r="G242" s="62"/>
      <c r="H242" s="62"/>
      <c r="I242" s="62"/>
      <c r="J242" s="62"/>
      <c r="K242" s="3" t="s">
        <v>71</v>
      </c>
      <c r="L242" s="245" t="s">
        <v>69</v>
      </c>
      <c r="M242" s="245"/>
      <c r="N242" s="3"/>
      <c r="O242" s="3"/>
      <c r="P242" s="312">
        <f>600000+500000+400000-113000</f>
        <v>1387000</v>
      </c>
      <c r="Q242" s="313"/>
      <c r="R242" s="311"/>
      <c r="S242" s="311"/>
      <c r="T242" s="294">
        <f>P242</f>
        <v>1387000</v>
      </c>
      <c r="U242" s="295"/>
      <c r="V242" s="6">
        <v>1373035.96</v>
      </c>
      <c r="W242" s="6"/>
      <c r="X242" s="6"/>
      <c r="Y242" s="6">
        <f>V242</f>
        <v>1373035.96</v>
      </c>
      <c r="Z242" s="6">
        <f>V242-P242</f>
        <v>-13964.040000000037</v>
      </c>
      <c r="AA242" s="4"/>
      <c r="AB242" s="6">
        <f>Z242</f>
        <v>-13964.040000000037</v>
      </c>
      <c r="AD242" s="33"/>
      <c r="AE242" s="33"/>
      <c r="AF242" s="33"/>
      <c r="AG242" s="33"/>
      <c r="AH242" s="157"/>
      <c r="AI242" s="33"/>
      <c r="AJ242" s="33"/>
      <c r="AK242" s="33"/>
      <c r="AL242" s="33"/>
      <c r="AM242" s="33"/>
      <c r="AN242" s="33"/>
      <c r="AO242" s="33"/>
      <c r="AP242" s="33"/>
    </row>
    <row r="243" spans="1:51" ht="20.100000000000001" customHeight="1" x14ac:dyDescent="0.25">
      <c r="A243" s="5"/>
      <c r="B243" s="316" t="s">
        <v>159</v>
      </c>
      <c r="C243" s="296"/>
      <c r="D243" s="296"/>
      <c r="E243" s="296"/>
      <c r="F243" s="61"/>
      <c r="G243" s="61"/>
      <c r="H243" s="61"/>
      <c r="I243" s="61"/>
      <c r="J243" s="61"/>
      <c r="K243" s="3"/>
      <c r="L243" s="245"/>
      <c r="M243" s="245"/>
      <c r="N243" s="3"/>
      <c r="O243" s="3"/>
      <c r="P243" s="475"/>
      <c r="Q243" s="475"/>
      <c r="R243" s="311"/>
      <c r="S243" s="311"/>
      <c r="T243" s="294"/>
      <c r="U243" s="295"/>
      <c r="V243" s="4"/>
      <c r="W243" s="4"/>
      <c r="X243" s="4"/>
      <c r="Y243" s="4"/>
      <c r="Z243" s="6"/>
      <c r="AA243" s="4"/>
      <c r="AB243" s="6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</row>
    <row r="244" spans="1:51" ht="82.5" customHeight="1" x14ac:dyDescent="0.25">
      <c r="A244" s="5">
        <v>1</v>
      </c>
      <c r="B244" s="351" t="s">
        <v>229</v>
      </c>
      <c r="C244" s="402"/>
      <c r="D244" s="402"/>
      <c r="E244" s="402"/>
      <c r="F244" s="62"/>
      <c r="G244" s="62"/>
      <c r="H244" s="62"/>
      <c r="I244" s="62"/>
      <c r="J244" s="62"/>
      <c r="K244" s="3" t="s">
        <v>10</v>
      </c>
      <c r="L244" s="346" t="s">
        <v>76</v>
      </c>
      <c r="M244" s="346"/>
      <c r="N244" s="3"/>
      <c r="O244" s="3"/>
      <c r="P244" s="314">
        <v>3505.11</v>
      </c>
      <c r="Q244" s="315">
        <f>8659+1134+756.44</f>
        <v>10549.44</v>
      </c>
      <c r="R244" s="311"/>
      <c r="S244" s="311"/>
      <c r="T244" s="311">
        <f>P244</f>
        <v>3505.11</v>
      </c>
      <c r="U244" s="311"/>
      <c r="V244" s="58">
        <v>3505.11</v>
      </c>
      <c r="W244" s="124"/>
      <c r="X244" s="147"/>
      <c r="Y244" s="58">
        <f>V244</f>
        <v>3505.11</v>
      </c>
      <c r="Z244" s="58">
        <f>V244-P244</f>
        <v>0</v>
      </c>
      <c r="AA244" s="58"/>
      <c r="AB244" s="141">
        <f>Z244</f>
        <v>0</v>
      </c>
      <c r="AD244" s="520"/>
      <c r="AE244" s="520"/>
      <c r="AF244" s="161"/>
      <c r="AG244" s="161"/>
      <c r="AH244" s="161"/>
      <c r="AI244" s="161"/>
      <c r="AJ244" s="161"/>
      <c r="AK244" s="161"/>
      <c r="AL244" s="33"/>
      <c r="AM244" s="33"/>
      <c r="AN244" s="33"/>
      <c r="AO244" s="33"/>
      <c r="AP244" s="33"/>
    </row>
    <row r="245" spans="1:51" ht="52.5" customHeight="1" x14ac:dyDescent="0.25">
      <c r="A245" s="5">
        <v>2</v>
      </c>
      <c r="B245" s="350" t="s">
        <v>228</v>
      </c>
      <c r="C245" s="319"/>
      <c r="D245" s="319"/>
      <c r="E245" s="351"/>
      <c r="F245" s="62"/>
      <c r="G245" s="62"/>
      <c r="H245" s="62"/>
      <c r="I245" s="62"/>
      <c r="J245" s="62"/>
      <c r="K245" s="3" t="s">
        <v>193</v>
      </c>
      <c r="L245" s="413" t="s">
        <v>32</v>
      </c>
      <c r="M245" s="414"/>
      <c r="N245" s="3"/>
      <c r="O245" s="3"/>
      <c r="P245" s="272">
        <f>45.3275+52.369+52.757+19.1371+7.642</f>
        <v>177.23259999999999</v>
      </c>
      <c r="Q245" s="273">
        <f>45.3275+52.369+52.757+19.1371+7.642</f>
        <v>177.23259999999999</v>
      </c>
      <c r="R245" s="311"/>
      <c r="S245" s="311"/>
      <c r="T245" s="311">
        <f>P245</f>
        <v>177.23259999999999</v>
      </c>
      <c r="U245" s="311"/>
      <c r="V245" s="272">
        <f>45.3275+52.369+52.757+19.1371+7.642</f>
        <v>177.23259999999999</v>
      </c>
      <c r="W245" s="273">
        <f>45.3275+52.369+52.757+19.1371+7.642</f>
        <v>177.23259999999999</v>
      </c>
      <c r="X245" s="147"/>
      <c r="Y245" s="58">
        <f>V245</f>
        <v>177.23259999999999</v>
      </c>
      <c r="Z245" s="58">
        <f>V245-P245</f>
        <v>0</v>
      </c>
      <c r="AA245" s="58"/>
      <c r="AB245" s="141">
        <f>Z245</f>
        <v>0</v>
      </c>
      <c r="AD245" s="57"/>
      <c r="AE245" s="211"/>
      <c r="AF245" s="211"/>
      <c r="AG245" s="211"/>
      <c r="AH245" s="211"/>
      <c r="AI245" s="211"/>
      <c r="AJ245" s="211"/>
      <c r="AK245" s="211"/>
      <c r="AL245" s="211"/>
      <c r="AM245" s="33"/>
      <c r="AN245" s="33"/>
      <c r="AO245" s="33"/>
      <c r="AP245" s="33"/>
    </row>
    <row r="246" spans="1:51" ht="18.75" customHeight="1" x14ac:dyDescent="0.25">
      <c r="A246" s="5"/>
      <c r="B246" s="316" t="s">
        <v>162</v>
      </c>
      <c r="C246" s="296"/>
      <c r="D246" s="296"/>
      <c r="E246" s="296"/>
      <c r="F246" s="61"/>
      <c r="G246" s="61"/>
      <c r="H246" s="61"/>
      <c r="I246" s="61"/>
      <c r="J246" s="61"/>
      <c r="K246" s="3"/>
      <c r="L246" s="245"/>
      <c r="M246" s="245"/>
      <c r="N246" s="3"/>
      <c r="O246" s="3"/>
      <c r="P246" s="476"/>
      <c r="Q246" s="476"/>
      <c r="R246" s="311"/>
      <c r="S246" s="311"/>
      <c r="T246" s="294"/>
      <c r="U246" s="295"/>
      <c r="V246" s="4"/>
      <c r="W246" s="4"/>
      <c r="X246" s="4"/>
      <c r="Y246" s="4"/>
      <c r="Z246" s="6"/>
      <c r="AA246" s="4"/>
      <c r="AB246" s="6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</row>
    <row r="247" spans="1:51" ht="36" customHeight="1" x14ac:dyDescent="0.25">
      <c r="A247" s="5">
        <v>1</v>
      </c>
      <c r="B247" s="286" t="s">
        <v>11</v>
      </c>
      <c r="C247" s="287"/>
      <c r="D247" s="287"/>
      <c r="E247" s="287"/>
      <c r="F247" s="9"/>
      <c r="G247" s="9"/>
      <c r="H247" s="9"/>
      <c r="I247" s="9"/>
      <c r="J247" s="9"/>
      <c r="K247" s="3" t="s">
        <v>71</v>
      </c>
      <c r="L247" s="245" t="s">
        <v>78</v>
      </c>
      <c r="M247" s="245"/>
      <c r="N247" s="3"/>
      <c r="O247" s="3"/>
      <c r="P247" s="476">
        <f>(600000.17)/P244</f>
        <v>171.178699099315</v>
      </c>
      <c r="Q247" s="476">
        <f>810280/Q245</f>
        <v>4571.8451345858493</v>
      </c>
      <c r="R247" s="311"/>
      <c r="S247" s="311"/>
      <c r="T247" s="294">
        <f>P247</f>
        <v>171.178699099315</v>
      </c>
      <c r="U247" s="295"/>
      <c r="V247" s="115">
        <f>578491.79/V244</f>
        <v>165.04240665770831</v>
      </c>
      <c r="W247" s="58">
        <f>810280/W245</f>
        <v>4571.8451345858493</v>
      </c>
      <c r="X247" s="58"/>
      <c r="Y247" s="58">
        <f>V247</f>
        <v>165.04240665770831</v>
      </c>
      <c r="Z247" s="6">
        <f>V247-P247</f>
        <v>-6.1362924416066846</v>
      </c>
      <c r="AA247" s="6"/>
      <c r="AB247" s="6">
        <f>Z247</f>
        <v>-6.1362924416066846</v>
      </c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</row>
    <row r="248" spans="1:51" ht="34.5" customHeight="1" x14ac:dyDescent="0.25">
      <c r="A248" s="5">
        <v>2</v>
      </c>
      <c r="B248" s="286" t="s">
        <v>192</v>
      </c>
      <c r="C248" s="287"/>
      <c r="D248" s="287"/>
      <c r="E248" s="287"/>
      <c r="F248" s="9"/>
      <c r="G248" s="9"/>
      <c r="H248" s="9"/>
      <c r="I248" s="9"/>
      <c r="J248" s="9"/>
      <c r="K248" s="3" t="s">
        <v>71</v>
      </c>
      <c r="L248" s="245" t="s">
        <v>78</v>
      </c>
      <c r="M248" s="245"/>
      <c r="N248" s="3"/>
      <c r="O248" s="3"/>
      <c r="P248" s="476">
        <f>((145942.47+126319.19+20263.33+150378.45+19540.95+130158.72)/2+(150911.49+51029.57))/P245/1000</f>
        <v>2.8112357150998184</v>
      </c>
      <c r="Q248" s="476">
        <f>((145942.47+126319.19+20263.33+150378.45+19540.95+130158.72)/2+(150911.49+51029.57))/Q245/1000</f>
        <v>2.8112357150998184</v>
      </c>
      <c r="R248" s="311"/>
      <c r="S248" s="311"/>
      <c r="T248" s="294">
        <f>P248</f>
        <v>2.8112357150998184</v>
      </c>
      <c r="U248" s="295"/>
      <c r="V248" s="115">
        <f>((145942.47+126319.19+20263.33+150378.45+19540.95+130158.72)/2+(150911.49+51029.57))/V245/1000</f>
        <v>2.8112357150998184</v>
      </c>
      <c r="W248" s="58">
        <f>((145942.47+126319.19+20263.33+150378.45+19540.95+130158.72)/2+(150911.49+51029.57))/W245/1000</f>
        <v>2.8112357150998184</v>
      </c>
      <c r="X248" s="58"/>
      <c r="Y248" s="58">
        <f>V248</f>
        <v>2.8112357150998184</v>
      </c>
      <c r="Z248" s="6">
        <f>V248-P248</f>
        <v>0</v>
      </c>
      <c r="AA248" s="6"/>
      <c r="AB248" s="6">
        <f>Z248</f>
        <v>0</v>
      </c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</row>
    <row r="249" spans="1:51" ht="20.100000000000001" customHeight="1" x14ac:dyDescent="0.25">
      <c r="A249" s="5"/>
      <c r="B249" s="316" t="s">
        <v>160</v>
      </c>
      <c r="C249" s="296"/>
      <c r="D249" s="296"/>
      <c r="E249" s="296"/>
      <c r="F249" s="61"/>
      <c r="G249" s="61"/>
      <c r="H249" s="61"/>
      <c r="I249" s="61"/>
      <c r="J249" s="61"/>
      <c r="K249" s="3"/>
      <c r="L249" s="245"/>
      <c r="M249" s="245"/>
      <c r="N249" s="3"/>
      <c r="O249" s="3"/>
      <c r="P249" s="475"/>
      <c r="Q249" s="475"/>
      <c r="R249" s="311"/>
      <c r="S249" s="311"/>
      <c r="T249" s="294"/>
      <c r="U249" s="295"/>
      <c r="V249" s="4"/>
      <c r="W249" s="4"/>
      <c r="X249" s="4"/>
      <c r="Y249" s="4"/>
      <c r="Z249" s="6"/>
      <c r="AA249" s="4"/>
      <c r="AB249" s="6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</row>
    <row r="250" spans="1:51" ht="53.25" customHeight="1" x14ac:dyDescent="0.25">
      <c r="A250" s="5">
        <v>1</v>
      </c>
      <c r="B250" s="286" t="s">
        <v>12</v>
      </c>
      <c r="C250" s="287"/>
      <c r="D250" s="287"/>
      <c r="E250" s="287"/>
      <c r="F250" s="9"/>
      <c r="G250" s="9"/>
      <c r="H250" s="9"/>
      <c r="I250" s="9"/>
      <c r="J250" s="9"/>
      <c r="K250" s="169" t="s">
        <v>0</v>
      </c>
      <c r="L250" s="245" t="s">
        <v>78</v>
      </c>
      <c r="M250" s="245"/>
      <c r="N250" s="3"/>
      <c r="O250" s="3"/>
      <c r="P250" s="476">
        <f>P244/3505.11*100</f>
        <v>100</v>
      </c>
      <c r="Q250" s="476"/>
      <c r="R250" s="311"/>
      <c r="S250" s="311"/>
      <c r="T250" s="294">
        <f>P250</f>
        <v>100</v>
      </c>
      <c r="U250" s="295"/>
      <c r="V250" s="58">
        <f>V244/3505.11*100</f>
        <v>100</v>
      </c>
      <c r="W250" s="58"/>
      <c r="X250" s="58"/>
      <c r="Y250" s="58">
        <f>V250</f>
        <v>100</v>
      </c>
      <c r="Z250" s="6">
        <f>V250-P250</f>
        <v>0</v>
      </c>
      <c r="AA250" s="4"/>
      <c r="AB250" s="6">
        <f>Z250</f>
        <v>0</v>
      </c>
      <c r="AD250" s="33"/>
      <c r="AE250" s="57"/>
      <c r="AF250" s="33"/>
      <c r="AG250" s="33"/>
      <c r="AH250" s="162"/>
      <c r="AI250" s="33"/>
      <c r="AJ250" s="33"/>
      <c r="AK250" s="33"/>
      <c r="AL250" s="33"/>
      <c r="AM250" s="33"/>
      <c r="AN250" s="33"/>
      <c r="AO250" s="33"/>
      <c r="AP250" s="33"/>
    </row>
    <row r="251" spans="1:51" ht="53.25" customHeight="1" x14ac:dyDescent="0.25">
      <c r="A251" s="5">
        <v>2</v>
      </c>
      <c r="B251" s="301" t="s">
        <v>230</v>
      </c>
      <c r="C251" s="302"/>
      <c r="D251" s="302"/>
      <c r="E251" s="303"/>
      <c r="F251" s="9"/>
      <c r="G251" s="9"/>
      <c r="H251" s="9"/>
      <c r="I251" s="9"/>
      <c r="J251" s="9"/>
      <c r="K251" s="169" t="s">
        <v>0</v>
      </c>
      <c r="L251" s="245" t="s">
        <v>78</v>
      </c>
      <c r="M251" s="245"/>
      <c r="N251" s="3"/>
      <c r="O251" s="3"/>
      <c r="P251" s="479">
        <f>P245/177.23*100</f>
        <v>100.00146702025616</v>
      </c>
      <c r="Q251" s="480"/>
      <c r="R251" s="311"/>
      <c r="S251" s="311"/>
      <c r="T251" s="294">
        <f>P251</f>
        <v>100.00146702025616</v>
      </c>
      <c r="U251" s="295"/>
      <c r="V251" s="58">
        <f>V245/177.233*100</f>
        <v>99.999774308396283</v>
      </c>
      <c r="W251" s="58"/>
      <c r="X251" s="58"/>
      <c r="Y251" s="58">
        <f>V251</f>
        <v>99.999774308396283</v>
      </c>
      <c r="Z251" s="6">
        <f>V251-P251</f>
        <v>-1.6927118598744073E-3</v>
      </c>
      <c r="AA251" s="4"/>
      <c r="AB251" s="6">
        <f>Z251</f>
        <v>-1.6927118598744073E-3</v>
      </c>
      <c r="AD251" s="33"/>
      <c r="AE251" s="57"/>
      <c r="AF251" s="33"/>
      <c r="AG251" s="33"/>
      <c r="AH251" s="162"/>
      <c r="AI251" s="33"/>
      <c r="AJ251" s="33"/>
      <c r="AK251" s="33"/>
      <c r="AL251" s="33"/>
      <c r="AM251" s="33"/>
      <c r="AN251" s="33"/>
      <c r="AO251" s="33"/>
      <c r="AP251" s="33"/>
    </row>
    <row r="252" spans="1:51" ht="21.75" customHeight="1" x14ac:dyDescent="0.25">
      <c r="A252" s="5"/>
      <c r="B252" s="384" t="s">
        <v>293</v>
      </c>
      <c r="C252" s="403"/>
      <c r="D252" s="403"/>
      <c r="E252" s="403"/>
      <c r="F252" s="403"/>
      <c r="G252" s="403"/>
      <c r="H252" s="403"/>
      <c r="I252" s="403"/>
      <c r="J252" s="403"/>
      <c r="K252" s="403"/>
      <c r="L252" s="403"/>
      <c r="M252" s="403"/>
      <c r="N252" s="403"/>
      <c r="O252" s="403"/>
      <c r="P252" s="403"/>
      <c r="Q252" s="403"/>
      <c r="R252" s="403"/>
      <c r="S252" s="403"/>
      <c r="T252" s="403"/>
      <c r="U252" s="403"/>
      <c r="V252" s="403"/>
      <c r="W252" s="403"/>
      <c r="X252" s="403"/>
      <c r="Y252" s="403"/>
      <c r="Z252" s="403"/>
      <c r="AA252" s="403"/>
      <c r="AB252" s="403"/>
      <c r="AD252" s="33"/>
      <c r="AE252" s="33"/>
      <c r="AF252" s="87"/>
      <c r="AG252" s="87"/>
      <c r="AH252" s="87"/>
      <c r="AI252" s="87"/>
      <c r="AJ252" s="87"/>
      <c r="AK252" s="87"/>
      <c r="AL252" s="87"/>
      <c r="AM252" s="87"/>
      <c r="AN252" s="87"/>
      <c r="AO252" s="87"/>
      <c r="AP252" s="87"/>
      <c r="AQ252" s="87"/>
      <c r="AR252" s="87"/>
      <c r="AS252" s="87"/>
      <c r="AT252" s="87"/>
      <c r="AU252" s="87"/>
      <c r="AV252" s="87"/>
      <c r="AW252" s="87"/>
      <c r="AX252" s="33"/>
      <c r="AY252" s="33"/>
    </row>
    <row r="253" spans="1:51" ht="20.100000000000001" customHeight="1" x14ac:dyDescent="0.25">
      <c r="A253" s="5"/>
      <c r="B253" s="316" t="s">
        <v>121</v>
      </c>
      <c r="C253" s="296"/>
      <c r="D253" s="296"/>
      <c r="E253" s="296"/>
      <c r="F253" s="61"/>
      <c r="G253" s="61"/>
      <c r="H253" s="61"/>
      <c r="I253" s="61"/>
      <c r="J253" s="61"/>
      <c r="K253" s="3"/>
      <c r="L253" s="245"/>
      <c r="M253" s="245"/>
      <c r="N253" s="3"/>
      <c r="O253" s="3"/>
      <c r="P253" s="245"/>
      <c r="Q253" s="417"/>
      <c r="R253" s="477"/>
      <c r="S253" s="478"/>
      <c r="T253" s="279"/>
      <c r="U253" s="279"/>
      <c r="V253" s="202"/>
      <c r="W253" s="202"/>
      <c r="X253" s="202"/>
      <c r="Y253" s="202"/>
      <c r="Z253" s="202"/>
      <c r="AA253" s="202"/>
      <c r="AB253" s="202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</row>
    <row r="254" spans="1:51" ht="25.5" customHeight="1" x14ac:dyDescent="0.25">
      <c r="A254" s="5">
        <v>1</v>
      </c>
      <c r="B254" s="351" t="s">
        <v>79</v>
      </c>
      <c r="C254" s="402"/>
      <c r="D254" s="402"/>
      <c r="E254" s="402"/>
      <c r="F254" s="62"/>
      <c r="G254" s="62"/>
      <c r="H254" s="62"/>
      <c r="I254" s="62"/>
      <c r="J254" s="62"/>
      <c r="K254" s="3" t="s">
        <v>71</v>
      </c>
      <c r="L254" s="245" t="s">
        <v>69</v>
      </c>
      <c r="M254" s="245"/>
      <c r="N254" s="3"/>
      <c r="O254" s="3"/>
      <c r="P254" s="282">
        <v>5966434</v>
      </c>
      <c r="Q254" s="283"/>
      <c r="R254" s="282"/>
      <c r="S254" s="283"/>
      <c r="T254" s="294">
        <f>P254</f>
        <v>5966434</v>
      </c>
      <c r="U254" s="294"/>
      <c r="V254" s="6">
        <f>5870468.76</f>
        <v>5870468.7599999998</v>
      </c>
      <c r="W254" s="6"/>
      <c r="X254" s="6"/>
      <c r="Y254" s="6">
        <f>V254</f>
        <v>5870468.7599999998</v>
      </c>
      <c r="Z254" s="6">
        <f>V254-P254</f>
        <v>-95965.240000000224</v>
      </c>
      <c r="AA254" s="4"/>
      <c r="AB254" s="6">
        <f>Z254</f>
        <v>-95965.240000000224</v>
      </c>
      <c r="AE254" s="33"/>
      <c r="AF254" s="33"/>
      <c r="AG254" s="33"/>
      <c r="AH254" s="157"/>
      <c r="AI254" s="33"/>
      <c r="AJ254" s="33"/>
      <c r="AK254" s="33"/>
      <c r="AL254" s="33"/>
      <c r="AM254" s="33"/>
      <c r="AN254" s="33"/>
      <c r="AO254" s="33"/>
      <c r="AP254" s="33"/>
    </row>
    <row r="255" spans="1:51" ht="22.5" customHeight="1" x14ac:dyDescent="0.25">
      <c r="A255" s="5"/>
      <c r="B255" s="316" t="s">
        <v>159</v>
      </c>
      <c r="C255" s="296"/>
      <c r="D255" s="296"/>
      <c r="E255" s="296"/>
      <c r="F255" s="61"/>
      <c r="G255" s="61"/>
      <c r="H255" s="61"/>
      <c r="I255" s="61"/>
      <c r="J255" s="61"/>
      <c r="K255" s="3"/>
      <c r="L255" s="245"/>
      <c r="M255" s="245"/>
      <c r="N255" s="3"/>
      <c r="O255" s="3"/>
      <c r="P255" s="245"/>
      <c r="Q255" s="245"/>
      <c r="R255" s="356"/>
      <c r="S255" s="357"/>
      <c r="T255" s="295"/>
      <c r="U255" s="295"/>
      <c r="V255" s="4"/>
      <c r="W255" s="4"/>
      <c r="X255" s="4"/>
      <c r="Y255" s="4"/>
      <c r="Z255" s="6"/>
      <c r="AA255" s="4"/>
      <c r="AB255" s="6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</row>
    <row r="256" spans="1:51" ht="20.100000000000001" customHeight="1" x14ac:dyDescent="0.25">
      <c r="A256" s="5">
        <v>1</v>
      </c>
      <c r="B256" s="286" t="s">
        <v>116</v>
      </c>
      <c r="C256" s="287"/>
      <c r="D256" s="287"/>
      <c r="E256" s="287"/>
      <c r="F256" s="9"/>
      <c r="G256" s="9"/>
      <c r="H256" s="9"/>
      <c r="I256" s="9"/>
      <c r="J256" s="9"/>
      <c r="K256" s="3" t="s">
        <v>73</v>
      </c>
      <c r="L256" s="245" t="s">
        <v>117</v>
      </c>
      <c r="M256" s="245"/>
      <c r="N256" s="3"/>
      <c r="O256" s="3"/>
      <c r="P256" s="481">
        <v>18</v>
      </c>
      <c r="Q256" s="481"/>
      <c r="R256" s="356"/>
      <c r="S256" s="357"/>
      <c r="T256" s="352">
        <f>P256</f>
        <v>18</v>
      </c>
      <c r="U256" s="295"/>
      <c r="V256" s="4">
        <v>18</v>
      </c>
      <c r="W256" s="4"/>
      <c r="X256" s="4"/>
      <c r="Y256" s="4">
        <f>V256</f>
        <v>18</v>
      </c>
      <c r="Z256" s="91">
        <f>V256-P256</f>
        <v>0</v>
      </c>
      <c r="AA256" s="91"/>
      <c r="AB256" s="91">
        <f>Z256</f>
        <v>0</v>
      </c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</row>
    <row r="257" spans="1:58" ht="51.75" customHeight="1" x14ac:dyDescent="0.25">
      <c r="A257" s="5">
        <v>2</v>
      </c>
      <c r="B257" s="302" t="s">
        <v>156</v>
      </c>
      <c r="C257" s="302"/>
      <c r="D257" s="302"/>
      <c r="E257" s="303"/>
      <c r="F257" s="9"/>
      <c r="G257" s="9"/>
      <c r="H257" s="9"/>
      <c r="I257" s="9"/>
      <c r="J257" s="9"/>
      <c r="K257" s="3" t="s">
        <v>73</v>
      </c>
      <c r="L257" s="245" t="s">
        <v>78</v>
      </c>
      <c r="M257" s="245"/>
      <c r="N257" s="3"/>
      <c r="O257" s="3"/>
      <c r="P257" s="481">
        <v>540</v>
      </c>
      <c r="Q257" s="481"/>
      <c r="R257" s="356"/>
      <c r="S257" s="357"/>
      <c r="T257" s="352">
        <f>P257</f>
        <v>540</v>
      </c>
      <c r="U257" s="295"/>
      <c r="V257" s="4">
        <v>550</v>
      </c>
      <c r="W257" s="4"/>
      <c r="X257" s="4"/>
      <c r="Y257" s="4">
        <f>V257</f>
        <v>550</v>
      </c>
      <c r="Z257" s="91">
        <f>V257-P257</f>
        <v>10</v>
      </c>
      <c r="AA257" s="91"/>
      <c r="AB257" s="91">
        <f>Z257</f>
        <v>10</v>
      </c>
      <c r="AD257" s="33"/>
      <c r="AE257" s="161"/>
      <c r="AF257" s="161"/>
      <c r="AG257" s="161"/>
      <c r="AH257" s="161"/>
      <c r="AI257" s="161"/>
      <c r="AJ257" s="161"/>
      <c r="AK257" s="161"/>
      <c r="AL257" s="33"/>
      <c r="AM257" s="33"/>
      <c r="AN257" s="33"/>
      <c r="AO257" s="33"/>
      <c r="AP257" s="33"/>
    </row>
    <row r="258" spans="1:58" ht="20.100000000000001" customHeight="1" x14ac:dyDescent="0.25">
      <c r="A258" s="5"/>
      <c r="B258" s="316" t="s">
        <v>162</v>
      </c>
      <c r="C258" s="296"/>
      <c r="D258" s="296"/>
      <c r="E258" s="296"/>
      <c r="F258" s="61"/>
      <c r="G258" s="61"/>
      <c r="H258" s="61"/>
      <c r="I258" s="61"/>
      <c r="J258" s="61"/>
      <c r="K258" s="3"/>
      <c r="L258" s="245"/>
      <c r="M258" s="245"/>
      <c r="N258" s="3"/>
      <c r="O258" s="3"/>
      <c r="P258" s="245"/>
      <c r="Q258" s="245"/>
      <c r="R258" s="356"/>
      <c r="S258" s="357"/>
      <c r="T258" s="295"/>
      <c r="U258" s="295"/>
      <c r="V258" s="4"/>
      <c r="W258" s="4"/>
      <c r="X258" s="4"/>
      <c r="Y258" s="4"/>
      <c r="Z258" s="6"/>
      <c r="AA258" s="4"/>
      <c r="AB258" s="6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</row>
    <row r="259" spans="1:58" ht="50.25" customHeight="1" x14ac:dyDescent="0.25">
      <c r="A259" s="5">
        <v>1</v>
      </c>
      <c r="B259" s="319" t="s">
        <v>157</v>
      </c>
      <c r="C259" s="319"/>
      <c r="D259" s="319"/>
      <c r="E259" s="351"/>
      <c r="F259" s="61"/>
      <c r="G259" s="61"/>
      <c r="H259" s="61"/>
      <c r="I259" s="61"/>
      <c r="J259" s="61"/>
      <c r="K259" s="3" t="s">
        <v>73</v>
      </c>
      <c r="L259" s="245" t="s">
        <v>78</v>
      </c>
      <c r="M259" s="245"/>
      <c r="N259" s="3"/>
      <c r="O259" s="3"/>
      <c r="P259" s="284">
        <f>P257/14</f>
        <v>38.571428571428569</v>
      </c>
      <c r="Q259" s="285"/>
      <c r="R259" s="292"/>
      <c r="S259" s="293"/>
      <c r="T259" s="320">
        <f>P259</f>
        <v>38.571428571428569</v>
      </c>
      <c r="U259" s="320"/>
      <c r="V259" s="236">
        <f>V257/14</f>
        <v>39.285714285714285</v>
      </c>
      <c r="W259" s="193"/>
      <c r="X259" s="103"/>
      <c r="Y259" s="97">
        <f>V259</f>
        <v>39.285714285714285</v>
      </c>
      <c r="Z259" s="91">
        <v>0</v>
      </c>
      <c r="AA259" s="91"/>
      <c r="AB259" s="91">
        <f>Z259</f>
        <v>0</v>
      </c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</row>
    <row r="260" spans="1:58" ht="34.5" customHeight="1" x14ac:dyDescent="0.25">
      <c r="A260" s="5">
        <v>2</v>
      </c>
      <c r="B260" s="286" t="s">
        <v>118</v>
      </c>
      <c r="C260" s="287"/>
      <c r="D260" s="287"/>
      <c r="E260" s="287"/>
      <c r="F260" s="9"/>
      <c r="G260" s="9"/>
      <c r="H260" s="9"/>
      <c r="I260" s="9"/>
      <c r="J260" s="9"/>
      <c r="K260" s="3" t="s">
        <v>71</v>
      </c>
      <c r="L260" s="245" t="s">
        <v>78</v>
      </c>
      <c r="M260" s="245"/>
      <c r="N260" s="3"/>
      <c r="O260" s="3"/>
      <c r="P260" s="243">
        <f>(6033986-342569-62102)/P256</f>
        <v>312739.72222222225</v>
      </c>
      <c r="Q260" s="244" t="e">
        <f>(6033986-342569-62102)/Q256</f>
        <v>#DIV/0!</v>
      </c>
      <c r="R260" s="282"/>
      <c r="S260" s="283"/>
      <c r="T260" s="294">
        <f>P260</f>
        <v>312739.72222222225</v>
      </c>
      <c r="U260" s="294"/>
      <c r="V260" s="272">
        <f>(4533102+1003599.15)/V256</f>
        <v>307594.50833333336</v>
      </c>
      <c r="W260" s="273"/>
      <c r="X260" s="1"/>
      <c r="Y260" s="6">
        <f>V260</f>
        <v>307594.50833333336</v>
      </c>
      <c r="Z260" s="6">
        <f>V260-P260</f>
        <v>-5145.2138888888876</v>
      </c>
      <c r="AA260" s="6"/>
      <c r="AB260" s="6">
        <f>Z260</f>
        <v>-5145.2138888888876</v>
      </c>
      <c r="AD260" s="57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</row>
    <row r="261" spans="1:58" ht="34.5" customHeight="1" x14ac:dyDescent="0.25">
      <c r="A261" s="5">
        <v>3</v>
      </c>
      <c r="B261" s="286" t="s">
        <v>119</v>
      </c>
      <c r="C261" s="287"/>
      <c r="D261" s="287"/>
      <c r="E261" s="287"/>
      <c r="F261" s="9"/>
      <c r="G261" s="9"/>
      <c r="H261" s="9"/>
      <c r="I261" s="9"/>
      <c r="J261" s="9"/>
      <c r="K261" s="3" t="s">
        <v>71</v>
      </c>
      <c r="L261" s="245" t="s">
        <v>78</v>
      </c>
      <c r="M261" s="245"/>
      <c r="N261" s="3"/>
      <c r="O261" s="3"/>
      <c r="P261" s="243">
        <f>(173965-17580)/P256</f>
        <v>8688.0555555555547</v>
      </c>
      <c r="Q261" s="244" t="e">
        <f>(173965-17580)/Q256</f>
        <v>#DIV/0!</v>
      </c>
      <c r="R261" s="282"/>
      <c r="S261" s="283"/>
      <c r="T261" s="294">
        <f>P261</f>
        <v>8688.0555555555547</v>
      </c>
      <c r="U261" s="294"/>
      <c r="V261" s="272">
        <f>48364.36/V256</f>
        <v>2686.9088888888891</v>
      </c>
      <c r="W261" s="273"/>
      <c r="X261" s="1"/>
      <c r="Y261" s="6">
        <f>V261</f>
        <v>2686.9088888888891</v>
      </c>
      <c r="Z261" s="6">
        <f>V261-P261</f>
        <v>-6001.1466666666656</v>
      </c>
      <c r="AA261" s="6"/>
      <c r="AB261" s="6">
        <f>Z261</f>
        <v>-6001.1466666666656</v>
      </c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</row>
    <row r="262" spans="1:58" ht="37.5" customHeight="1" x14ac:dyDescent="0.25">
      <c r="A262" s="5">
        <v>4</v>
      </c>
      <c r="B262" s="286" t="s">
        <v>120</v>
      </c>
      <c r="C262" s="287"/>
      <c r="D262" s="287"/>
      <c r="E262" s="287"/>
      <c r="F262" s="9"/>
      <c r="G262" s="9"/>
      <c r="H262" s="9"/>
      <c r="I262" s="9"/>
      <c r="J262" s="9"/>
      <c r="K262" s="3" t="s">
        <v>71</v>
      </c>
      <c r="L262" s="245" t="s">
        <v>78</v>
      </c>
      <c r="M262" s="245"/>
      <c r="N262" s="3"/>
      <c r="O262" s="3"/>
      <c r="P262" s="243">
        <f>(82262-49871)/P256</f>
        <v>1799.5</v>
      </c>
      <c r="Q262" s="244" t="e">
        <f>(82262-49871)/Q256</f>
        <v>#DIV/0!</v>
      </c>
      <c r="R262" s="282"/>
      <c r="S262" s="283"/>
      <c r="T262" s="294">
        <f>P262</f>
        <v>1799.5</v>
      </c>
      <c r="U262" s="294"/>
      <c r="V262" s="272">
        <f>194721/V256</f>
        <v>10817.833333333334</v>
      </c>
      <c r="W262" s="273"/>
      <c r="X262" s="1"/>
      <c r="Y262" s="6">
        <f>V262</f>
        <v>10817.833333333334</v>
      </c>
      <c r="Z262" s="6">
        <f>V262-P262</f>
        <v>9018.3333333333339</v>
      </c>
      <c r="AA262" s="6"/>
      <c r="AB262" s="6">
        <f>Z262</f>
        <v>9018.3333333333339</v>
      </c>
      <c r="AD262" s="57"/>
      <c r="AE262" s="33"/>
      <c r="AF262" s="33"/>
      <c r="AG262" s="33"/>
      <c r="AH262" s="155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</row>
    <row r="263" spans="1:58" ht="17.25" customHeight="1" x14ac:dyDescent="0.25">
      <c r="A263" s="5"/>
      <c r="B263" s="280" t="s">
        <v>124</v>
      </c>
      <c r="C263" s="281"/>
      <c r="D263" s="281"/>
      <c r="E263" s="281"/>
      <c r="F263" s="281"/>
      <c r="G263" s="281"/>
      <c r="H263" s="281"/>
      <c r="I263" s="281"/>
      <c r="J263" s="281"/>
      <c r="K263" s="3"/>
      <c r="L263" s="241"/>
      <c r="M263" s="242"/>
      <c r="N263" s="3"/>
      <c r="O263" s="3"/>
      <c r="P263" s="243"/>
      <c r="Q263" s="244"/>
      <c r="R263" s="282"/>
      <c r="S263" s="283"/>
      <c r="T263" s="243"/>
      <c r="U263" s="244"/>
      <c r="V263" s="1"/>
      <c r="W263" s="1"/>
      <c r="X263" s="1"/>
      <c r="Y263" s="6"/>
      <c r="Z263" s="6"/>
      <c r="AA263" s="6"/>
      <c r="AB263" s="6"/>
      <c r="AD263" s="57"/>
      <c r="AE263" s="160"/>
      <c r="AF263" s="160"/>
      <c r="AG263" s="160"/>
      <c r="AH263" s="160"/>
      <c r="AI263" s="160"/>
      <c r="AJ263" s="160"/>
      <c r="AK263" s="160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</row>
    <row r="264" spans="1:58" ht="100.5" customHeight="1" x14ac:dyDescent="0.25">
      <c r="A264" s="5">
        <v>1</v>
      </c>
      <c r="B264" s="508" t="s">
        <v>298</v>
      </c>
      <c r="C264" s="508"/>
      <c r="D264" s="508"/>
      <c r="E264" s="508"/>
      <c r="F264" s="508"/>
      <c r="G264" s="508"/>
      <c r="H264" s="508"/>
      <c r="I264" s="508"/>
      <c r="J264" s="508"/>
      <c r="K264" s="169" t="s">
        <v>0</v>
      </c>
      <c r="L264" s="245" t="s">
        <v>78</v>
      </c>
      <c r="M264" s="245"/>
      <c r="N264" s="202"/>
      <c r="O264" s="202"/>
      <c r="P264" s="311">
        <f>P257/521*100</f>
        <v>103.6468330134357</v>
      </c>
      <c r="Q264" s="311"/>
      <c r="R264" s="311"/>
      <c r="S264" s="311"/>
      <c r="T264" s="309">
        <f>P264</f>
        <v>103.6468330134357</v>
      </c>
      <c r="U264" s="309"/>
      <c r="V264" s="58">
        <f>V257/521*100</f>
        <v>105.56621880998081</v>
      </c>
      <c r="W264" s="58"/>
      <c r="X264" s="58"/>
      <c r="Y264" s="58">
        <f>V264</f>
        <v>105.56621880998081</v>
      </c>
      <c r="Z264" s="58">
        <f>V264-P264</f>
        <v>1.9193857965451144</v>
      </c>
      <c r="AA264" s="58"/>
      <c r="AB264" s="58">
        <f>Z264</f>
        <v>1.9193857965451144</v>
      </c>
      <c r="AD264" s="57"/>
      <c r="AE264" s="160"/>
      <c r="AF264" s="160"/>
      <c r="AG264" s="160"/>
      <c r="AH264" s="160"/>
      <c r="AI264" s="160"/>
      <c r="AJ264" s="160"/>
      <c r="AK264" s="160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</row>
    <row r="265" spans="1:58" ht="18" customHeight="1" x14ac:dyDescent="0.25">
      <c r="A265" s="205"/>
      <c r="B265" s="307" t="s">
        <v>250</v>
      </c>
      <c r="C265" s="307"/>
      <c r="D265" s="307"/>
      <c r="E265" s="307"/>
      <c r="F265" s="307"/>
      <c r="G265" s="307"/>
      <c r="H265" s="307"/>
      <c r="I265" s="307"/>
      <c r="J265" s="307"/>
      <c r="K265" s="307"/>
      <c r="L265" s="307"/>
      <c r="M265" s="307"/>
      <c r="N265" s="307"/>
      <c r="O265" s="307"/>
      <c r="P265" s="307"/>
      <c r="Q265" s="307"/>
      <c r="R265" s="209"/>
      <c r="S265" s="209"/>
      <c r="T265" s="210"/>
      <c r="U265" s="210"/>
      <c r="V265" s="211"/>
      <c r="W265" s="211"/>
      <c r="X265" s="212"/>
      <c r="Y265" s="213"/>
      <c r="Z265" s="213"/>
      <c r="AA265" s="213"/>
      <c r="AB265" s="213"/>
      <c r="AD265" s="57"/>
      <c r="AE265" s="160"/>
      <c r="AF265" s="160"/>
      <c r="AG265" s="160"/>
      <c r="AH265" s="160"/>
      <c r="AI265" s="160"/>
      <c r="AJ265" s="160"/>
      <c r="AK265" s="160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</row>
    <row r="266" spans="1:58" ht="16.5" customHeight="1" x14ac:dyDescent="0.25">
      <c r="A266" s="45"/>
      <c r="B266" s="296" t="s">
        <v>161</v>
      </c>
      <c r="C266" s="296"/>
      <c r="D266" s="296"/>
      <c r="E266" s="296"/>
      <c r="F266" s="9"/>
      <c r="G266" s="9"/>
      <c r="H266" s="9"/>
      <c r="I266" s="9"/>
      <c r="J266" s="9"/>
      <c r="K266" s="3"/>
      <c r="L266" s="241"/>
      <c r="M266" s="242"/>
      <c r="N266" s="3"/>
      <c r="O266" s="3"/>
      <c r="P266" s="243"/>
      <c r="Q266" s="244"/>
      <c r="R266" s="282"/>
      <c r="S266" s="283"/>
      <c r="T266" s="249"/>
      <c r="U266" s="250"/>
      <c r="V266" s="223"/>
      <c r="W266" s="223"/>
      <c r="X266" s="1"/>
      <c r="Y266" s="6"/>
      <c r="Z266" s="6"/>
      <c r="AA266" s="6"/>
      <c r="AB266" s="6"/>
      <c r="AD266" s="57"/>
      <c r="AE266" s="160"/>
      <c r="AF266" s="160"/>
      <c r="AG266" s="160"/>
      <c r="AH266" s="160"/>
      <c r="AI266" s="160"/>
      <c r="AJ266" s="160"/>
      <c r="AK266" s="160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</row>
    <row r="267" spans="1:58" ht="51" customHeight="1" x14ac:dyDescent="0.25">
      <c r="A267" s="45">
        <v>1</v>
      </c>
      <c r="B267" s="308" t="s">
        <v>255</v>
      </c>
      <c r="C267" s="308"/>
      <c r="D267" s="308"/>
      <c r="E267" s="308"/>
      <c r="F267" s="9"/>
      <c r="G267" s="9"/>
      <c r="H267" s="9"/>
      <c r="I267" s="9"/>
      <c r="J267" s="9"/>
      <c r="K267" s="3" t="s">
        <v>71</v>
      </c>
      <c r="L267" s="245" t="s">
        <v>69</v>
      </c>
      <c r="M267" s="245"/>
      <c r="N267" s="3"/>
      <c r="O267" s="3"/>
      <c r="P267" s="243">
        <f>P268+P269</f>
        <v>18100000</v>
      </c>
      <c r="Q267" s="244"/>
      <c r="R267" s="282"/>
      <c r="S267" s="283"/>
      <c r="T267" s="282">
        <f>P267+R267</f>
        <v>18100000</v>
      </c>
      <c r="U267" s="283"/>
      <c r="V267" s="234">
        <f>V268+V269</f>
        <v>18072568.960000001</v>
      </c>
      <c r="W267" s="223"/>
      <c r="X267" s="1"/>
      <c r="Y267" s="6">
        <f>V267+X267</f>
        <v>18072568.960000001</v>
      </c>
      <c r="Z267" s="6">
        <f>V267-P267</f>
        <v>-27431.039999999106</v>
      </c>
      <c r="AA267" s="6"/>
      <c r="AB267" s="6">
        <f>Z267</f>
        <v>-27431.039999999106</v>
      </c>
      <c r="AD267" s="33"/>
      <c r="AE267" s="224"/>
      <c r="AF267" s="224"/>
      <c r="AG267" s="224"/>
      <c r="AH267" s="224"/>
      <c r="AI267" s="224"/>
      <c r="AJ267" s="224"/>
      <c r="AK267" s="224"/>
      <c r="AL267" s="224"/>
      <c r="AM267" s="224"/>
      <c r="AN267" s="224"/>
      <c r="AO267" s="224"/>
      <c r="AP267" s="224"/>
      <c r="AQ267" s="224"/>
      <c r="AR267" s="224"/>
      <c r="AS267" s="224"/>
      <c r="AT267" s="224"/>
      <c r="AU267" s="224"/>
      <c r="AV267" s="224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</row>
    <row r="268" spans="1:58" ht="65.25" customHeight="1" x14ac:dyDescent="0.25">
      <c r="A268" s="45">
        <v>2</v>
      </c>
      <c r="B268" s="308" t="s">
        <v>256</v>
      </c>
      <c r="C268" s="308"/>
      <c r="D268" s="308"/>
      <c r="E268" s="308"/>
      <c r="F268" s="9"/>
      <c r="G268" s="9"/>
      <c r="H268" s="9"/>
      <c r="I268" s="9"/>
      <c r="J268" s="9"/>
      <c r="K268" s="3" t="s">
        <v>71</v>
      </c>
      <c r="L268" s="245" t="s">
        <v>69</v>
      </c>
      <c r="M268" s="245"/>
      <c r="N268" s="3"/>
      <c r="O268" s="3"/>
      <c r="P268" s="243">
        <f>7000000+2000000+1100000</f>
        <v>10100000</v>
      </c>
      <c r="Q268" s="244"/>
      <c r="R268" s="282"/>
      <c r="S268" s="283"/>
      <c r="T268" s="282">
        <f t="shared" ref="T268:T277" si="23">P268+R268</f>
        <v>10100000</v>
      </c>
      <c r="U268" s="283"/>
      <c r="V268" s="230">
        <v>10072621.02</v>
      </c>
      <c r="W268" s="228"/>
      <c r="X268" s="1"/>
      <c r="Y268" s="6">
        <f t="shared" ref="Y268:Y277" si="24">V268+X268</f>
        <v>10072621.02</v>
      </c>
      <c r="Z268" s="6">
        <f t="shared" ref="Z268:Z277" si="25">V268-P268</f>
        <v>-27378.980000000447</v>
      </c>
      <c r="AA268" s="6"/>
      <c r="AB268" s="6">
        <f t="shared" ref="AB268:AB277" si="26">Z268</f>
        <v>-27378.980000000447</v>
      </c>
      <c r="AD268" s="33"/>
      <c r="AE268" s="224"/>
      <c r="AF268" s="224"/>
      <c r="AG268" s="224"/>
      <c r="AH268" s="224"/>
      <c r="AI268" s="224"/>
      <c r="AJ268" s="224"/>
      <c r="AK268" s="224"/>
      <c r="AL268" s="224"/>
      <c r="AM268" s="224"/>
      <c r="AN268" s="224"/>
      <c r="AO268" s="224"/>
      <c r="AP268" s="224"/>
      <c r="AQ268" s="224"/>
      <c r="AR268" s="224"/>
      <c r="AS268" s="224"/>
      <c r="AT268" s="224"/>
      <c r="AU268" s="224"/>
      <c r="AV268" s="224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</row>
    <row r="269" spans="1:58" ht="63" customHeight="1" x14ac:dyDescent="0.25">
      <c r="A269" s="45">
        <v>3</v>
      </c>
      <c r="B269" s="308" t="s">
        <v>257</v>
      </c>
      <c r="C269" s="308"/>
      <c r="D269" s="308"/>
      <c r="E269" s="308"/>
      <c r="F269" s="9"/>
      <c r="G269" s="9"/>
      <c r="H269" s="9"/>
      <c r="I269" s="9"/>
      <c r="J269" s="9"/>
      <c r="K269" s="3" t="s">
        <v>71</v>
      </c>
      <c r="L269" s="245" t="s">
        <v>69</v>
      </c>
      <c r="M269" s="245"/>
      <c r="N269" s="3"/>
      <c r="O269" s="3"/>
      <c r="P269" s="243">
        <f>5000000+3000000</f>
        <v>8000000</v>
      </c>
      <c r="Q269" s="244"/>
      <c r="R269" s="282"/>
      <c r="S269" s="283"/>
      <c r="T269" s="282">
        <f t="shared" si="23"/>
        <v>8000000</v>
      </c>
      <c r="U269" s="283"/>
      <c r="V269" s="230">
        <v>7999947.9400000004</v>
      </c>
      <c r="W269" s="228"/>
      <c r="X269" s="1"/>
      <c r="Y269" s="6">
        <f t="shared" si="24"/>
        <v>7999947.9400000004</v>
      </c>
      <c r="Z269" s="6">
        <f t="shared" si="25"/>
        <v>-52.059999999590218</v>
      </c>
      <c r="AA269" s="6"/>
      <c r="AB269" s="6">
        <f t="shared" si="26"/>
        <v>-52.059999999590218</v>
      </c>
      <c r="AD269" s="33"/>
      <c r="AE269" s="224"/>
      <c r="AF269" s="224"/>
      <c r="AG269" s="224"/>
      <c r="AH269" s="224"/>
      <c r="AI269" s="224"/>
      <c r="AJ269" s="224"/>
      <c r="AK269" s="224"/>
      <c r="AL269" s="224"/>
      <c r="AM269" s="224"/>
      <c r="AN269" s="224"/>
      <c r="AO269" s="224"/>
      <c r="AP269" s="224"/>
      <c r="AQ269" s="224"/>
      <c r="AR269" s="224"/>
      <c r="AS269" s="224"/>
      <c r="AT269" s="224"/>
      <c r="AU269" s="224"/>
      <c r="AV269" s="224"/>
      <c r="AW269" s="33"/>
    </row>
    <row r="270" spans="1:58" ht="18.75" customHeight="1" x14ac:dyDescent="0.25">
      <c r="A270" s="45"/>
      <c r="B270" s="296" t="s">
        <v>159</v>
      </c>
      <c r="C270" s="296"/>
      <c r="D270" s="296"/>
      <c r="E270" s="296"/>
      <c r="F270" s="9"/>
      <c r="G270" s="9"/>
      <c r="H270" s="9"/>
      <c r="I270" s="9"/>
      <c r="J270" s="9"/>
      <c r="K270" s="3"/>
      <c r="L270" s="241"/>
      <c r="M270" s="242"/>
      <c r="N270" s="3"/>
      <c r="O270" s="3"/>
      <c r="P270" s="243"/>
      <c r="Q270" s="244"/>
      <c r="R270" s="282"/>
      <c r="S270" s="283"/>
      <c r="T270" s="249"/>
      <c r="U270" s="250"/>
      <c r="V270" s="223"/>
      <c r="W270" s="228"/>
      <c r="X270" s="1"/>
      <c r="Y270" s="6"/>
      <c r="Z270" s="58"/>
      <c r="AA270" s="6"/>
      <c r="AB270" s="6"/>
      <c r="AD270" s="57"/>
      <c r="AE270" s="160"/>
      <c r="AF270" s="160"/>
      <c r="AG270" s="160"/>
      <c r="AH270" s="160"/>
      <c r="AI270" s="160"/>
      <c r="AJ270" s="160"/>
      <c r="AK270" s="160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</row>
    <row r="271" spans="1:58" ht="51" customHeight="1" x14ac:dyDescent="0.25">
      <c r="A271" s="45">
        <v>1</v>
      </c>
      <c r="B271" s="308" t="s">
        <v>258</v>
      </c>
      <c r="C271" s="308"/>
      <c r="D271" s="308"/>
      <c r="E271" s="308"/>
      <c r="F271" s="9"/>
      <c r="G271" s="9"/>
      <c r="H271" s="9"/>
      <c r="I271" s="9"/>
      <c r="J271" s="9"/>
      <c r="K271" s="3" t="s">
        <v>100</v>
      </c>
      <c r="L271" s="241" t="s">
        <v>263</v>
      </c>
      <c r="M271" s="242"/>
      <c r="N271" s="3"/>
      <c r="O271" s="3"/>
      <c r="P271" s="243">
        <f>17.5+5+10.659</f>
        <v>33.158999999999999</v>
      </c>
      <c r="Q271" s="244"/>
      <c r="R271" s="282"/>
      <c r="S271" s="283"/>
      <c r="T271" s="249">
        <f t="shared" si="23"/>
        <v>33.158999999999999</v>
      </c>
      <c r="U271" s="250"/>
      <c r="V271" s="272">
        <f>33.1599</f>
        <v>33.1599</v>
      </c>
      <c r="W271" s="273"/>
      <c r="X271" s="1"/>
      <c r="Y271" s="6">
        <f t="shared" si="24"/>
        <v>33.1599</v>
      </c>
      <c r="Z271" s="58">
        <f t="shared" si="25"/>
        <v>9.0000000000145519E-4</v>
      </c>
      <c r="AA271" s="6"/>
      <c r="AB271" s="6">
        <f t="shared" si="26"/>
        <v>9.0000000000145519E-4</v>
      </c>
      <c r="AD271" s="33"/>
      <c r="AE271" s="224"/>
      <c r="AF271" s="224"/>
      <c r="AG271" s="224"/>
      <c r="AH271" s="224"/>
      <c r="AI271" s="224"/>
      <c r="AJ271" s="224"/>
      <c r="AK271" s="224"/>
      <c r="AL271" s="224"/>
      <c r="AM271" s="224"/>
      <c r="AN271" s="224"/>
      <c r="AO271" s="224"/>
      <c r="AP271" s="224"/>
      <c r="AQ271" s="224"/>
      <c r="AR271" s="224"/>
      <c r="AS271" s="224"/>
      <c r="AT271" s="224"/>
      <c r="AU271" s="224"/>
      <c r="AV271" s="224"/>
      <c r="AW271" s="33"/>
    </row>
    <row r="272" spans="1:58" ht="36.75" customHeight="1" x14ac:dyDescent="0.25">
      <c r="A272" s="45">
        <v>2</v>
      </c>
      <c r="B272" s="308" t="s">
        <v>259</v>
      </c>
      <c r="C272" s="308"/>
      <c r="D272" s="308"/>
      <c r="E272" s="308"/>
      <c r="F272" s="9"/>
      <c r="G272" s="9"/>
      <c r="H272" s="9"/>
      <c r="I272" s="9"/>
      <c r="J272" s="9"/>
      <c r="K272" s="3" t="s">
        <v>100</v>
      </c>
      <c r="L272" s="241" t="s">
        <v>263</v>
      </c>
      <c r="M272" s="242"/>
      <c r="N272" s="3"/>
      <c r="O272" s="3"/>
      <c r="P272" s="243">
        <f>32.2+18</f>
        <v>50.2</v>
      </c>
      <c r="Q272" s="244"/>
      <c r="R272" s="282"/>
      <c r="S272" s="283"/>
      <c r="T272" s="249">
        <f t="shared" si="23"/>
        <v>50.2</v>
      </c>
      <c r="U272" s="250"/>
      <c r="V272" s="272">
        <f>52.143</f>
        <v>52.143000000000001</v>
      </c>
      <c r="W272" s="273"/>
      <c r="X272" s="1"/>
      <c r="Y272" s="6">
        <f t="shared" si="24"/>
        <v>52.143000000000001</v>
      </c>
      <c r="Z272" s="58">
        <f t="shared" si="25"/>
        <v>1.9429999999999978</v>
      </c>
      <c r="AA272" s="6"/>
      <c r="AB272" s="6">
        <f t="shared" si="26"/>
        <v>1.9429999999999978</v>
      </c>
      <c r="AD272" s="33"/>
      <c r="AE272" s="224"/>
      <c r="AF272" s="224"/>
      <c r="AG272" s="224"/>
      <c r="AH272" s="224"/>
      <c r="AI272" s="224"/>
      <c r="AJ272" s="224"/>
      <c r="AK272" s="224"/>
      <c r="AL272" s="224"/>
      <c r="AM272" s="224"/>
      <c r="AN272" s="224"/>
      <c r="AO272" s="224"/>
      <c r="AP272" s="224"/>
      <c r="AQ272" s="224"/>
      <c r="AR272" s="224"/>
      <c r="AS272" s="224"/>
      <c r="AT272" s="224"/>
      <c r="AU272" s="224"/>
      <c r="AV272" s="224"/>
      <c r="AW272" s="33"/>
    </row>
    <row r="273" spans="1:49" ht="18" customHeight="1" x14ac:dyDescent="0.25">
      <c r="A273" s="45"/>
      <c r="B273" s="296" t="s">
        <v>162</v>
      </c>
      <c r="C273" s="296"/>
      <c r="D273" s="296"/>
      <c r="E273" s="296"/>
      <c r="F273" s="9"/>
      <c r="G273" s="9"/>
      <c r="H273" s="9"/>
      <c r="I273" s="9"/>
      <c r="J273" s="9"/>
      <c r="K273" s="3"/>
      <c r="L273" s="241"/>
      <c r="M273" s="242"/>
      <c r="N273" s="3"/>
      <c r="O273" s="3"/>
      <c r="P273" s="243"/>
      <c r="Q273" s="244"/>
      <c r="R273" s="282"/>
      <c r="S273" s="283"/>
      <c r="T273" s="249"/>
      <c r="U273" s="250"/>
      <c r="V273" s="223"/>
      <c r="W273" s="228"/>
      <c r="X273" s="1"/>
      <c r="Y273" s="6"/>
      <c r="Z273" s="58"/>
      <c r="AA273" s="6"/>
      <c r="AB273" s="6"/>
      <c r="AD273" s="57"/>
      <c r="AE273" s="160"/>
      <c r="AF273" s="160"/>
      <c r="AG273" s="160"/>
      <c r="AH273" s="160"/>
      <c r="AI273" s="160"/>
      <c r="AJ273" s="160"/>
      <c r="AK273" s="160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</row>
    <row r="274" spans="1:49" ht="48.75" customHeight="1" x14ac:dyDescent="0.25">
      <c r="A274" s="45">
        <v>1</v>
      </c>
      <c r="B274" s="308" t="s">
        <v>260</v>
      </c>
      <c r="C274" s="308"/>
      <c r="D274" s="308"/>
      <c r="E274" s="308"/>
      <c r="F274" s="9"/>
      <c r="G274" s="9"/>
      <c r="H274" s="9"/>
      <c r="I274" s="9"/>
      <c r="J274" s="9"/>
      <c r="K274" s="3" t="s">
        <v>30</v>
      </c>
      <c r="L274" s="241" t="s">
        <v>78</v>
      </c>
      <c r="M274" s="242"/>
      <c r="N274" s="3"/>
      <c r="O274" s="3"/>
      <c r="P274" s="243">
        <f>P268/P271/1000</f>
        <v>304.59302150245787</v>
      </c>
      <c r="Q274" s="244"/>
      <c r="R274" s="282"/>
      <c r="S274" s="283"/>
      <c r="T274" s="282">
        <f t="shared" si="23"/>
        <v>304.59302150245787</v>
      </c>
      <c r="U274" s="283"/>
      <c r="V274" s="233">
        <f>V268/V271/1000</f>
        <v>303.75908914079952</v>
      </c>
      <c r="W274" s="228"/>
      <c r="X274" s="1"/>
      <c r="Y274" s="6">
        <f t="shared" si="24"/>
        <v>303.75908914079952</v>
      </c>
      <c r="Z274" s="58">
        <f t="shared" si="25"/>
        <v>-0.8339323616583556</v>
      </c>
      <c r="AA274" s="6"/>
      <c r="AB274" s="6">
        <f t="shared" si="26"/>
        <v>-0.8339323616583556</v>
      </c>
      <c r="AD274" s="57"/>
      <c r="AE274" s="160"/>
      <c r="AF274" s="160"/>
      <c r="AG274" s="160"/>
      <c r="AH274" s="160"/>
      <c r="AI274" s="160"/>
      <c r="AJ274" s="160"/>
      <c r="AK274" s="160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</row>
    <row r="275" spans="1:49" ht="36" customHeight="1" x14ac:dyDescent="0.25">
      <c r="A275" s="45">
        <v>2</v>
      </c>
      <c r="B275" s="308" t="s">
        <v>261</v>
      </c>
      <c r="C275" s="308"/>
      <c r="D275" s="308"/>
      <c r="E275" s="308"/>
      <c r="F275" s="9"/>
      <c r="G275" s="9"/>
      <c r="H275" s="9"/>
      <c r="I275" s="9"/>
      <c r="J275" s="9"/>
      <c r="K275" s="3" t="s">
        <v>30</v>
      </c>
      <c r="L275" s="241" t="s">
        <v>78</v>
      </c>
      <c r="M275" s="242"/>
      <c r="N275" s="3"/>
      <c r="O275" s="3"/>
      <c r="P275" s="243">
        <f>P269/P272/1000</f>
        <v>159.36254980079681</v>
      </c>
      <c r="Q275" s="244"/>
      <c r="R275" s="282"/>
      <c r="S275" s="283"/>
      <c r="T275" s="282">
        <f t="shared" si="23"/>
        <v>159.36254980079681</v>
      </c>
      <c r="U275" s="283"/>
      <c r="V275" s="233">
        <f>V269/V272/1000</f>
        <v>153.42323878564719</v>
      </c>
      <c r="W275" s="228"/>
      <c r="X275" s="1"/>
      <c r="Y275" s="6">
        <f t="shared" si="24"/>
        <v>153.42323878564719</v>
      </c>
      <c r="Z275" s="58">
        <f t="shared" si="25"/>
        <v>-5.9393110151496273</v>
      </c>
      <c r="AA275" s="6"/>
      <c r="AB275" s="6">
        <f t="shared" si="26"/>
        <v>-5.9393110151496273</v>
      </c>
      <c r="AD275" s="33"/>
      <c r="AE275" s="224"/>
      <c r="AF275" s="224"/>
      <c r="AG275" s="224"/>
      <c r="AH275" s="224"/>
      <c r="AI275" s="224"/>
      <c r="AJ275" s="224"/>
      <c r="AK275" s="224"/>
      <c r="AL275" s="224"/>
      <c r="AM275" s="224"/>
      <c r="AN275" s="224"/>
      <c r="AO275" s="224"/>
      <c r="AP275" s="224"/>
      <c r="AQ275" s="224"/>
      <c r="AR275" s="224"/>
      <c r="AS275" s="224"/>
      <c r="AT275" s="224"/>
      <c r="AU275" s="224"/>
      <c r="AV275" s="224"/>
      <c r="AW275" s="33"/>
    </row>
    <row r="276" spans="1:49" ht="16.5" customHeight="1" x14ac:dyDescent="0.25">
      <c r="A276" s="45"/>
      <c r="B276" s="281" t="s">
        <v>124</v>
      </c>
      <c r="C276" s="281"/>
      <c r="D276" s="281"/>
      <c r="E276" s="281"/>
      <c r="F276" s="281"/>
      <c r="G276" s="281"/>
      <c r="H276" s="281"/>
      <c r="I276" s="281"/>
      <c r="J276" s="281"/>
      <c r="K276" s="3"/>
      <c r="L276" s="241"/>
      <c r="M276" s="242"/>
      <c r="N276" s="3"/>
      <c r="O276" s="3"/>
      <c r="P276" s="243"/>
      <c r="Q276" s="244"/>
      <c r="R276" s="282"/>
      <c r="S276" s="283"/>
      <c r="T276" s="249"/>
      <c r="U276" s="250"/>
      <c r="V276" s="223"/>
      <c r="W276" s="223"/>
      <c r="X276" s="1"/>
      <c r="Y276" s="6"/>
      <c r="Z276" s="58"/>
      <c r="AA276" s="6"/>
      <c r="AB276" s="6"/>
      <c r="AD276" s="33"/>
      <c r="AE276" s="224"/>
      <c r="AF276" s="224"/>
      <c r="AG276" s="224"/>
      <c r="AH276" s="224"/>
      <c r="AI276" s="224"/>
      <c r="AJ276" s="224"/>
      <c r="AK276" s="224"/>
      <c r="AL276" s="224"/>
      <c r="AM276" s="224"/>
      <c r="AN276" s="224"/>
      <c r="AO276" s="224"/>
      <c r="AP276" s="224"/>
      <c r="AQ276" s="224"/>
      <c r="AR276" s="224"/>
      <c r="AS276" s="224"/>
      <c r="AT276" s="224"/>
      <c r="AU276" s="224"/>
      <c r="AV276" s="224"/>
      <c r="AW276" s="33"/>
    </row>
    <row r="277" spans="1:49" ht="66" customHeight="1" x14ac:dyDescent="0.25">
      <c r="A277" s="45"/>
      <c r="B277" s="402" t="s">
        <v>262</v>
      </c>
      <c r="C277" s="402"/>
      <c r="D277" s="402"/>
      <c r="E277" s="402"/>
      <c r="F277" s="9"/>
      <c r="G277" s="9"/>
      <c r="H277" s="9"/>
      <c r="I277" s="9"/>
      <c r="J277" s="9"/>
      <c r="K277" s="3" t="s">
        <v>0</v>
      </c>
      <c r="L277" s="241" t="s">
        <v>78</v>
      </c>
      <c r="M277" s="242"/>
      <c r="N277" s="3"/>
      <c r="O277" s="3"/>
      <c r="P277" s="239">
        <f>(P271+P272)/3636.828*100</f>
        <v>2.2920798014093604</v>
      </c>
      <c r="Q277" s="240"/>
      <c r="R277" s="251"/>
      <c r="S277" s="252"/>
      <c r="T277" s="251">
        <f t="shared" si="23"/>
        <v>2.2920798014093604</v>
      </c>
      <c r="U277" s="252"/>
      <c r="V277" s="231">
        <f>(V271+V272)/3636.828*100</f>
        <v>2.3455302257901667</v>
      </c>
      <c r="W277" s="223"/>
      <c r="X277" s="1"/>
      <c r="Y277" s="6">
        <f t="shared" si="24"/>
        <v>2.3455302257901667</v>
      </c>
      <c r="Z277" s="6">
        <f t="shared" si="25"/>
        <v>5.3450424380806272E-2</v>
      </c>
      <c r="AA277" s="6"/>
      <c r="AB277" s="6">
        <f t="shared" si="26"/>
        <v>5.3450424380806272E-2</v>
      </c>
      <c r="AD277" s="57"/>
      <c r="AE277" s="160"/>
      <c r="AF277" s="160"/>
      <c r="AG277" s="160"/>
      <c r="AH277" s="160"/>
      <c r="AI277" s="160"/>
      <c r="AJ277" s="160"/>
      <c r="AK277" s="160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</row>
    <row r="278" spans="1:49" ht="7.5" customHeight="1" x14ac:dyDescent="0.25">
      <c r="A278" s="205"/>
      <c r="B278" s="206"/>
      <c r="C278" s="206"/>
      <c r="D278" s="206"/>
      <c r="E278" s="206"/>
      <c r="F278" s="207"/>
      <c r="G278" s="207"/>
      <c r="H278" s="207"/>
      <c r="I278" s="207"/>
      <c r="J278" s="207"/>
      <c r="K278" s="49"/>
      <c r="L278" s="208"/>
      <c r="M278" s="208"/>
      <c r="N278" s="49"/>
      <c r="O278" s="49"/>
      <c r="P278" s="160"/>
      <c r="Q278" s="160"/>
      <c r="R278" s="209"/>
      <c r="S278" s="209"/>
      <c r="T278" s="210"/>
      <c r="U278" s="210"/>
      <c r="V278" s="211"/>
      <c r="W278" s="211"/>
      <c r="X278" s="212"/>
      <c r="Y278" s="213"/>
      <c r="Z278" s="213"/>
      <c r="AA278" s="213"/>
      <c r="AB278" s="213"/>
      <c r="AD278" s="57"/>
      <c r="AE278" s="160"/>
      <c r="AF278" s="160"/>
      <c r="AG278" s="160"/>
      <c r="AH278" s="160"/>
      <c r="AI278" s="160"/>
      <c r="AJ278" s="160"/>
      <c r="AK278" s="160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</row>
    <row r="279" spans="1:49" ht="19.5" customHeight="1" x14ac:dyDescent="0.25">
      <c r="A279" s="173" t="s">
        <v>31</v>
      </c>
      <c r="B279" s="173"/>
      <c r="C279" s="173"/>
      <c r="D279" s="173"/>
      <c r="E279" s="173"/>
      <c r="F279" s="173"/>
      <c r="G279" s="173"/>
      <c r="H279" s="173"/>
      <c r="I279" s="173"/>
      <c r="J279" s="173"/>
      <c r="K279" s="173"/>
      <c r="L279" s="173"/>
      <c r="M279" s="173"/>
      <c r="N279" s="173"/>
      <c r="O279" s="173"/>
      <c r="P279" s="173"/>
      <c r="Q279" s="173"/>
      <c r="R279" s="173"/>
      <c r="S279" s="170"/>
      <c r="T279" s="170"/>
      <c r="U279" s="170"/>
      <c r="V279" s="170"/>
      <c r="W279" s="170"/>
      <c r="X279" s="170"/>
      <c r="Y279" s="170"/>
      <c r="Z279" s="55"/>
      <c r="AA279" s="170"/>
      <c r="AB279" s="170"/>
      <c r="AD279" s="33"/>
      <c r="AE279" s="33"/>
      <c r="AF279" s="33"/>
      <c r="AG279" s="33"/>
      <c r="AH279" s="156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</row>
    <row r="280" spans="1:49" ht="10.5" customHeight="1" x14ac:dyDescent="0.25">
      <c r="A280" s="171"/>
      <c r="B280"/>
      <c r="C280"/>
      <c r="D280"/>
      <c r="E280" s="172"/>
      <c r="F280" s="172"/>
      <c r="G280" s="172"/>
      <c r="H280" s="172"/>
      <c r="I280" s="172"/>
      <c r="J280" s="172"/>
      <c r="K280" s="172"/>
      <c r="L280" s="172"/>
      <c r="M280" s="172"/>
      <c r="N280" s="172"/>
      <c r="O280" s="172"/>
      <c r="P280" s="172"/>
      <c r="Q280" s="172"/>
      <c r="R280" s="172"/>
      <c r="S280" s="170"/>
      <c r="T280" s="170"/>
      <c r="U280" s="170"/>
      <c r="V280" s="170"/>
      <c r="W280" s="170"/>
      <c r="X280" s="170"/>
      <c r="Y280" s="170"/>
      <c r="Z280" s="170"/>
      <c r="AA280" s="170"/>
      <c r="AB280" s="170"/>
      <c r="AD280" s="198"/>
      <c r="AE280" s="33"/>
      <c r="AF280" s="33"/>
      <c r="AG280" s="33"/>
      <c r="AH280" s="155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</row>
    <row r="281" spans="1:49" ht="34.5" customHeight="1" x14ac:dyDescent="0.25">
      <c r="A281" s="169" t="s">
        <v>51</v>
      </c>
      <c r="B281" s="169" t="s">
        <v>56</v>
      </c>
      <c r="C281" s="169" t="s">
        <v>54</v>
      </c>
      <c r="D281" s="504" t="s">
        <v>29</v>
      </c>
      <c r="E281" s="504"/>
      <c r="F281" s="504"/>
      <c r="G281" s="504"/>
      <c r="H281" s="504"/>
      <c r="I281" s="504"/>
      <c r="J281" s="504"/>
      <c r="K281" s="504"/>
      <c r="L281" s="504"/>
      <c r="M281" s="504"/>
      <c r="N281" s="504"/>
      <c r="O281" s="504"/>
      <c r="P281" s="504"/>
      <c r="Q281" s="504"/>
      <c r="R281" s="504"/>
      <c r="S281" s="504"/>
      <c r="T281" s="504"/>
      <c r="U281" s="504"/>
      <c r="V281" s="504"/>
      <c r="W281" s="504"/>
      <c r="X281" s="504"/>
      <c r="Y281" s="504"/>
      <c r="Z281" s="504"/>
      <c r="AA281" s="504"/>
      <c r="AB281" s="504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</row>
    <row r="282" spans="1:49" ht="18" customHeight="1" x14ac:dyDescent="0.25">
      <c r="A282" s="169">
        <v>1</v>
      </c>
      <c r="B282" s="169">
        <v>2</v>
      </c>
      <c r="C282" s="169">
        <v>3</v>
      </c>
      <c r="D282" s="509">
        <v>4</v>
      </c>
      <c r="E282" s="510"/>
      <c r="F282" s="510"/>
      <c r="G282" s="510"/>
      <c r="H282" s="510"/>
      <c r="I282" s="510"/>
      <c r="J282" s="510"/>
      <c r="K282" s="510"/>
      <c r="L282" s="510"/>
      <c r="M282" s="510"/>
      <c r="N282" s="510"/>
      <c r="O282" s="510"/>
      <c r="P282" s="510"/>
      <c r="Q282" s="510"/>
      <c r="R282" s="510"/>
      <c r="S282" s="510"/>
      <c r="T282" s="510"/>
      <c r="U282" s="510"/>
      <c r="V282" s="510"/>
      <c r="W282" s="510"/>
      <c r="X282" s="510"/>
      <c r="Y282" s="510"/>
      <c r="Z282" s="510"/>
      <c r="AA282" s="510"/>
      <c r="AB282" s="511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</row>
    <row r="283" spans="1:49" ht="20.25" customHeight="1" x14ac:dyDescent="0.25">
      <c r="A283" s="169"/>
      <c r="B283" s="297" t="s">
        <v>59</v>
      </c>
      <c r="C283" s="298"/>
      <c r="D283" s="298"/>
      <c r="E283" s="298"/>
      <c r="F283" s="298"/>
      <c r="G283" s="298"/>
      <c r="H283" s="298"/>
      <c r="I283" s="298"/>
      <c r="J283" s="298"/>
      <c r="K283" s="298"/>
      <c r="L283" s="298"/>
      <c r="M283" s="298"/>
      <c r="N283" s="298"/>
      <c r="O283" s="298"/>
      <c r="P283" s="298"/>
      <c r="Q283" s="298"/>
      <c r="R283" s="298"/>
      <c r="S283" s="298"/>
      <c r="T283" s="298"/>
      <c r="U283" s="298"/>
      <c r="V283" s="298"/>
      <c r="W283" s="298"/>
      <c r="X283" s="298"/>
      <c r="Y283" s="298"/>
      <c r="Z283" s="298"/>
      <c r="AA283" s="298"/>
      <c r="AB283" s="299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</row>
    <row r="284" spans="1:49" ht="24" customHeight="1" x14ac:dyDescent="0.25">
      <c r="A284" s="169">
        <v>1</v>
      </c>
      <c r="B284" s="169" t="s">
        <v>121</v>
      </c>
      <c r="C284" s="169" t="s">
        <v>30</v>
      </c>
      <c r="D284" s="300" t="s">
        <v>277</v>
      </c>
      <c r="E284" s="300"/>
      <c r="F284" s="300"/>
      <c r="G284" s="300"/>
      <c r="H284" s="300"/>
      <c r="I284" s="300"/>
      <c r="J284" s="300"/>
      <c r="K284" s="300"/>
      <c r="L284" s="300"/>
      <c r="M284" s="300"/>
      <c r="N284" s="300"/>
      <c r="O284" s="300"/>
      <c r="P284" s="300"/>
      <c r="Q284" s="300"/>
      <c r="R284" s="300"/>
      <c r="S284" s="300"/>
      <c r="T284" s="300"/>
      <c r="U284" s="300"/>
      <c r="V284" s="300"/>
      <c r="W284" s="300"/>
      <c r="X284" s="300"/>
      <c r="Y284" s="300"/>
      <c r="Z284" s="300"/>
      <c r="AA284" s="300"/>
      <c r="AB284" s="300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</row>
    <row r="285" spans="1:49" ht="36" customHeight="1" x14ac:dyDescent="0.25">
      <c r="A285" s="169">
        <v>2</v>
      </c>
      <c r="B285" s="169" t="s">
        <v>122</v>
      </c>
      <c r="C285" s="169" t="s">
        <v>231</v>
      </c>
      <c r="D285" s="247" t="s">
        <v>285</v>
      </c>
      <c r="E285" s="247"/>
      <c r="F285" s="247"/>
      <c r="G285" s="247"/>
      <c r="H285" s="247"/>
      <c r="I285" s="247"/>
      <c r="J285" s="247"/>
      <c r="K285" s="247"/>
      <c r="L285" s="247"/>
      <c r="M285" s="247"/>
      <c r="N285" s="247"/>
      <c r="O285" s="247"/>
      <c r="P285" s="247"/>
      <c r="Q285" s="247"/>
      <c r="R285" s="247"/>
      <c r="S285" s="247"/>
      <c r="T285" s="247"/>
      <c r="U285" s="247"/>
      <c r="V285" s="247"/>
      <c r="W285" s="247"/>
      <c r="X285" s="247"/>
      <c r="Y285" s="247"/>
      <c r="Z285" s="247"/>
      <c r="AA285" s="247"/>
      <c r="AB285" s="247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</row>
    <row r="286" spans="1:49" ht="39.75" customHeight="1" x14ac:dyDescent="0.25">
      <c r="A286" s="169">
        <v>3</v>
      </c>
      <c r="B286" s="169" t="s">
        <v>123</v>
      </c>
      <c r="C286" s="169" t="s">
        <v>30</v>
      </c>
      <c r="D286" s="247" t="s">
        <v>303</v>
      </c>
      <c r="E286" s="247"/>
      <c r="F286" s="247"/>
      <c r="G286" s="247"/>
      <c r="H286" s="247"/>
      <c r="I286" s="247"/>
      <c r="J286" s="247"/>
      <c r="K286" s="247"/>
      <c r="L286" s="247"/>
      <c r="M286" s="247"/>
      <c r="N286" s="247"/>
      <c r="O286" s="247"/>
      <c r="P286" s="247"/>
      <c r="Q286" s="247"/>
      <c r="R286" s="247"/>
      <c r="S286" s="247"/>
      <c r="T286" s="247"/>
      <c r="U286" s="247"/>
      <c r="V286" s="247"/>
      <c r="W286" s="247"/>
      <c r="X286" s="247"/>
      <c r="Y286" s="247"/>
      <c r="Z286" s="247"/>
      <c r="AA286" s="247"/>
      <c r="AB286" s="247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</row>
    <row r="287" spans="1:49" ht="23.25" customHeight="1" x14ac:dyDescent="0.25">
      <c r="A287" s="169">
        <v>4</v>
      </c>
      <c r="B287" s="169" t="s">
        <v>124</v>
      </c>
      <c r="C287" s="169" t="s">
        <v>0</v>
      </c>
      <c r="D287" s="270" t="s">
        <v>312</v>
      </c>
      <c r="E287" s="270"/>
      <c r="F287" s="270"/>
      <c r="G287" s="270"/>
      <c r="H287" s="270"/>
      <c r="I287" s="270"/>
      <c r="J287" s="270"/>
      <c r="K287" s="270"/>
      <c r="L287" s="270"/>
      <c r="M287" s="270"/>
      <c r="N287" s="270"/>
      <c r="O287" s="270"/>
      <c r="P287" s="270"/>
      <c r="Q287" s="270"/>
      <c r="R287" s="270"/>
      <c r="S287" s="270"/>
      <c r="T287" s="270"/>
      <c r="U287" s="270"/>
      <c r="V287" s="270"/>
      <c r="W287" s="270"/>
      <c r="X287" s="270"/>
      <c r="Y287" s="270"/>
      <c r="Z287" s="270"/>
      <c r="AA287" s="270"/>
      <c r="AB287" s="270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</row>
    <row r="288" spans="1:49" ht="21" customHeight="1" x14ac:dyDescent="0.25">
      <c r="A288" s="176"/>
      <c r="B288" s="199" t="s">
        <v>60</v>
      </c>
      <c r="C288" s="177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2"/>
      <c r="Q288" s="182"/>
      <c r="R288" s="182"/>
      <c r="S288" s="182"/>
      <c r="T288" s="182"/>
      <c r="U288" s="182"/>
      <c r="V288" s="182"/>
      <c r="W288" s="182"/>
      <c r="X288" s="182"/>
      <c r="Y288" s="182"/>
      <c r="Z288" s="182"/>
      <c r="AA288" s="182"/>
      <c r="AB288" s="18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</row>
    <row r="289" spans="1:42" ht="21.75" customHeight="1" x14ac:dyDescent="0.25">
      <c r="A289" s="169">
        <v>1</v>
      </c>
      <c r="B289" s="169" t="s">
        <v>121</v>
      </c>
      <c r="C289" s="169" t="s">
        <v>30</v>
      </c>
      <c r="D289" s="271" t="s">
        <v>272</v>
      </c>
      <c r="E289" s="271"/>
      <c r="F289" s="271"/>
      <c r="G289" s="271"/>
      <c r="H289" s="271"/>
      <c r="I289" s="271"/>
      <c r="J289" s="271"/>
      <c r="K289" s="271"/>
      <c r="L289" s="271"/>
      <c r="M289" s="271"/>
      <c r="N289" s="271"/>
      <c r="O289" s="271"/>
      <c r="P289" s="271"/>
      <c r="Q289" s="271"/>
      <c r="R289" s="271"/>
      <c r="S289" s="271"/>
      <c r="T289" s="271"/>
      <c r="U289" s="271"/>
      <c r="V289" s="271"/>
      <c r="W289" s="271"/>
      <c r="X289" s="271"/>
      <c r="Y289" s="271"/>
      <c r="Z289" s="271"/>
      <c r="AA289" s="271"/>
      <c r="AB289" s="271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</row>
    <row r="290" spans="1:42" ht="21.75" customHeight="1" x14ac:dyDescent="0.25">
      <c r="A290" s="169">
        <v>2</v>
      </c>
      <c r="B290" s="169" t="s">
        <v>122</v>
      </c>
      <c r="C290" s="169" t="s">
        <v>73</v>
      </c>
      <c r="D290" s="271" t="s">
        <v>278</v>
      </c>
      <c r="E290" s="271"/>
      <c r="F290" s="271"/>
      <c r="G290" s="271"/>
      <c r="H290" s="271"/>
      <c r="I290" s="271"/>
      <c r="J290" s="271"/>
      <c r="K290" s="271"/>
      <c r="L290" s="271"/>
      <c r="M290" s="271"/>
      <c r="N290" s="271"/>
      <c r="O290" s="271"/>
      <c r="P290" s="271"/>
      <c r="Q290" s="271"/>
      <c r="R290" s="271"/>
      <c r="S290" s="271"/>
      <c r="T290" s="271"/>
      <c r="U290" s="271"/>
      <c r="V290" s="271"/>
      <c r="W290" s="271"/>
      <c r="X290" s="271"/>
      <c r="Y290" s="271"/>
      <c r="Z290" s="271"/>
      <c r="AA290" s="271"/>
      <c r="AB290" s="271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</row>
    <row r="291" spans="1:42" ht="24.75" customHeight="1" x14ac:dyDescent="0.25">
      <c r="A291" s="169">
        <v>3</v>
      </c>
      <c r="B291" s="169" t="s">
        <v>123</v>
      </c>
      <c r="C291" s="169" t="s">
        <v>30</v>
      </c>
      <c r="D291" s="271" t="s">
        <v>286</v>
      </c>
      <c r="E291" s="271"/>
      <c r="F291" s="271"/>
      <c r="G291" s="271"/>
      <c r="H291" s="271"/>
      <c r="I291" s="271"/>
      <c r="J291" s="271"/>
      <c r="K291" s="271"/>
      <c r="L291" s="271"/>
      <c r="M291" s="271"/>
      <c r="N291" s="271"/>
      <c r="O291" s="271"/>
      <c r="P291" s="271"/>
      <c r="Q291" s="271"/>
      <c r="R291" s="271"/>
      <c r="S291" s="271"/>
      <c r="T291" s="271"/>
      <c r="U291" s="271"/>
      <c r="V291" s="271"/>
      <c r="W291" s="271"/>
      <c r="X291" s="271"/>
      <c r="Y291" s="271"/>
      <c r="Z291" s="271"/>
      <c r="AA291" s="271"/>
      <c r="AB291" s="271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</row>
    <row r="292" spans="1:42" ht="21.75" customHeight="1" x14ac:dyDescent="0.25">
      <c r="A292" s="169">
        <v>4</v>
      </c>
      <c r="B292" s="169" t="s">
        <v>124</v>
      </c>
      <c r="C292" s="169" t="s">
        <v>0</v>
      </c>
      <c r="D292" s="271" t="s">
        <v>278</v>
      </c>
      <c r="E292" s="271"/>
      <c r="F292" s="271"/>
      <c r="G292" s="271"/>
      <c r="H292" s="271"/>
      <c r="I292" s="271"/>
      <c r="J292" s="271"/>
      <c r="K292" s="271"/>
      <c r="L292" s="271"/>
      <c r="M292" s="271"/>
      <c r="N292" s="271"/>
      <c r="O292" s="271"/>
      <c r="P292" s="271"/>
      <c r="Q292" s="271"/>
      <c r="R292" s="271"/>
      <c r="S292" s="271"/>
      <c r="T292" s="271"/>
      <c r="U292" s="271"/>
      <c r="V292" s="271"/>
      <c r="W292" s="271"/>
      <c r="X292" s="271"/>
      <c r="Y292" s="271"/>
      <c r="Z292" s="271"/>
      <c r="AA292" s="271"/>
      <c r="AB292" s="271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</row>
    <row r="293" spans="1:42" ht="20.25" customHeight="1" x14ac:dyDescent="0.25">
      <c r="A293" s="176"/>
      <c r="B293" s="298" t="s">
        <v>61</v>
      </c>
      <c r="C293" s="298"/>
      <c r="D293" s="298"/>
      <c r="E293" s="298"/>
      <c r="F293" s="298"/>
      <c r="G293" s="298"/>
      <c r="H293" s="298"/>
      <c r="I293" s="298"/>
      <c r="J293" s="298"/>
      <c r="K293" s="298"/>
      <c r="L293" s="298"/>
      <c r="M293" s="298"/>
      <c r="N293" s="298"/>
      <c r="O293" s="298"/>
      <c r="P293" s="298"/>
      <c r="Q293" s="298"/>
      <c r="R293" s="182"/>
      <c r="S293" s="182"/>
      <c r="T293" s="182"/>
      <c r="U293" s="182"/>
      <c r="V293" s="182"/>
      <c r="W293" s="182"/>
      <c r="X293" s="182"/>
      <c r="Y293" s="182"/>
      <c r="Z293" s="182"/>
      <c r="AA293" s="182"/>
      <c r="AB293" s="18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</row>
    <row r="294" spans="1:42" ht="25.5" customHeight="1" x14ac:dyDescent="0.25">
      <c r="A294" s="169">
        <v>1</v>
      </c>
      <c r="B294" s="169" t="s">
        <v>121</v>
      </c>
      <c r="C294" s="169" t="s">
        <v>30</v>
      </c>
      <c r="D294" s="270" t="s">
        <v>313</v>
      </c>
      <c r="E294" s="270"/>
      <c r="F294" s="270"/>
      <c r="G294" s="270"/>
      <c r="H294" s="270"/>
      <c r="I294" s="270"/>
      <c r="J294" s="270"/>
      <c r="K294" s="270"/>
      <c r="L294" s="270"/>
      <c r="M294" s="270"/>
      <c r="N294" s="270"/>
      <c r="O294" s="270"/>
      <c r="P294" s="270"/>
      <c r="Q294" s="270"/>
      <c r="R294" s="270"/>
      <c r="S294" s="270"/>
      <c r="T294" s="270"/>
      <c r="U294" s="270"/>
      <c r="V294" s="270"/>
      <c r="W294" s="270"/>
      <c r="X294" s="270"/>
      <c r="Y294" s="270"/>
      <c r="Z294" s="270"/>
      <c r="AA294" s="270"/>
      <c r="AB294" s="270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</row>
    <row r="295" spans="1:42" ht="37.5" customHeight="1" x14ac:dyDescent="0.25">
      <c r="A295" s="169">
        <v>2</v>
      </c>
      <c r="B295" s="169" t="s">
        <v>122</v>
      </c>
      <c r="C295" s="169" t="s">
        <v>73</v>
      </c>
      <c r="D295" s="247" t="s">
        <v>270</v>
      </c>
      <c r="E295" s="247"/>
      <c r="F295" s="247"/>
      <c r="G295" s="247"/>
      <c r="H295" s="247"/>
      <c r="I295" s="247"/>
      <c r="J295" s="247"/>
      <c r="K295" s="247"/>
      <c r="L295" s="247"/>
      <c r="M295" s="247"/>
      <c r="N295" s="247"/>
      <c r="O295" s="247"/>
      <c r="P295" s="247"/>
      <c r="Q295" s="247"/>
      <c r="R295" s="247"/>
      <c r="S295" s="247"/>
      <c r="T295" s="247"/>
      <c r="U295" s="247"/>
      <c r="V295" s="247"/>
      <c r="W295" s="247"/>
      <c r="X295" s="247"/>
      <c r="Y295" s="247"/>
      <c r="Z295" s="247"/>
      <c r="AA295" s="247"/>
      <c r="AB295" s="247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</row>
    <row r="296" spans="1:42" ht="35.25" customHeight="1" x14ac:dyDescent="0.25">
      <c r="A296" s="169">
        <v>3</v>
      </c>
      <c r="B296" s="169" t="s">
        <v>123</v>
      </c>
      <c r="C296" s="169" t="s">
        <v>30</v>
      </c>
      <c r="D296" s="247" t="s">
        <v>271</v>
      </c>
      <c r="E296" s="247"/>
      <c r="F296" s="247"/>
      <c r="G296" s="247"/>
      <c r="H296" s="247"/>
      <c r="I296" s="247"/>
      <c r="J296" s="247"/>
      <c r="K296" s="247"/>
      <c r="L296" s="247"/>
      <c r="M296" s="247"/>
      <c r="N296" s="247"/>
      <c r="O296" s="247"/>
      <c r="P296" s="247"/>
      <c r="Q296" s="247"/>
      <c r="R296" s="247"/>
      <c r="S296" s="247"/>
      <c r="T296" s="247"/>
      <c r="U296" s="247"/>
      <c r="V296" s="247"/>
      <c r="W296" s="247"/>
      <c r="X296" s="247"/>
      <c r="Y296" s="247"/>
      <c r="Z296" s="247"/>
      <c r="AA296" s="247"/>
      <c r="AB296" s="247"/>
      <c r="AD296" s="57" t="s">
        <v>269</v>
      </c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</row>
    <row r="297" spans="1:42" ht="20.25" customHeight="1" x14ac:dyDescent="0.25">
      <c r="A297" s="169">
        <v>4</v>
      </c>
      <c r="B297" s="169" t="s">
        <v>124</v>
      </c>
      <c r="C297" s="169" t="s">
        <v>0</v>
      </c>
      <c r="D297" s="271" t="s">
        <v>314</v>
      </c>
      <c r="E297" s="271"/>
      <c r="F297" s="271"/>
      <c r="G297" s="271"/>
      <c r="H297" s="271"/>
      <c r="I297" s="271"/>
      <c r="J297" s="271"/>
      <c r="K297" s="271"/>
      <c r="L297" s="271"/>
      <c r="M297" s="271"/>
      <c r="N297" s="271"/>
      <c r="O297" s="271"/>
      <c r="P297" s="271"/>
      <c r="Q297" s="271"/>
      <c r="R297" s="271"/>
      <c r="S297" s="271"/>
      <c r="T297" s="271"/>
      <c r="U297" s="271"/>
      <c r="V297" s="271"/>
      <c r="W297" s="271"/>
      <c r="X297" s="271"/>
      <c r="Y297" s="271"/>
      <c r="Z297" s="271"/>
      <c r="AA297" s="271"/>
      <c r="AB297" s="271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</row>
    <row r="298" spans="1:42" ht="23.25" customHeight="1" x14ac:dyDescent="0.25">
      <c r="A298" s="179"/>
      <c r="B298" s="266" t="s">
        <v>187</v>
      </c>
      <c r="C298" s="266"/>
      <c r="D298" s="266"/>
      <c r="E298" s="266"/>
      <c r="F298" s="266"/>
      <c r="G298" s="266"/>
      <c r="H298" s="266"/>
      <c r="I298" s="266"/>
      <c r="J298" s="266"/>
      <c r="K298" s="266"/>
      <c r="L298" s="266"/>
      <c r="M298" s="266"/>
      <c r="N298" s="266"/>
      <c r="O298" s="266"/>
      <c r="P298" s="266"/>
      <c r="Q298" s="266"/>
      <c r="R298" s="180"/>
      <c r="S298" s="180"/>
      <c r="T298" s="180"/>
      <c r="U298" s="180"/>
      <c r="V298" s="180"/>
      <c r="W298" s="180"/>
      <c r="X298" s="180"/>
      <c r="Y298" s="180"/>
      <c r="Z298" s="180"/>
      <c r="AA298" s="180"/>
      <c r="AB298" s="180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</row>
    <row r="299" spans="1:42" ht="49.5" customHeight="1" x14ac:dyDescent="0.25">
      <c r="A299" s="169">
        <v>1</v>
      </c>
      <c r="B299" s="169" t="s">
        <v>121</v>
      </c>
      <c r="C299" s="169" t="s">
        <v>30</v>
      </c>
      <c r="D299" s="247" t="s">
        <v>297</v>
      </c>
      <c r="E299" s="247"/>
      <c r="F299" s="247"/>
      <c r="G299" s="247"/>
      <c r="H299" s="247"/>
      <c r="I299" s="247"/>
      <c r="J299" s="247"/>
      <c r="K299" s="247"/>
      <c r="L299" s="247"/>
      <c r="M299" s="247"/>
      <c r="N299" s="247"/>
      <c r="O299" s="247"/>
      <c r="P299" s="247"/>
      <c r="Q299" s="247"/>
      <c r="R299" s="247"/>
      <c r="S299" s="247"/>
      <c r="T299" s="247"/>
      <c r="U299" s="247"/>
      <c r="V299" s="247"/>
      <c r="W299" s="247"/>
      <c r="X299" s="247"/>
      <c r="Y299" s="247"/>
      <c r="Z299" s="247"/>
      <c r="AA299" s="247"/>
      <c r="AB299" s="247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</row>
    <row r="300" spans="1:42" ht="38.25" customHeight="1" x14ac:dyDescent="0.25">
      <c r="A300" s="169">
        <v>2</v>
      </c>
      <c r="B300" s="169" t="s">
        <v>122</v>
      </c>
      <c r="C300" s="169" t="s">
        <v>73</v>
      </c>
      <c r="D300" s="247" t="s">
        <v>290</v>
      </c>
      <c r="E300" s="247"/>
      <c r="F300" s="247"/>
      <c r="G300" s="247"/>
      <c r="H300" s="247"/>
      <c r="I300" s="247"/>
      <c r="J300" s="247"/>
      <c r="K300" s="247"/>
      <c r="L300" s="247"/>
      <c r="M300" s="247"/>
      <c r="N300" s="247"/>
      <c r="O300" s="247"/>
      <c r="P300" s="247"/>
      <c r="Q300" s="247"/>
      <c r="R300" s="247"/>
      <c r="S300" s="247"/>
      <c r="T300" s="247"/>
      <c r="U300" s="247"/>
      <c r="V300" s="247"/>
      <c r="W300" s="247"/>
      <c r="X300" s="247"/>
      <c r="Y300" s="247"/>
      <c r="Z300" s="247"/>
      <c r="AA300" s="247"/>
      <c r="AB300" s="247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</row>
    <row r="301" spans="1:42" ht="34.5" customHeight="1" x14ac:dyDescent="0.25">
      <c r="A301" s="169">
        <v>3</v>
      </c>
      <c r="B301" s="169" t="s">
        <v>123</v>
      </c>
      <c r="C301" s="169" t="s">
        <v>30</v>
      </c>
      <c r="D301" s="247" t="s">
        <v>299</v>
      </c>
      <c r="E301" s="247"/>
      <c r="F301" s="247"/>
      <c r="G301" s="247"/>
      <c r="H301" s="247"/>
      <c r="I301" s="247"/>
      <c r="J301" s="247"/>
      <c r="K301" s="247"/>
      <c r="L301" s="247"/>
      <c r="M301" s="247"/>
      <c r="N301" s="247"/>
      <c r="O301" s="247"/>
      <c r="P301" s="247"/>
      <c r="Q301" s="247"/>
      <c r="R301" s="247"/>
      <c r="S301" s="247"/>
      <c r="T301" s="247"/>
      <c r="U301" s="247"/>
      <c r="V301" s="247"/>
      <c r="W301" s="247"/>
      <c r="X301" s="247"/>
      <c r="Y301" s="247"/>
      <c r="Z301" s="247"/>
      <c r="AA301" s="247"/>
      <c r="AB301" s="247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</row>
    <row r="302" spans="1:42" ht="34.5" customHeight="1" x14ac:dyDescent="0.25">
      <c r="A302" s="169">
        <v>4</v>
      </c>
      <c r="B302" s="169" t="s">
        <v>124</v>
      </c>
      <c r="C302" s="169" t="s">
        <v>0</v>
      </c>
      <c r="D302" s="247" t="s">
        <v>291</v>
      </c>
      <c r="E302" s="247"/>
      <c r="F302" s="247"/>
      <c r="G302" s="247"/>
      <c r="H302" s="247"/>
      <c r="I302" s="247"/>
      <c r="J302" s="247"/>
      <c r="K302" s="247"/>
      <c r="L302" s="247"/>
      <c r="M302" s="247"/>
      <c r="N302" s="247"/>
      <c r="O302" s="247"/>
      <c r="P302" s="247"/>
      <c r="Q302" s="247"/>
      <c r="R302" s="247"/>
      <c r="S302" s="247"/>
      <c r="T302" s="247"/>
      <c r="U302" s="247"/>
      <c r="V302" s="247"/>
      <c r="W302" s="247"/>
      <c r="X302" s="247"/>
      <c r="Y302" s="247"/>
      <c r="Z302" s="247"/>
      <c r="AA302" s="247"/>
      <c r="AB302" s="247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</row>
    <row r="303" spans="1:42" ht="22.5" customHeight="1" x14ac:dyDescent="0.25">
      <c r="A303" s="179"/>
      <c r="B303" s="266" t="s">
        <v>62</v>
      </c>
      <c r="C303" s="266"/>
      <c r="D303" s="266"/>
      <c r="E303" s="266"/>
      <c r="F303" s="266"/>
      <c r="G303" s="266"/>
      <c r="H303" s="266"/>
      <c r="I303" s="266"/>
      <c r="J303" s="266"/>
      <c r="K303" s="266"/>
      <c r="L303" s="266"/>
      <c r="M303" s="266"/>
      <c r="N303" s="266"/>
      <c r="O303" s="266"/>
      <c r="P303" s="266"/>
      <c r="Q303" s="266"/>
      <c r="R303" s="266"/>
      <c r="S303" s="266"/>
      <c r="T303" s="266"/>
      <c r="U303" s="175"/>
      <c r="V303" s="175"/>
      <c r="W303" s="175"/>
      <c r="X303" s="175"/>
      <c r="Y303" s="175"/>
      <c r="Z303" s="175"/>
      <c r="AA303" s="175"/>
      <c r="AB303" s="175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</row>
    <row r="304" spans="1:42" ht="51.75" customHeight="1" x14ac:dyDescent="0.25">
      <c r="A304" s="169">
        <v>1</v>
      </c>
      <c r="B304" s="169" t="s">
        <v>121</v>
      </c>
      <c r="C304" s="169" t="s">
        <v>30</v>
      </c>
      <c r="D304" s="265" t="s">
        <v>316</v>
      </c>
      <c r="E304" s="265"/>
      <c r="F304" s="265"/>
      <c r="G304" s="265"/>
      <c r="H304" s="265"/>
      <c r="I304" s="265"/>
      <c r="J304" s="265"/>
      <c r="K304" s="265"/>
      <c r="L304" s="265"/>
      <c r="M304" s="265"/>
      <c r="N304" s="265"/>
      <c r="O304" s="265"/>
      <c r="P304" s="265"/>
      <c r="Q304" s="265"/>
      <c r="R304" s="265"/>
      <c r="S304" s="265"/>
      <c r="T304" s="265"/>
      <c r="U304" s="265"/>
      <c r="V304" s="265"/>
      <c r="W304" s="265"/>
      <c r="X304" s="265"/>
      <c r="Y304" s="265"/>
      <c r="Z304" s="265"/>
      <c r="AA304" s="265"/>
      <c r="AB304" s="265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</row>
    <row r="305" spans="1:42" ht="33.75" customHeight="1" x14ac:dyDescent="0.25">
      <c r="A305" s="169">
        <v>2</v>
      </c>
      <c r="B305" s="169" t="s">
        <v>122</v>
      </c>
      <c r="C305" s="169" t="s">
        <v>5</v>
      </c>
      <c r="D305" s="265" t="s">
        <v>296</v>
      </c>
      <c r="E305" s="265"/>
      <c r="F305" s="265"/>
      <c r="G305" s="265"/>
      <c r="H305" s="265"/>
      <c r="I305" s="265"/>
      <c r="J305" s="265"/>
      <c r="K305" s="265"/>
      <c r="L305" s="265"/>
      <c r="M305" s="265"/>
      <c r="N305" s="265"/>
      <c r="O305" s="265"/>
      <c r="P305" s="265"/>
      <c r="Q305" s="265"/>
      <c r="R305" s="265"/>
      <c r="S305" s="265"/>
      <c r="T305" s="265"/>
      <c r="U305" s="265"/>
      <c r="V305" s="265"/>
      <c r="W305" s="265"/>
      <c r="X305" s="265"/>
      <c r="Y305" s="265"/>
      <c r="Z305" s="265"/>
      <c r="AA305" s="265"/>
      <c r="AB305" s="265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</row>
    <row r="306" spans="1:42" ht="64.5" customHeight="1" x14ac:dyDescent="0.25">
      <c r="A306" s="169">
        <v>3</v>
      </c>
      <c r="B306" s="169" t="s">
        <v>123</v>
      </c>
      <c r="C306" s="169" t="s">
        <v>30</v>
      </c>
      <c r="D306" s="265" t="s">
        <v>302</v>
      </c>
      <c r="E306" s="265"/>
      <c r="F306" s="265"/>
      <c r="G306" s="265"/>
      <c r="H306" s="265"/>
      <c r="I306" s="265"/>
      <c r="J306" s="265"/>
      <c r="K306" s="265"/>
      <c r="L306" s="265"/>
      <c r="M306" s="265"/>
      <c r="N306" s="265"/>
      <c r="O306" s="265"/>
      <c r="P306" s="265"/>
      <c r="Q306" s="265"/>
      <c r="R306" s="265"/>
      <c r="S306" s="265"/>
      <c r="T306" s="265"/>
      <c r="U306" s="265"/>
      <c r="V306" s="265"/>
      <c r="W306" s="265"/>
      <c r="X306" s="265"/>
      <c r="Y306" s="265"/>
      <c r="Z306" s="265"/>
      <c r="AA306" s="265"/>
      <c r="AB306" s="265"/>
      <c r="AC306" s="184"/>
      <c r="AD306" s="184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</row>
    <row r="307" spans="1:42" ht="22.5" customHeight="1" x14ac:dyDescent="0.25">
      <c r="A307" s="169">
        <v>4</v>
      </c>
      <c r="B307" s="169" t="s">
        <v>124</v>
      </c>
      <c r="C307" s="169" t="s">
        <v>0</v>
      </c>
      <c r="D307" s="247" t="s">
        <v>309</v>
      </c>
      <c r="E307" s="247"/>
      <c r="F307" s="247"/>
      <c r="G307" s="247"/>
      <c r="H307" s="247"/>
      <c r="I307" s="247"/>
      <c r="J307" s="247"/>
      <c r="K307" s="247"/>
      <c r="L307" s="247"/>
      <c r="M307" s="247"/>
      <c r="N307" s="247"/>
      <c r="O307" s="247"/>
      <c r="P307" s="247"/>
      <c r="Q307" s="247"/>
      <c r="R307" s="247"/>
      <c r="S307" s="247"/>
      <c r="T307" s="247"/>
      <c r="U307" s="247"/>
      <c r="V307" s="247"/>
      <c r="W307" s="247"/>
      <c r="X307" s="247"/>
      <c r="Y307" s="247"/>
      <c r="Z307" s="247"/>
      <c r="AA307" s="247"/>
      <c r="AB307" s="247"/>
      <c r="AC307" s="184"/>
      <c r="AD307" s="184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</row>
    <row r="308" spans="1:42" ht="19.5" customHeight="1" x14ac:dyDescent="0.25">
      <c r="A308" s="169"/>
      <c r="B308" s="253" t="s">
        <v>63</v>
      </c>
      <c r="C308" s="254"/>
      <c r="D308" s="254"/>
      <c r="E308" s="254"/>
      <c r="F308" s="254"/>
      <c r="G308" s="254"/>
      <c r="H308" s="254"/>
      <c r="I308" s="254"/>
      <c r="J308" s="254"/>
      <c r="K308" s="254"/>
      <c r="L308" s="254"/>
      <c r="M308" s="254"/>
      <c r="N308" s="254"/>
      <c r="O308" s="254"/>
      <c r="P308" s="254"/>
      <c r="Q308" s="254"/>
      <c r="R308" s="254"/>
      <c r="S308" s="254"/>
      <c r="T308" s="254"/>
      <c r="U308" s="254"/>
      <c r="V308" s="254"/>
      <c r="W308" s="254"/>
      <c r="X308" s="254"/>
      <c r="Y308" s="254"/>
      <c r="Z308" s="254"/>
      <c r="AA308" s="254"/>
      <c r="AB308" s="255"/>
      <c r="AC308" s="185"/>
      <c r="AD308" s="185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</row>
    <row r="309" spans="1:42" ht="20.25" customHeight="1" x14ac:dyDescent="0.25">
      <c r="A309" s="169">
        <v>1</v>
      </c>
      <c r="B309" s="169" t="s">
        <v>121</v>
      </c>
      <c r="C309" s="169" t="s">
        <v>30</v>
      </c>
      <c r="D309" s="247" t="s">
        <v>6</v>
      </c>
      <c r="E309" s="247"/>
      <c r="F309" s="247"/>
      <c r="G309" s="247"/>
      <c r="H309" s="247"/>
      <c r="I309" s="247"/>
      <c r="J309" s="247"/>
      <c r="K309" s="247"/>
      <c r="L309" s="247"/>
      <c r="M309" s="247"/>
      <c r="N309" s="247"/>
      <c r="O309" s="247"/>
      <c r="P309" s="247"/>
      <c r="Q309" s="247"/>
      <c r="R309" s="247"/>
      <c r="S309" s="247"/>
      <c r="T309" s="247"/>
      <c r="U309" s="247"/>
      <c r="V309" s="247"/>
      <c r="W309" s="247"/>
      <c r="X309" s="247"/>
      <c r="Y309" s="247"/>
      <c r="Z309" s="247"/>
      <c r="AA309" s="247"/>
      <c r="AB309" s="247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</row>
    <row r="310" spans="1:42" ht="21" customHeight="1" x14ac:dyDescent="0.25">
      <c r="A310" s="169">
        <v>2</v>
      </c>
      <c r="B310" s="169" t="s">
        <v>122</v>
      </c>
      <c r="C310" s="169" t="s">
        <v>92</v>
      </c>
      <c r="D310" s="247"/>
      <c r="E310" s="247"/>
      <c r="F310" s="247"/>
      <c r="G310" s="247"/>
      <c r="H310" s="247"/>
      <c r="I310" s="247"/>
      <c r="J310" s="247"/>
      <c r="K310" s="247"/>
      <c r="L310" s="247"/>
      <c r="M310" s="247"/>
      <c r="N310" s="247"/>
      <c r="O310" s="247"/>
      <c r="P310" s="247"/>
      <c r="Q310" s="247"/>
      <c r="R310" s="247"/>
      <c r="S310" s="247"/>
      <c r="T310" s="247"/>
      <c r="U310" s="247"/>
      <c r="V310" s="247"/>
      <c r="W310" s="247"/>
      <c r="X310" s="247"/>
      <c r="Y310" s="247"/>
      <c r="Z310" s="247"/>
      <c r="AA310" s="247"/>
      <c r="AB310" s="247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</row>
    <row r="311" spans="1:42" ht="20.25" customHeight="1" x14ac:dyDescent="0.25">
      <c r="A311" s="169">
        <v>3</v>
      </c>
      <c r="B311" s="169" t="s">
        <v>123</v>
      </c>
      <c r="C311" s="169" t="s">
        <v>30</v>
      </c>
      <c r="D311" s="247"/>
      <c r="E311" s="247"/>
      <c r="F311" s="247"/>
      <c r="G311" s="247"/>
      <c r="H311" s="247"/>
      <c r="I311" s="247"/>
      <c r="J311" s="247"/>
      <c r="K311" s="247"/>
      <c r="L311" s="247"/>
      <c r="M311" s="247"/>
      <c r="N311" s="247"/>
      <c r="O311" s="247"/>
      <c r="P311" s="247"/>
      <c r="Q311" s="247"/>
      <c r="R311" s="247"/>
      <c r="S311" s="247"/>
      <c r="T311" s="247"/>
      <c r="U311" s="247"/>
      <c r="V311" s="247"/>
      <c r="W311" s="247"/>
      <c r="X311" s="247"/>
      <c r="Y311" s="247"/>
      <c r="Z311" s="247"/>
      <c r="AA311" s="247"/>
      <c r="AB311" s="247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</row>
    <row r="312" spans="1:42" ht="20.100000000000001" customHeight="1" x14ac:dyDescent="0.25">
      <c r="A312" s="169">
        <v>4</v>
      </c>
      <c r="B312" s="169" t="s">
        <v>124</v>
      </c>
      <c r="C312" s="169" t="s">
        <v>0</v>
      </c>
      <c r="D312" s="247"/>
      <c r="E312" s="247"/>
      <c r="F312" s="247"/>
      <c r="G312" s="247"/>
      <c r="H312" s="247"/>
      <c r="I312" s="247"/>
      <c r="J312" s="247"/>
      <c r="K312" s="247"/>
      <c r="L312" s="247"/>
      <c r="M312" s="247"/>
      <c r="N312" s="247"/>
      <c r="O312" s="247"/>
      <c r="P312" s="247"/>
      <c r="Q312" s="247"/>
      <c r="R312" s="247"/>
      <c r="S312" s="247"/>
      <c r="T312" s="247"/>
      <c r="U312" s="247"/>
      <c r="V312" s="247"/>
      <c r="W312" s="247"/>
      <c r="X312" s="247"/>
      <c r="Y312" s="247"/>
      <c r="Z312" s="247"/>
      <c r="AA312" s="247"/>
      <c r="AB312" s="247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</row>
    <row r="313" spans="1:42" ht="20.100000000000001" customHeight="1" x14ac:dyDescent="0.25">
      <c r="A313" s="179"/>
      <c r="B313" s="267" t="s">
        <v>64</v>
      </c>
      <c r="C313" s="268"/>
      <c r="D313" s="268"/>
      <c r="E313" s="268"/>
      <c r="F313" s="268"/>
      <c r="G313" s="268"/>
      <c r="H313" s="268"/>
      <c r="I313" s="268"/>
      <c r="J313" s="268"/>
      <c r="K313" s="268"/>
      <c r="L313" s="268"/>
      <c r="M313" s="268"/>
      <c r="N313" s="268"/>
      <c r="O313" s="268"/>
      <c r="P313" s="268"/>
      <c r="Q313" s="268"/>
      <c r="R313" s="268"/>
      <c r="S313" s="268"/>
      <c r="T313" s="268"/>
      <c r="U313" s="268"/>
      <c r="V313" s="268"/>
      <c r="W313" s="268"/>
      <c r="X313" s="268"/>
      <c r="Y313" s="268"/>
      <c r="Z313" s="268"/>
      <c r="AA313" s="268"/>
      <c r="AB313" s="269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</row>
    <row r="314" spans="1:42" ht="25.5" customHeight="1" x14ac:dyDescent="0.25">
      <c r="A314" s="169">
        <v>1</v>
      </c>
      <c r="B314" s="169" t="s">
        <v>121</v>
      </c>
      <c r="C314" s="169" t="s">
        <v>30</v>
      </c>
      <c r="D314" s="265" t="s">
        <v>279</v>
      </c>
      <c r="E314" s="265"/>
      <c r="F314" s="265"/>
      <c r="G314" s="265"/>
      <c r="H314" s="265"/>
      <c r="I314" s="265"/>
      <c r="J314" s="265"/>
      <c r="K314" s="265"/>
      <c r="L314" s="265"/>
      <c r="M314" s="265"/>
      <c r="N314" s="265"/>
      <c r="O314" s="265"/>
      <c r="P314" s="265"/>
      <c r="Q314" s="265"/>
      <c r="R314" s="265"/>
      <c r="S314" s="265"/>
      <c r="T314" s="265"/>
      <c r="U314" s="265"/>
      <c r="V314" s="265"/>
      <c r="W314" s="265"/>
      <c r="X314" s="265"/>
      <c r="Y314" s="265"/>
      <c r="Z314" s="265"/>
      <c r="AA314" s="265"/>
      <c r="AB314" s="265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</row>
    <row r="315" spans="1:42" ht="32.25" customHeight="1" x14ac:dyDescent="0.25">
      <c r="A315" s="169">
        <v>2</v>
      </c>
      <c r="B315" s="169" t="s">
        <v>122</v>
      </c>
      <c r="C315" s="169" t="s">
        <v>73</v>
      </c>
      <c r="D315" s="247" t="s">
        <v>283</v>
      </c>
      <c r="E315" s="247"/>
      <c r="F315" s="247"/>
      <c r="G315" s="247"/>
      <c r="H315" s="247"/>
      <c r="I315" s="247"/>
      <c r="J315" s="247"/>
      <c r="K315" s="247"/>
      <c r="L315" s="247"/>
      <c r="M315" s="247"/>
      <c r="N315" s="247"/>
      <c r="O315" s="247"/>
      <c r="P315" s="247"/>
      <c r="Q315" s="247"/>
      <c r="R315" s="247"/>
      <c r="S315" s="247"/>
      <c r="T315" s="247"/>
      <c r="U315" s="247"/>
      <c r="V315" s="247"/>
      <c r="W315" s="247"/>
      <c r="X315" s="247"/>
      <c r="Y315" s="247"/>
      <c r="Z315" s="247"/>
      <c r="AA315" s="247"/>
      <c r="AB315" s="247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</row>
    <row r="316" spans="1:42" ht="20.25" customHeight="1" x14ac:dyDescent="0.25">
      <c r="A316" s="169">
        <v>3</v>
      </c>
      <c r="B316" s="169" t="s">
        <v>123</v>
      </c>
      <c r="C316" s="169" t="s">
        <v>30</v>
      </c>
      <c r="D316" s="270" t="s">
        <v>315</v>
      </c>
      <c r="E316" s="270"/>
      <c r="F316" s="270"/>
      <c r="G316" s="270"/>
      <c r="H316" s="270"/>
      <c r="I316" s="270"/>
      <c r="J316" s="270"/>
      <c r="K316" s="270"/>
      <c r="L316" s="270"/>
      <c r="M316" s="270"/>
      <c r="N316" s="270"/>
      <c r="O316" s="270"/>
      <c r="P316" s="270"/>
      <c r="Q316" s="270"/>
      <c r="R316" s="270"/>
      <c r="S316" s="270"/>
      <c r="T316" s="270"/>
      <c r="U316" s="270"/>
      <c r="V316" s="270"/>
      <c r="W316" s="270"/>
      <c r="X316" s="270"/>
      <c r="Y316" s="270"/>
      <c r="Z316" s="270"/>
      <c r="AA316" s="270"/>
      <c r="AB316" s="270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</row>
    <row r="317" spans="1:42" ht="24" customHeight="1" x14ac:dyDescent="0.25">
      <c r="A317" s="169">
        <v>4</v>
      </c>
      <c r="B317" s="169" t="s">
        <v>124</v>
      </c>
      <c r="C317" s="169" t="s">
        <v>0</v>
      </c>
      <c r="D317" s="247" t="s">
        <v>237</v>
      </c>
      <c r="E317" s="247"/>
      <c r="F317" s="247"/>
      <c r="G317" s="247"/>
      <c r="H317" s="247"/>
      <c r="I317" s="247"/>
      <c r="J317" s="247"/>
      <c r="K317" s="247"/>
      <c r="L317" s="247"/>
      <c r="M317" s="247"/>
      <c r="N317" s="247"/>
      <c r="O317" s="247"/>
      <c r="P317" s="247"/>
      <c r="Q317" s="247"/>
      <c r="R317" s="247"/>
      <c r="S317" s="247"/>
      <c r="T317" s="247"/>
      <c r="U317" s="247"/>
      <c r="V317" s="247"/>
      <c r="W317" s="247"/>
      <c r="X317" s="247"/>
      <c r="Y317" s="247"/>
      <c r="Z317" s="247"/>
      <c r="AA317" s="247"/>
      <c r="AB317" s="247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</row>
    <row r="318" spans="1:42" ht="23.25" customHeight="1" x14ac:dyDescent="0.25">
      <c r="A318" s="169"/>
      <c r="B318" s="248" t="s">
        <v>65</v>
      </c>
      <c r="C318" s="248"/>
      <c r="D318" s="248"/>
      <c r="E318" s="248"/>
      <c r="F318" s="248"/>
      <c r="G318" s="248"/>
      <c r="H318" s="248"/>
      <c r="I318" s="248"/>
      <c r="J318" s="248"/>
      <c r="K318" s="248"/>
      <c r="L318" s="248"/>
      <c r="M318" s="248"/>
      <c r="N318" s="248"/>
      <c r="O318" s="248"/>
      <c r="P318" s="248"/>
      <c r="Q318" s="248"/>
      <c r="R318" s="248"/>
      <c r="S318" s="248"/>
      <c r="T318" s="248"/>
      <c r="U318" s="248"/>
      <c r="V318" s="248"/>
      <c r="W318" s="248"/>
      <c r="X318" s="248"/>
      <c r="Y318" s="248"/>
      <c r="Z318" s="248"/>
      <c r="AA318" s="248"/>
      <c r="AB318" s="248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</row>
    <row r="319" spans="1:42" ht="26.25" customHeight="1" x14ac:dyDescent="0.25">
      <c r="A319" s="169">
        <v>1</v>
      </c>
      <c r="B319" s="169" t="s">
        <v>121</v>
      </c>
      <c r="C319" s="169" t="s">
        <v>30</v>
      </c>
      <c r="D319" s="265" t="s">
        <v>280</v>
      </c>
      <c r="E319" s="265"/>
      <c r="F319" s="265"/>
      <c r="G319" s="265"/>
      <c r="H319" s="265"/>
      <c r="I319" s="265"/>
      <c r="J319" s="265"/>
      <c r="K319" s="265"/>
      <c r="L319" s="265"/>
      <c r="M319" s="265"/>
      <c r="N319" s="265"/>
      <c r="O319" s="265"/>
      <c r="P319" s="265"/>
      <c r="Q319" s="265"/>
      <c r="R319" s="265"/>
      <c r="S319" s="265"/>
      <c r="T319" s="265"/>
      <c r="U319" s="265"/>
      <c r="V319" s="265"/>
      <c r="W319" s="265"/>
      <c r="X319" s="265"/>
      <c r="Y319" s="265"/>
      <c r="Z319" s="265"/>
      <c r="AA319" s="265"/>
      <c r="AB319" s="265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</row>
    <row r="320" spans="1:42" ht="24.75" customHeight="1" x14ac:dyDescent="0.25">
      <c r="A320" s="169">
        <v>2</v>
      </c>
      <c r="B320" s="169" t="s">
        <v>122</v>
      </c>
      <c r="C320" s="169" t="s">
        <v>73</v>
      </c>
      <c r="D320" s="247" t="s">
        <v>301</v>
      </c>
      <c r="E320" s="247"/>
      <c r="F320" s="247"/>
      <c r="G320" s="247"/>
      <c r="H320" s="247"/>
      <c r="I320" s="247"/>
      <c r="J320" s="247"/>
      <c r="K320" s="247"/>
      <c r="L320" s="247"/>
      <c r="M320" s="247"/>
      <c r="N320" s="247"/>
      <c r="O320" s="247"/>
      <c r="P320" s="247"/>
      <c r="Q320" s="247"/>
      <c r="R320" s="247"/>
      <c r="S320" s="247"/>
      <c r="T320" s="247"/>
      <c r="U320" s="247"/>
      <c r="V320" s="247"/>
      <c r="W320" s="247"/>
      <c r="X320" s="247"/>
      <c r="Y320" s="247"/>
      <c r="Z320" s="247"/>
      <c r="AA320" s="247"/>
      <c r="AB320" s="247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</row>
    <row r="321" spans="1:42" ht="21.75" customHeight="1" x14ac:dyDescent="0.25">
      <c r="A321" s="169">
        <v>3</v>
      </c>
      <c r="B321" s="169" t="s">
        <v>123</v>
      </c>
      <c r="C321" s="169" t="s">
        <v>30</v>
      </c>
      <c r="D321" s="247" t="s">
        <v>300</v>
      </c>
      <c r="E321" s="247"/>
      <c r="F321" s="247"/>
      <c r="G321" s="247"/>
      <c r="H321" s="247"/>
      <c r="I321" s="247"/>
      <c r="J321" s="247"/>
      <c r="K321" s="247"/>
      <c r="L321" s="247"/>
      <c r="M321" s="247"/>
      <c r="N321" s="247"/>
      <c r="O321" s="247"/>
      <c r="P321" s="247"/>
      <c r="Q321" s="247"/>
      <c r="R321" s="247"/>
      <c r="S321" s="247"/>
      <c r="T321" s="247"/>
      <c r="U321" s="247"/>
      <c r="V321" s="247"/>
      <c r="W321" s="247"/>
      <c r="X321" s="247"/>
      <c r="Y321" s="247"/>
      <c r="Z321" s="247"/>
      <c r="AA321" s="247"/>
      <c r="AB321" s="247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</row>
    <row r="322" spans="1:42" ht="20.25" customHeight="1" x14ac:dyDescent="0.25">
      <c r="A322" s="169">
        <v>4</v>
      </c>
      <c r="B322" s="169" t="s">
        <v>124</v>
      </c>
      <c r="C322" s="169" t="s">
        <v>0</v>
      </c>
      <c r="D322" s="247" t="s">
        <v>9</v>
      </c>
      <c r="E322" s="247"/>
      <c r="F322" s="247"/>
      <c r="G322" s="247"/>
      <c r="H322" s="247"/>
      <c r="I322" s="247"/>
      <c r="J322" s="247"/>
      <c r="K322" s="247"/>
      <c r="L322" s="247"/>
      <c r="M322" s="247"/>
      <c r="N322" s="247"/>
      <c r="O322" s="247"/>
      <c r="P322" s="247"/>
      <c r="Q322" s="247"/>
      <c r="R322" s="247"/>
      <c r="S322" s="247"/>
      <c r="T322" s="247"/>
      <c r="U322" s="247"/>
      <c r="V322" s="247"/>
      <c r="W322" s="247"/>
      <c r="X322" s="247"/>
      <c r="Y322" s="247"/>
      <c r="Z322" s="247"/>
      <c r="AA322" s="247"/>
      <c r="AB322" s="247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</row>
    <row r="323" spans="1:42" ht="20.100000000000001" customHeight="1" x14ac:dyDescent="0.25">
      <c r="A323" s="169"/>
      <c r="B323" s="264" t="s">
        <v>19</v>
      </c>
      <c r="C323" s="264"/>
      <c r="D323" s="264"/>
      <c r="E323" s="264"/>
      <c r="F323" s="264"/>
      <c r="G323" s="264"/>
      <c r="H323" s="264"/>
      <c r="I323" s="264"/>
      <c r="J323" s="264"/>
      <c r="K323" s="264"/>
      <c r="L323" s="264"/>
      <c r="M323" s="264"/>
      <c r="N323" s="264"/>
      <c r="O323" s="264"/>
      <c r="P323" s="264"/>
      <c r="Q323" s="264"/>
      <c r="R323" s="264"/>
      <c r="S323" s="264"/>
      <c r="T323" s="264"/>
      <c r="U323" s="264"/>
      <c r="V323" s="264"/>
      <c r="W323" s="264"/>
      <c r="X323" s="264"/>
      <c r="Y323" s="264"/>
      <c r="Z323" s="264"/>
      <c r="AA323" s="264"/>
      <c r="AB323" s="264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</row>
    <row r="324" spans="1:42" ht="20.100000000000001" customHeight="1" x14ac:dyDescent="0.25">
      <c r="A324" s="169">
        <v>1</v>
      </c>
      <c r="B324" s="169" t="s">
        <v>121</v>
      </c>
      <c r="C324" s="169" t="s">
        <v>30</v>
      </c>
      <c r="D324" s="265" t="s">
        <v>292</v>
      </c>
      <c r="E324" s="265"/>
      <c r="F324" s="265"/>
      <c r="G324" s="265"/>
      <c r="H324" s="265"/>
      <c r="I324" s="265"/>
      <c r="J324" s="265"/>
      <c r="K324" s="265"/>
      <c r="L324" s="265"/>
      <c r="M324" s="265"/>
      <c r="N324" s="265"/>
      <c r="O324" s="265"/>
      <c r="P324" s="265"/>
      <c r="Q324" s="265"/>
      <c r="R324" s="265"/>
      <c r="S324" s="265"/>
      <c r="T324" s="265"/>
      <c r="U324" s="265"/>
      <c r="V324" s="265"/>
      <c r="W324" s="265"/>
      <c r="X324" s="265"/>
      <c r="Y324" s="265"/>
      <c r="Z324" s="265"/>
      <c r="AA324" s="265"/>
      <c r="AB324" s="265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</row>
    <row r="325" spans="1:42" ht="33.75" customHeight="1" x14ac:dyDescent="0.25">
      <c r="A325" s="169">
        <v>2</v>
      </c>
      <c r="B325" s="169" t="s">
        <v>122</v>
      </c>
      <c r="C325" s="169" t="s">
        <v>288</v>
      </c>
      <c r="D325" s="247" t="s">
        <v>237</v>
      </c>
      <c r="E325" s="247"/>
      <c r="F325" s="247"/>
      <c r="G325" s="247"/>
      <c r="H325" s="247"/>
      <c r="I325" s="247"/>
      <c r="J325" s="247"/>
      <c r="K325" s="247"/>
      <c r="L325" s="247"/>
      <c r="M325" s="247"/>
      <c r="N325" s="247"/>
      <c r="O325" s="247"/>
      <c r="P325" s="247"/>
      <c r="Q325" s="247"/>
      <c r="R325" s="247"/>
      <c r="S325" s="247"/>
      <c r="T325" s="247"/>
      <c r="U325" s="247"/>
      <c r="V325" s="247"/>
      <c r="W325" s="247"/>
      <c r="X325" s="247"/>
      <c r="Y325" s="247"/>
      <c r="Z325" s="247"/>
      <c r="AA325" s="247"/>
      <c r="AB325" s="247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</row>
    <row r="326" spans="1:42" ht="20.25" customHeight="1" x14ac:dyDescent="0.25">
      <c r="A326" s="169">
        <v>3</v>
      </c>
      <c r="B326" s="169" t="s">
        <v>123</v>
      </c>
      <c r="C326" s="169" t="s">
        <v>30</v>
      </c>
      <c r="D326" s="265" t="s">
        <v>287</v>
      </c>
      <c r="E326" s="265"/>
      <c r="F326" s="265"/>
      <c r="G326" s="265"/>
      <c r="H326" s="265"/>
      <c r="I326" s="265"/>
      <c r="J326" s="265"/>
      <c r="K326" s="265"/>
      <c r="L326" s="265"/>
      <c r="M326" s="265"/>
      <c r="N326" s="265"/>
      <c r="O326" s="265"/>
      <c r="P326" s="265"/>
      <c r="Q326" s="265"/>
      <c r="R326" s="265"/>
      <c r="S326" s="265"/>
      <c r="T326" s="265"/>
      <c r="U326" s="265"/>
      <c r="V326" s="265"/>
      <c r="W326" s="265"/>
      <c r="X326" s="265"/>
      <c r="Y326" s="265"/>
      <c r="Z326" s="265"/>
      <c r="AA326" s="265"/>
      <c r="AB326" s="265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</row>
    <row r="327" spans="1:42" ht="18" customHeight="1" x14ac:dyDescent="0.25">
      <c r="A327" s="169">
        <v>4</v>
      </c>
      <c r="B327" s="169" t="s">
        <v>124</v>
      </c>
      <c r="C327" s="169" t="s">
        <v>0</v>
      </c>
      <c r="D327" s="247" t="s">
        <v>237</v>
      </c>
      <c r="E327" s="247"/>
      <c r="F327" s="247"/>
      <c r="G327" s="247"/>
      <c r="H327" s="247"/>
      <c r="I327" s="247"/>
      <c r="J327" s="247"/>
      <c r="K327" s="247"/>
      <c r="L327" s="247"/>
      <c r="M327" s="247"/>
      <c r="N327" s="247"/>
      <c r="O327" s="247"/>
      <c r="P327" s="247"/>
      <c r="Q327" s="247"/>
      <c r="R327" s="247"/>
      <c r="S327" s="247"/>
      <c r="T327" s="247"/>
      <c r="U327" s="247"/>
      <c r="V327" s="247"/>
      <c r="W327" s="247"/>
      <c r="X327" s="247"/>
      <c r="Y327" s="247"/>
      <c r="Z327" s="247"/>
      <c r="AA327" s="247"/>
      <c r="AB327" s="247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</row>
    <row r="328" spans="1:42" ht="18.75" customHeight="1" x14ac:dyDescent="0.25">
      <c r="A328" s="179"/>
      <c r="B328" s="246" t="s">
        <v>249</v>
      </c>
      <c r="C328" s="246"/>
      <c r="D328" s="246"/>
      <c r="E328" s="246"/>
      <c r="F328" s="246"/>
      <c r="G328" s="246"/>
      <c r="H328" s="246"/>
      <c r="I328" s="246"/>
      <c r="J328" s="246"/>
      <c r="K328" s="246"/>
      <c r="L328" s="246"/>
      <c r="M328" s="246"/>
      <c r="N328" s="246"/>
      <c r="O328" s="246"/>
      <c r="P328" s="246"/>
      <c r="Q328" s="246"/>
      <c r="R328" s="246"/>
      <c r="S328" s="246"/>
      <c r="T328" s="246"/>
      <c r="U328" s="246"/>
      <c r="V328" s="246"/>
      <c r="W328" s="246"/>
      <c r="X328" s="246"/>
      <c r="Y328" s="246"/>
      <c r="Z328" s="246"/>
      <c r="AA328" s="246"/>
      <c r="AB328" s="246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</row>
    <row r="329" spans="1:42" ht="21.75" customHeight="1" x14ac:dyDescent="0.25">
      <c r="A329" s="169">
        <v>1</v>
      </c>
      <c r="B329" s="169" t="s">
        <v>121</v>
      </c>
      <c r="C329" s="169" t="s">
        <v>30</v>
      </c>
      <c r="D329" s="247" t="s">
        <v>264</v>
      </c>
      <c r="E329" s="247"/>
      <c r="F329" s="247"/>
      <c r="G329" s="247"/>
      <c r="H329" s="247"/>
      <c r="I329" s="247"/>
      <c r="J329" s="247"/>
      <c r="K329" s="247"/>
      <c r="L329" s="247"/>
      <c r="M329" s="247"/>
      <c r="N329" s="247"/>
      <c r="O329" s="247"/>
      <c r="P329" s="247"/>
      <c r="Q329" s="247"/>
      <c r="R329" s="247"/>
      <c r="S329" s="247"/>
      <c r="T329" s="247"/>
      <c r="U329" s="247"/>
      <c r="V329" s="247"/>
      <c r="W329" s="247"/>
      <c r="X329" s="247"/>
      <c r="Y329" s="247"/>
      <c r="Z329" s="247"/>
      <c r="AA329" s="247"/>
      <c r="AB329" s="247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</row>
    <row r="330" spans="1:42" ht="22.5" customHeight="1" x14ac:dyDescent="0.25">
      <c r="A330" s="169">
        <v>2</v>
      </c>
      <c r="B330" s="169" t="s">
        <v>122</v>
      </c>
      <c r="C330" s="169" t="s">
        <v>73</v>
      </c>
      <c r="D330" s="247" t="s">
        <v>311</v>
      </c>
      <c r="E330" s="247"/>
      <c r="F330" s="247"/>
      <c r="G330" s="247"/>
      <c r="H330" s="247"/>
      <c r="I330" s="247"/>
      <c r="J330" s="247"/>
      <c r="K330" s="247"/>
      <c r="L330" s="247"/>
      <c r="M330" s="247"/>
      <c r="N330" s="247"/>
      <c r="O330" s="247"/>
      <c r="P330" s="247"/>
      <c r="Q330" s="247"/>
      <c r="R330" s="247"/>
      <c r="S330" s="247"/>
      <c r="T330" s="247"/>
      <c r="U330" s="247"/>
      <c r="V330" s="247"/>
      <c r="W330" s="247"/>
      <c r="X330" s="247"/>
      <c r="Y330" s="247"/>
      <c r="Z330" s="247"/>
      <c r="AA330" s="247"/>
      <c r="AB330" s="247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</row>
    <row r="331" spans="1:42" ht="36.75" customHeight="1" x14ac:dyDescent="0.25">
      <c r="A331" s="169">
        <v>3</v>
      </c>
      <c r="B331" s="169" t="s">
        <v>123</v>
      </c>
      <c r="C331" s="169" t="s">
        <v>30</v>
      </c>
      <c r="D331" s="247" t="s">
        <v>295</v>
      </c>
      <c r="E331" s="247"/>
      <c r="F331" s="247"/>
      <c r="G331" s="247"/>
      <c r="H331" s="247"/>
      <c r="I331" s="247"/>
      <c r="J331" s="247"/>
      <c r="K331" s="247"/>
      <c r="L331" s="247"/>
      <c r="M331" s="247"/>
      <c r="N331" s="247"/>
      <c r="O331" s="247"/>
      <c r="P331" s="247"/>
      <c r="Q331" s="247"/>
      <c r="R331" s="247"/>
      <c r="S331" s="247"/>
      <c r="T331" s="247"/>
      <c r="U331" s="247"/>
      <c r="V331" s="247"/>
      <c r="W331" s="247"/>
      <c r="X331" s="247"/>
      <c r="Y331" s="247"/>
      <c r="Z331" s="247"/>
      <c r="AA331" s="247"/>
      <c r="AB331" s="247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</row>
    <row r="332" spans="1:42" ht="21.75" customHeight="1" x14ac:dyDescent="0.25">
      <c r="A332" s="169">
        <v>4</v>
      </c>
      <c r="B332" s="169" t="s">
        <v>124</v>
      </c>
      <c r="C332" s="169" t="s">
        <v>0</v>
      </c>
      <c r="D332" s="247" t="s">
        <v>310</v>
      </c>
      <c r="E332" s="247"/>
      <c r="F332" s="247"/>
      <c r="G332" s="247"/>
      <c r="H332" s="247"/>
      <c r="I332" s="247"/>
      <c r="J332" s="247"/>
      <c r="K332" s="247"/>
      <c r="L332" s="247"/>
      <c r="M332" s="247"/>
      <c r="N332" s="247"/>
      <c r="O332" s="247"/>
      <c r="P332" s="247"/>
      <c r="Q332" s="247"/>
      <c r="R332" s="247"/>
      <c r="S332" s="247"/>
      <c r="T332" s="247"/>
      <c r="U332" s="247"/>
      <c r="V332" s="247"/>
      <c r="W332" s="247"/>
      <c r="X332" s="247"/>
      <c r="Y332" s="247"/>
      <c r="Z332" s="247"/>
      <c r="AA332" s="247"/>
      <c r="AB332" s="247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</row>
    <row r="333" spans="1:42" ht="21.75" customHeight="1" x14ac:dyDescent="0.25">
      <c r="A333" s="179"/>
      <c r="B333" s="246" t="s">
        <v>250</v>
      </c>
      <c r="C333" s="246"/>
      <c r="D333" s="246"/>
      <c r="E333" s="246"/>
      <c r="F333" s="246"/>
      <c r="G333" s="246"/>
      <c r="H333" s="246"/>
      <c r="I333" s="246"/>
      <c r="J333" s="246"/>
      <c r="K333" s="246"/>
      <c r="L333" s="246"/>
      <c r="M333" s="246"/>
      <c r="N333" s="246"/>
      <c r="O333" s="246"/>
      <c r="P333" s="246"/>
      <c r="Q333" s="246"/>
      <c r="R333" s="246"/>
      <c r="S333" s="246"/>
      <c r="T333" s="246"/>
      <c r="U333" s="246"/>
      <c r="V333" s="246"/>
      <c r="W333" s="246"/>
      <c r="X333" s="246"/>
      <c r="Y333" s="246"/>
      <c r="Z333" s="246"/>
      <c r="AA333" s="246"/>
      <c r="AB333" s="246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</row>
    <row r="334" spans="1:42" ht="21.75" customHeight="1" x14ac:dyDescent="0.25">
      <c r="A334" s="169">
        <v>1</v>
      </c>
      <c r="B334" s="169" t="s">
        <v>121</v>
      </c>
      <c r="C334" s="169" t="s">
        <v>30</v>
      </c>
      <c r="D334" s="247" t="s">
        <v>273</v>
      </c>
      <c r="E334" s="247"/>
      <c r="F334" s="247"/>
      <c r="G334" s="247"/>
      <c r="H334" s="247"/>
      <c r="I334" s="247"/>
      <c r="J334" s="247"/>
      <c r="K334" s="247"/>
      <c r="L334" s="247"/>
      <c r="M334" s="247"/>
      <c r="N334" s="247"/>
      <c r="O334" s="247"/>
      <c r="P334" s="247"/>
      <c r="Q334" s="247"/>
      <c r="R334" s="247"/>
      <c r="S334" s="247"/>
      <c r="T334" s="247"/>
      <c r="U334" s="247"/>
      <c r="V334" s="247"/>
      <c r="W334" s="247"/>
      <c r="X334" s="247"/>
      <c r="Y334" s="247"/>
      <c r="Z334" s="247"/>
      <c r="AA334" s="247"/>
      <c r="AB334" s="247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</row>
    <row r="335" spans="1:42" ht="21.75" customHeight="1" x14ac:dyDescent="0.25">
      <c r="A335" s="169">
        <v>2</v>
      </c>
      <c r="B335" s="169" t="s">
        <v>122</v>
      </c>
      <c r="C335" s="169" t="s">
        <v>254</v>
      </c>
      <c r="D335" s="247" t="s">
        <v>274</v>
      </c>
      <c r="E335" s="247"/>
      <c r="F335" s="247"/>
      <c r="G335" s="247"/>
      <c r="H335" s="247"/>
      <c r="I335" s="247"/>
      <c r="J335" s="247"/>
      <c r="K335" s="247"/>
      <c r="L335" s="247"/>
      <c r="M335" s="247"/>
      <c r="N335" s="247"/>
      <c r="O335" s="247"/>
      <c r="P335" s="247"/>
      <c r="Q335" s="247"/>
      <c r="R335" s="247"/>
      <c r="S335" s="247"/>
      <c r="T335" s="247"/>
      <c r="U335" s="247"/>
      <c r="V335" s="247"/>
      <c r="W335" s="247"/>
      <c r="X335" s="247"/>
      <c r="Y335" s="247"/>
      <c r="Z335" s="247"/>
      <c r="AA335" s="247"/>
      <c r="AB335" s="247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</row>
    <row r="336" spans="1:42" ht="21.75" customHeight="1" x14ac:dyDescent="0.25">
      <c r="A336" s="169">
        <v>3</v>
      </c>
      <c r="B336" s="169" t="s">
        <v>123</v>
      </c>
      <c r="C336" s="169" t="s">
        <v>30</v>
      </c>
      <c r="D336" s="247" t="s">
        <v>275</v>
      </c>
      <c r="E336" s="247"/>
      <c r="F336" s="247"/>
      <c r="G336" s="247"/>
      <c r="H336" s="247"/>
      <c r="I336" s="247"/>
      <c r="J336" s="247"/>
      <c r="K336" s="247"/>
      <c r="L336" s="247"/>
      <c r="M336" s="247"/>
      <c r="N336" s="247"/>
      <c r="O336" s="247"/>
      <c r="P336" s="247"/>
      <c r="Q336" s="247"/>
      <c r="R336" s="247"/>
      <c r="S336" s="247"/>
      <c r="T336" s="247"/>
      <c r="U336" s="247"/>
      <c r="V336" s="247"/>
      <c r="W336" s="247"/>
      <c r="X336" s="247"/>
      <c r="Y336" s="247"/>
      <c r="Z336" s="247"/>
      <c r="AA336" s="247"/>
      <c r="AB336" s="247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</row>
    <row r="337" spans="1:42" ht="21.75" customHeight="1" x14ac:dyDescent="0.25">
      <c r="A337" s="169">
        <v>4</v>
      </c>
      <c r="B337" s="169" t="s">
        <v>124</v>
      </c>
      <c r="C337" s="169" t="s">
        <v>0</v>
      </c>
      <c r="D337" s="247" t="s">
        <v>268</v>
      </c>
      <c r="E337" s="247"/>
      <c r="F337" s="247"/>
      <c r="G337" s="247"/>
      <c r="H337" s="247"/>
      <c r="I337" s="247"/>
      <c r="J337" s="247"/>
      <c r="K337" s="247"/>
      <c r="L337" s="247"/>
      <c r="M337" s="247"/>
      <c r="N337" s="247"/>
      <c r="O337" s="247"/>
      <c r="P337" s="247"/>
      <c r="Q337" s="247"/>
      <c r="R337" s="247"/>
      <c r="S337" s="247"/>
      <c r="T337" s="247"/>
      <c r="U337" s="247"/>
      <c r="V337" s="247"/>
      <c r="W337" s="247"/>
      <c r="X337" s="247"/>
      <c r="Y337" s="247"/>
      <c r="Z337" s="247"/>
      <c r="AA337" s="247"/>
      <c r="AB337" s="247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</row>
    <row r="338" spans="1:42" ht="14.25" customHeight="1" x14ac:dyDescent="0.25">
      <c r="A338" s="179"/>
      <c r="B338" s="179"/>
      <c r="C338" s="179"/>
      <c r="D338" s="191"/>
      <c r="E338" s="191"/>
      <c r="F338" s="191"/>
      <c r="G338" s="191"/>
      <c r="H338" s="191"/>
      <c r="I338" s="191"/>
      <c r="J338" s="191"/>
      <c r="K338" s="191"/>
      <c r="L338" s="191"/>
      <c r="M338" s="191"/>
      <c r="N338" s="191"/>
      <c r="O338" s="191"/>
      <c r="P338" s="191"/>
      <c r="Q338" s="191"/>
      <c r="R338" s="191"/>
      <c r="S338" s="191"/>
      <c r="T338" s="191"/>
      <c r="U338" s="191"/>
      <c r="V338" s="191"/>
      <c r="W338" s="191"/>
      <c r="X338" s="191"/>
      <c r="Y338" s="191"/>
      <c r="Z338" s="191"/>
      <c r="AA338" s="191"/>
      <c r="AB338" s="191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</row>
    <row r="339" spans="1:42" ht="21" customHeight="1" x14ac:dyDescent="0.25">
      <c r="A339" s="256" t="s">
        <v>28</v>
      </c>
      <c r="B339" s="256"/>
      <c r="C339" s="256"/>
      <c r="D339" s="256"/>
      <c r="E339" s="256"/>
      <c r="F339" s="256"/>
      <c r="G339" s="256"/>
      <c r="H339" s="256"/>
      <c r="I339" s="256"/>
      <c r="J339" s="256"/>
      <c r="K339" s="256"/>
      <c r="L339" s="256"/>
      <c r="M339" s="256"/>
      <c r="N339" s="256"/>
      <c r="O339" s="256"/>
      <c r="P339" s="256"/>
      <c r="Q339" s="256"/>
      <c r="R339" s="256"/>
      <c r="S339" s="68"/>
      <c r="T339" s="55"/>
      <c r="U339" s="55"/>
      <c r="V339" s="55"/>
      <c r="W339" s="55"/>
      <c r="X339" s="55"/>
      <c r="Y339" s="55"/>
      <c r="Z339" s="55"/>
      <c r="AA339" s="55"/>
      <c r="AB339" s="55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</row>
    <row r="340" spans="1:42" ht="28.5" customHeight="1" x14ac:dyDescent="0.25">
      <c r="A340" s="257" t="s">
        <v>289</v>
      </c>
      <c r="B340" s="257"/>
      <c r="C340" s="257"/>
      <c r="D340" s="257"/>
      <c r="E340" s="257"/>
      <c r="F340" s="257"/>
      <c r="G340" s="257"/>
      <c r="H340" s="257"/>
      <c r="I340" s="257"/>
      <c r="J340" s="257"/>
      <c r="K340" s="257"/>
      <c r="L340" s="257"/>
      <c r="M340" s="257"/>
      <c r="N340" s="257"/>
      <c r="O340" s="257"/>
      <c r="P340" s="257"/>
      <c r="Q340" s="257"/>
      <c r="R340" s="257"/>
      <c r="S340" s="257"/>
      <c r="T340" s="257"/>
      <c r="U340" s="257"/>
      <c r="V340" s="257"/>
      <c r="W340" s="257"/>
      <c r="X340" s="257"/>
      <c r="Y340" s="257"/>
      <c r="Z340" s="257"/>
      <c r="AA340" s="257"/>
      <c r="AB340" s="257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</row>
    <row r="341" spans="1:42" ht="15.75" hidden="1" customHeight="1" x14ac:dyDescent="0.25">
      <c r="A341" s="179"/>
      <c r="B341" s="179"/>
      <c r="C341" s="179"/>
      <c r="D341" s="191"/>
      <c r="E341" s="191"/>
      <c r="F341" s="191"/>
      <c r="G341" s="191"/>
      <c r="H341" s="191"/>
      <c r="I341" s="191"/>
      <c r="J341" s="191"/>
      <c r="K341" s="191"/>
      <c r="L341" s="191"/>
      <c r="M341" s="191"/>
      <c r="N341" s="191"/>
      <c r="O341" s="191"/>
      <c r="P341" s="191"/>
      <c r="Q341" s="191"/>
      <c r="R341" s="191"/>
      <c r="S341" s="191"/>
      <c r="T341" s="191"/>
      <c r="U341" s="191"/>
      <c r="V341" s="191"/>
      <c r="W341" s="191"/>
      <c r="X341" s="191"/>
      <c r="Y341" s="191"/>
      <c r="Z341" s="191"/>
      <c r="AA341" s="191"/>
      <c r="AB341" s="191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</row>
    <row r="342" spans="1:42" x14ac:dyDescent="0.25">
      <c r="B342" s="40"/>
      <c r="C342" s="40"/>
      <c r="D342" s="40"/>
      <c r="E342" s="40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</row>
    <row r="343" spans="1:42" ht="18" customHeight="1" x14ac:dyDescent="0.25">
      <c r="B343" s="93" t="s">
        <v>155</v>
      </c>
      <c r="C343" s="40"/>
      <c r="D343" s="40"/>
      <c r="E343" s="40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</row>
    <row r="344" spans="1:42" ht="15.75" x14ac:dyDescent="0.25">
      <c r="B344" s="93"/>
      <c r="C344" s="40"/>
      <c r="D344" s="40"/>
      <c r="E344" s="40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</row>
    <row r="345" spans="1:42" ht="15.75" x14ac:dyDescent="0.25">
      <c r="B345" s="128" t="s">
        <v>276</v>
      </c>
      <c r="C345" s="40"/>
      <c r="D345" s="40"/>
      <c r="E345" s="40"/>
    </row>
    <row r="346" spans="1:42" ht="15.75" x14ac:dyDescent="0.25">
      <c r="B346" s="128"/>
      <c r="C346" s="40"/>
      <c r="D346" s="40"/>
      <c r="E346" s="40"/>
    </row>
    <row r="347" spans="1:42" ht="33.75" customHeight="1" x14ac:dyDescent="0.25">
      <c r="B347" s="259" t="s">
        <v>207</v>
      </c>
      <c r="C347" s="259"/>
      <c r="D347" s="259"/>
      <c r="E347" s="259"/>
      <c r="F347" s="259"/>
      <c r="G347" s="259"/>
      <c r="H347" s="259"/>
      <c r="I347" s="259"/>
      <c r="J347" s="259"/>
      <c r="K347" s="259"/>
      <c r="L347" s="259"/>
      <c r="M347" s="261"/>
      <c r="N347" s="261"/>
      <c r="O347" s="261"/>
      <c r="P347" s="261"/>
      <c r="T347" s="260" t="s">
        <v>25</v>
      </c>
      <c r="U347" s="260"/>
      <c r="V347" s="260"/>
    </row>
    <row r="348" spans="1:42" x14ac:dyDescent="0.25">
      <c r="M348" s="262" t="s">
        <v>57</v>
      </c>
      <c r="N348" s="262"/>
      <c r="O348" s="262"/>
      <c r="P348" s="262"/>
      <c r="T348" s="263" t="s">
        <v>26</v>
      </c>
      <c r="U348" s="263"/>
      <c r="V348" s="263"/>
    </row>
    <row r="349" spans="1:42" ht="9.75" customHeight="1" x14ac:dyDescent="0.25">
      <c r="M349" s="134"/>
      <c r="N349" s="134"/>
      <c r="O349" s="134"/>
      <c r="P349" s="134"/>
      <c r="T349" s="133"/>
      <c r="U349" s="133"/>
      <c r="V349" s="133"/>
    </row>
    <row r="350" spans="1:42" ht="6.75" customHeight="1" x14ac:dyDescent="0.25">
      <c r="B350" s="31"/>
      <c r="T350" s="132"/>
      <c r="U350" s="68"/>
    </row>
    <row r="351" spans="1:42" ht="33" customHeight="1" x14ac:dyDescent="0.25">
      <c r="B351" s="258" t="s">
        <v>35</v>
      </c>
      <c r="C351" s="258"/>
      <c r="D351" s="258"/>
      <c r="E351" s="258"/>
      <c r="F351" s="258"/>
      <c r="G351" s="258"/>
      <c r="H351" s="258"/>
      <c r="I351" s="258"/>
      <c r="J351" s="258"/>
      <c r="K351" s="258"/>
      <c r="M351" s="261"/>
      <c r="N351" s="261"/>
      <c r="O351" s="261"/>
      <c r="P351" s="261"/>
      <c r="T351" s="260" t="s">
        <v>27</v>
      </c>
      <c r="U351" s="260"/>
      <c r="V351" s="260"/>
    </row>
    <row r="352" spans="1:42" ht="15.75" x14ac:dyDescent="0.25">
      <c r="B352" s="131"/>
      <c r="M352" s="262" t="s">
        <v>57</v>
      </c>
      <c r="N352" s="262"/>
      <c r="O352" s="262"/>
      <c r="P352" s="262"/>
      <c r="T352" s="263" t="s">
        <v>26</v>
      </c>
      <c r="U352" s="263"/>
      <c r="V352" s="263"/>
    </row>
    <row r="353" spans="2:5" ht="15.75" x14ac:dyDescent="0.25">
      <c r="B353" s="131"/>
    </row>
    <row r="354" spans="2:5" x14ac:dyDescent="0.25">
      <c r="B354" s="68"/>
    </row>
    <row r="355" spans="2:5" ht="15.75" x14ac:dyDescent="0.25">
      <c r="C355" s="196"/>
      <c r="D355" s="196"/>
      <c r="E355" s="196"/>
    </row>
  </sheetData>
  <mergeCells count="1147">
    <mergeCell ref="V245:W245"/>
    <mergeCell ref="R156:S156"/>
    <mergeCell ref="L156:M156"/>
    <mergeCell ref="P155:Q155"/>
    <mergeCell ref="R148:S148"/>
    <mergeCell ref="V149:W149"/>
    <mergeCell ref="P201:Q201"/>
    <mergeCell ref="L214:M214"/>
    <mergeCell ref="P217:Q217"/>
    <mergeCell ref="V162:W162"/>
    <mergeCell ref="V214:W214"/>
    <mergeCell ref="T146:U146"/>
    <mergeCell ref="L147:M147"/>
    <mergeCell ref="R158:S158"/>
    <mergeCell ref="P162:Q162"/>
    <mergeCell ref="V164:W164"/>
    <mergeCell ref="V166:W166"/>
    <mergeCell ref="V163:W163"/>
    <mergeCell ref="V213:W213"/>
    <mergeCell ref="T160:U160"/>
    <mergeCell ref="R147:S147"/>
    <mergeCell ref="T147:U147"/>
    <mergeCell ref="B155:J155"/>
    <mergeCell ref="B147:E147"/>
    <mergeCell ref="B153:J153"/>
    <mergeCell ref="P147:Q147"/>
    <mergeCell ref="B150:E150"/>
    <mergeCell ref="R152:S152"/>
    <mergeCell ref="T153:U153"/>
    <mergeCell ref="L148:M148"/>
    <mergeCell ref="B158:E158"/>
    <mergeCell ref="B154:J154"/>
    <mergeCell ref="AD244:AE244"/>
    <mergeCell ref="P156:Q156"/>
    <mergeCell ref="T183:U183"/>
    <mergeCell ref="R199:S199"/>
    <mergeCell ref="T211:U211"/>
    <mergeCell ref="L210:M210"/>
    <mergeCell ref="P215:Q215"/>
    <mergeCell ref="L208:M208"/>
    <mergeCell ref="R138:S138"/>
    <mergeCell ref="L217:M217"/>
    <mergeCell ref="P195:Q195"/>
    <mergeCell ref="T141:U141"/>
    <mergeCell ref="T142:U142"/>
    <mergeCell ref="L136:M136"/>
    <mergeCell ref="R140:S140"/>
    <mergeCell ref="T136:U136"/>
    <mergeCell ref="T137:U137"/>
    <mergeCell ref="P144:Q144"/>
    <mergeCell ref="L137:M137"/>
    <mergeCell ref="R135:S135"/>
    <mergeCell ref="B139:E139"/>
    <mergeCell ref="L139:M139"/>
    <mergeCell ref="L140:M140"/>
    <mergeCell ref="B137:E137"/>
    <mergeCell ref="B136:E136"/>
    <mergeCell ref="R139:S139"/>
    <mergeCell ref="P140:Q140"/>
    <mergeCell ref="B140:E140"/>
    <mergeCell ref="P141:Q141"/>
    <mergeCell ref="P143:Q143"/>
    <mergeCell ref="L128:M128"/>
    <mergeCell ref="T135:U135"/>
    <mergeCell ref="R129:S129"/>
    <mergeCell ref="P129:Q129"/>
    <mergeCell ref="T128:U128"/>
    <mergeCell ref="P137:Q137"/>
    <mergeCell ref="R136:S136"/>
    <mergeCell ref="B131:S131"/>
    <mergeCell ref="B144:E144"/>
    <mergeCell ref="B141:E141"/>
    <mergeCell ref="B142:E142"/>
    <mergeCell ref="L141:M141"/>
    <mergeCell ref="B179:E179"/>
    <mergeCell ref="P175:Q175"/>
    <mergeCell ref="B160:E160"/>
    <mergeCell ref="B163:J163"/>
    <mergeCell ref="L174:M174"/>
    <mergeCell ref="B169:E169"/>
    <mergeCell ref="T251:U251"/>
    <mergeCell ref="B210:E210"/>
    <mergeCell ref="B209:E209"/>
    <mergeCell ref="P199:Q199"/>
    <mergeCell ref="R190:S190"/>
    <mergeCell ref="P184:Q184"/>
    <mergeCell ref="P210:Q210"/>
    <mergeCell ref="R243:S243"/>
    <mergeCell ref="R239:S239"/>
    <mergeCell ref="R240:S240"/>
    <mergeCell ref="T253:U253"/>
    <mergeCell ref="R191:S191"/>
    <mergeCell ref="P209:Q209"/>
    <mergeCell ref="B261:E261"/>
    <mergeCell ref="B262:E262"/>
    <mergeCell ref="P255:Q255"/>
    <mergeCell ref="L257:M257"/>
    <mergeCell ref="B257:E257"/>
    <mergeCell ref="B259:E259"/>
    <mergeCell ref="T260:U260"/>
    <mergeCell ref="R263:S263"/>
    <mergeCell ref="T262:U262"/>
    <mergeCell ref="R260:S260"/>
    <mergeCell ref="B212:E212"/>
    <mergeCell ref="B211:E211"/>
    <mergeCell ref="L254:M254"/>
    <mergeCell ref="P260:Q260"/>
    <mergeCell ref="L260:M260"/>
    <mergeCell ref="L259:M259"/>
    <mergeCell ref="B255:E255"/>
    <mergeCell ref="T352:V352"/>
    <mergeCell ref="P263:Q263"/>
    <mergeCell ref="L263:M263"/>
    <mergeCell ref="L262:M262"/>
    <mergeCell ref="B258:E258"/>
    <mergeCell ref="T263:U263"/>
    <mergeCell ref="T272:U272"/>
    <mergeCell ref="D282:AB282"/>
    <mergeCell ref="L264:M264"/>
    <mergeCell ref="M352:P352"/>
    <mergeCell ref="B264:J264"/>
    <mergeCell ref="T274:U274"/>
    <mergeCell ref="T275:U275"/>
    <mergeCell ref="T264:U264"/>
    <mergeCell ref="R264:S264"/>
    <mergeCell ref="R268:S268"/>
    <mergeCell ref="R269:S269"/>
    <mergeCell ref="B271:E271"/>
    <mergeCell ref="R270:S270"/>
    <mergeCell ref="P273:Q273"/>
    <mergeCell ref="T256:U256"/>
    <mergeCell ref="T259:U259"/>
    <mergeCell ref="R257:S257"/>
    <mergeCell ref="R262:S262"/>
    <mergeCell ref="T273:U273"/>
    <mergeCell ref="V271:W271"/>
    <mergeCell ref="V272:W272"/>
    <mergeCell ref="T258:U258"/>
    <mergeCell ref="T261:U261"/>
    <mergeCell ref="T257:U257"/>
    <mergeCell ref="D281:AB281"/>
    <mergeCell ref="T271:U271"/>
    <mergeCell ref="T268:U268"/>
    <mergeCell ref="T269:U269"/>
    <mergeCell ref="T270:U270"/>
    <mergeCell ref="P264:Q264"/>
    <mergeCell ref="T267:U267"/>
    <mergeCell ref="L268:M268"/>
    <mergeCell ref="L269:M269"/>
    <mergeCell ref="B275:E275"/>
    <mergeCell ref="AA20:AB20"/>
    <mergeCell ref="V47:Y47"/>
    <mergeCell ref="R166:S166"/>
    <mergeCell ref="L155:M155"/>
    <mergeCell ref="L193:M193"/>
    <mergeCell ref="R143:S143"/>
    <mergeCell ref="L165:M165"/>
    <mergeCell ref="T134:U134"/>
    <mergeCell ref="R137:S137"/>
    <mergeCell ref="P165:Q165"/>
    <mergeCell ref="V114:W114"/>
    <mergeCell ref="B206:J206"/>
    <mergeCell ref="B175:E175"/>
    <mergeCell ref="L181:M181"/>
    <mergeCell ref="B181:E181"/>
    <mergeCell ref="L186:M186"/>
    <mergeCell ref="V145:W145"/>
    <mergeCell ref="L175:M175"/>
    <mergeCell ref="L183:M183"/>
    <mergeCell ref="L205:M205"/>
    <mergeCell ref="C65:AA65"/>
    <mergeCell ref="C66:AA66"/>
    <mergeCell ref="V125:W125"/>
    <mergeCell ref="T143:U143"/>
    <mergeCell ref="V175:W175"/>
    <mergeCell ref="V118:W118"/>
    <mergeCell ref="P126:Q126"/>
    <mergeCell ref="T139:U139"/>
    <mergeCell ref="T161:U161"/>
    <mergeCell ref="B104:J104"/>
    <mergeCell ref="AA13:AB13"/>
    <mergeCell ref="AA16:AB16"/>
    <mergeCell ref="AA19:AB19"/>
    <mergeCell ref="AA14:AB14"/>
    <mergeCell ref="AA17:AB17"/>
    <mergeCell ref="R48:S48"/>
    <mergeCell ref="R20:Y20"/>
    <mergeCell ref="C24:Z24"/>
    <mergeCell ref="C32:Z32"/>
    <mergeCell ref="C38:Z38"/>
    <mergeCell ref="C35:Z35"/>
    <mergeCell ref="E19:K19"/>
    <mergeCell ref="M19:P19"/>
    <mergeCell ref="M20:P20"/>
    <mergeCell ref="T56:U56"/>
    <mergeCell ref="R54:S54"/>
    <mergeCell ref="B56:E56"/>
    <mergeCell ref="P50:Q50"/>
    <mergeCell ref="R50:S50"/>
    <mergeCell ref="T52:U52"/>
    <mergeCell ref="V109:W109"/>
    <mergeCell ref="V115:W115"/>
    <mergeCell ref="L108:M108"/>
    <mergeCell ref="L107:M107"/>
    <mergeCell ref="L104:O104"/>
    <mergeCell ref="R99:S99"/>
    <mergeCell ref="L102:O102"/>
    <mergeCell ref="L100:O100"/>
    <mergeCell ref="T99:U99"/>
    <mergeCell ref="R101:S101"/>
    <mergeCell ref="M9:T9"/>
    <mergeCell ref="M10:T10"/>
    <mergeCell ref="B22:Y22"/>
    <mergeCell ref="P54:Q54"/>
    <mergeCell ref="B13:C13"/>
    <mergeCell ref="L144:M144"/>
    <mergeCell ref="P132:Q132"/>
    <mergeCell ref="K14:R14"/>
    <mergeCell ref="P53:Q53"/>
    <mergeCell ref="T51:U51"/>
    <mergeCell ref="B16:C16"/>
    <mergeCell ref="B19:C19"/>
    <mergeCell ref="B14:C14"/>
    <mergeCell ref="R19:Y19"/>
    <mergeCell ref="C31:Z31"/>
    <mergeCell ref="C34:Z34"/>
    <mergeCell ref="B17:C17"/>
    <mergeCell ref="B20:C20"/>
    <mergeCell ref="K17:R17"/>
    <mergeCell ref="E20:K20"/>
    <mergeCell ref="P221:Q221"/>
    <mergeCell ref="R255:S255"/>
    <mergeCell ref="P163:Q163"/>
    <mergeCell ref="B173:E173"/>
    <mergeCell ref="L251:M251"/>
    <mergeCell ref="L245:M245"/>
    <mergeCell ref="P233:Q233"/>
    <mergeCell ref="R238:S238"/>
    <mergeCell ref="R242:S242"/>
    <mergeCell ref="L182:M182"/>
    <mergeCell ref="R258:S258"/>
    <mergeCell ref="P254:Q254"/>
    <mergeCell ref="L235:M235"/>
    <mergeCell ref="B256:E256"/>
    <mergeCell ref="R250:S250"/>
    <mergeCell ref="P257:Q257"/>
    <mergeCell ref="R247:S247"/>
    <mergeCell ref="P248:Q248"/>
    <mergeCell ref="R248:S248"/>
    <mergeCell ref="P256:Q256"/>
    <mergeCell ref="R249:S249"/>
    <mergeCell ref="R253:S253"/>
    <mergeCell ref="R256:S256"/>
    <mergeCell ref="R246:S246"/>
    <mergeCell ref="P251:Q251"/>
    <mergeCell ref="R251:S251"/>
    <mergeCell ref="T255:U255"/>
    <mergeCell ref="B277:E277"/>
    <mergeCell ref="R277:S277"/>
    <mergeCell ref="B251:E251"/>
    <mergeCell ref="L258:M258"/>
    <mergeCell ref="R254:S254"/>
    <mergeCell ref="B276:J276"/>
    <mergeCell ref="R274:S274"/>
    <mergeCell ref="R275:S275"/>
    <mergeCell ref="R276:S276"/>
    <mergeCell ref="L238:M238"/>
    <mergeCell ref="B242:E242"/>
    <mergeCell ref="P249:Q249"/>
    <mergeCell ref="P258:Q258"/>
    <mergeCell ref="L249:M249"/>
    <mergeCell ref="L246:M246"/>
    <mergeCell ref="P246:Q246"/>
    <mergeCell ref="L247:M247"/>
    <mergeCell ref="P247:Q247"/>
    <mergeCell ref="P239:Q239"/>
    <mergeCell ref="B245:E245"/>
    <mergeCell ref="B241:E241"/>
    <mergeCell ref="L241:M241"/>
    <mergeCell ref="P241:Q241"/>
    <mergeCell ref="B253:E253"/>
    <mergeCell ref="B250:E250"/>
    <mergeCell ref="B246:E246"/>
    <mergeCell ref="L250:M250"/>
    <mergeCell ref="P250:Q250"/>
    <mergeCell ref="L242:M242"/>
    <mergeCell ref="B239:E239"/>
    <mergeCell ref="B248:E248"/>
    <mergeCell ref="T247:U247"/>
    <mergeCell ref="T245:U245"/>
    <mergeCell ref="B244:E244"/>
    <mergeCell ref="T240:U240"/>
    <mergeCell ref="P243:Q243"/>
    <mergeCell ref="R244:S244"/>
    <mergeCell ref="R245:S245"/>
    <mergeCell ref="B243:E243"/>
    <mergeCell ref="R235:S235"/>
    <mergeCell ref="R232:S232"/>
    <mergeCell ref="T237:U237"/>
    <mergeCell ref="L234:M234"/>
    <mergeCell ref="B237:E237"/>
    <mergeCell ref="B235:E235"/>
    <mergeCell ref="B234:E234"/>
    <mergeCell ref="P235:Q235"/>
    <mergeCell ref="B236:E236"/>
    <mergeCell ref="R236:S236"/>
    <mergeCell ref="L222:M222"/>
    <mergeCell ref="L223:M223"/>
    <mergeCell ref="L229:M229"/>
    <mergeCell ref="B222:E222"/>
    <mergeCell ref="R228:S228"/>
    <mergeCell ref="P226:Q226"/>
    <mergeCell ref="B228:E228"/>
    <mergeCell ref="T224:U224"/>
    <mergeCell ref="R226:S226"/>
    <mergeCell ref="R225:S225"/>
    <mergeCell ref="B231:E231"/>
    <mergeCell ref="P232:Q232"/>
    <mergeCell ref="L231:M231"/>
    <mergeCell ref="P231:Q231"/>
    <mergeCell ref="R230:S230"/>
    <mergeCell ref="R231:S231"/>
    <mergeCell ref="P230:Q230"/>
    <mergeCell ref="T218:U218"/>
    <mergeCell ref="R203:S203"/>
    <mergeCell ref="R208:S208"/>
    <mergeCell ref="T228:U228"/>
    <mergeCell ref="P228:Q228"/>
    <mergeCell ref="T231:U231"/>
    <mergeCell ref="P223:Q223"/>
    <mergeCell ref="P224:Q224"/>
    <mergeCell ref="R224:S224"/>
    <mergeCell ref="T225:U225"/>
    <mergeCell ref="T167:U167"/>
    <mergeCell ref="R169:S169"/>
    <mergeCell ref="B185:E185"/>
    <mergeCell ref="P205:Q205"/>
    <mergeCell ref="P204:Q204"/>
    <mergeCell ref="R209:S209"/>
    <mergeCell ref="T209:U209"/>
    <mergeCell ref="P192:Q192"/>
    <mergeCell ref="R205:S205"/>
    <mergeCell ref="R202:S202"/>
    <mergeCell ref="V167:W167"/>
    <mergeCell ref="R179:S179"/>
    <mergeCell ref="T172:U172"/>
    <mergeCell ref="R171:S171"/>
    <mergeCell ref="T171:U171"/>
    <mergeCell ref="T190:U190"/>
    <mergeCell ref="T169:U169"/>
    <mergeCell ref="T186:U186"/>
    <mergeCell ref="T185:U185"/>
    <mergeCell ref="V176:W176"/>
    <mergeCell ref="T175:U175"/>
    <mergeCell ref="L179:M179"/>
    <mergeCell ref="L196:M196"/>
    <mergeCell ref="P187:Q187"/>
    <mergeCell ref="P193:Q193"/>
    <mergeCell ref="P183:Q183"/>
    <mergeCell ref="P181:Q181"/>
    <mergeCell ref="R186:S186"/>
    <mergeCell ref="P179:Q179"/>
    <mergeCell ref="T193:U193"/>
    <mergeCell ref="R207:S207"/>
    <mergeCell ref="P166:Q166"/>
    <mergeCell ref="R181:S181"/>
    <mergeCell ref="R182:S182"/>
    <mergeCell ref="P218:Q218"/>
    <mergeCell ref="L219:M219"/>
    <mergeCell ref="R218:S218"/>
    <mergeCell ref="R216:S216"/>
    <mergeCell ref="P214:Q214"/>
    <mergeCell ref="L184:M184"/>
    <mergeCell ref="R167:S167"/>
    <mergeCell ref="B274:E274"/>
    <mergeCell ref="B170:E170"/>
    <mergeCell ref="B167:E167"/>
    <mergeCell ref="L169:M169"/>
    <mergeCell ref="R271:S271"/>
    <mergeCell ref="R272:S272"/>
    <mergeCell ref="R273:S273"/>
    <mergeCell ref="P270:Q270"/>
    <mergeCell ref="P271:Q271"/>
    <mergeCell ref="B156:J156"/>
    <mergeCell ref="B177:E177"/>
    <mergeCell ref="L195:M195"/>
    <mergeCell ref="B180:E180"/>
    <mergeCell ref="L178:M178"/>
    <mergeCell ref="P178:Q178"/>
    <mergeCell ref="P173:Q173"/>
    <mergeCell ref="P182:Q182"/>
    <mergeCell ref="B162:J162"/>
    <mergeCell ref="B171:J171"/>
    <mergeCell ref="B83:E83"/>
    <mergeCell ref="L95:M95"/>
    <mergeCell ref="B97:J97"/>
    <mergeCell ref="A47:A48"/>
    <mergeCell ref="B49:E49"/>
    <mergeCell ref="P49:Q49"/>
    <mergeCell ref="C68:AA68"/>
    <mergeCell ref="C69:AA69"/>
    <mergeCell ref="C77:AA77"/>
    <mergeCell ref="C74:AA74"/>
    <mergeCell ref="B106:J106"/>
    <mergeCell ref="P114:Q114"/>
    <mergeCell ref="B110:J110"/>
    <mergeCell ref="T49:U49"/>
    <mergeCell ref="R49:S49"/>
    <mergeCell ref="P106:Q106"/>
    <mergeCell ref="C76:AA76"/>
    <mergeCell ref="B103:J103"/>
    <mergeCell ref="V106:W106"/>
    <mergeCell ref="R104:S104"/>
    <mergeCell ref="B166:E166"/>
    <mergeCell ref="L166:M166"/>
    <mergeCell ref="P145:Q145"/>
    <mergeCell ref="T144:U144"/>
    <mergeCell ref="AE107:AW107"/>
    <mergeCell ref="L106:O106"/>
    <mergeCell ref="B107:E107"/>
    <mergeCell ref="B126:E126"/>
    <mergeCell ref="L126:M126"/>
    <mergeCell ref="T126:U126"/>
    <mergeCell ref="T155:U155"/>
    <mergeCell ref="T166:U166"/>
    <mergeCell ref="T170:U170"/>
    <mergeCell ref="P169:Q169"/>
    <mergeCell ref="L228:M228"/>
    <mergeCell ref="B157:E157"/>
    <mergeCell ref="L167:M167"/>
    <mergeCell ref="B159:E159"/>
    <mergeCell ref="L162:M162"/>
    <mergeCell ref="R157:S157"/>
    <mergeCell ref="L146:M146"/>
    <mergeCell ref="P146:Q146"/>
    <mergeCell ref="R146:S146"/>
    <mergeCell ref="T129:U129"/>
    <mergeCell ref="P136:Q136"/>
    <mergeCell ref="R142:S142"/>
    <mergeCell ref="R144:S144"/>
    <mergeCell ref="T140:U140"/>
    <mergeCell ref="L135:M135"/>
    <mergeCell ref="L138:M138"/>
    <mergeCell ref="V153:W153"/>
    <mergeCell ref="R145:S145"/>
    <mergeCell ref="R132:S132"/>
    <mergeCell ref="T131:U131"/>
    <mergeCell ref="B121:E121"/>
    <mergeCell ref="B125:E125"/>
    <mergeCell ref="B148:E148"/>
    <mergeCell ref="R150:S150"/>
    <mergeCell ref="B123:E123"/>
    <mergeCell ref="T145:U145"/>
    <mergeCell ref="A81:A82"/>
    <mergeCell ref="K81:M81"/>
    <mergeCell ref="B81:E82"/>
    <mergeCell ref="B96:J96"/>
    <mergeCell ref="L96:O96"/>
    <mergeCell ref="P128:Q128"/>
    <mergeCell ref="L97:O97"/>
    <mergeCell ref="A91:A92"/>
    <mergeCell ref="B115:J115"/>
    <mergeCell ref="B114:J114"/>
    <mergeCell ref="B109:J109"/>
    <mergeCell ref="B111:J111"/>
    <mergeCell ref="L111:M111"/>
    <mergeCell ref="B112:J112"/>
    <mergeCell ref="B108:J108"/>
    <mergeCell ref="L113:M113"/>
    <mergeCell ref="L110:M110"/>
    <mergeCell ref="L112:M112"/>
    <mergeCell ref="B99:E99"/>
    <mergeCell ref="L103:O103"/>
    <mergeCell ref="L98:O98"/>
    <mergeCell ref="L101:M101"/>
    <mergeCell ref="B102:J102"/>
    <mergeCell ref="B100:J100"/>
    <mergeCell ref="L99:O99"/>
    <mergeCell ref="B101:E101"/>
    <mergeCell ref="B98:J98"/>
    <mergeCell ref="B95:E95"/>
    <mergeCell ref="P85:Q85"/>
    <mergeCell ref="P95:Q95"/>
    <mergeCell ref="B93:E93"/>
    <mergeCell ref="L93:M93"/>
    <mergeCell ref="B94:AB94"/>
    <mergeCell ref="T86:U86"/>
    <mergeCell ref="R85:S85"/>
    <mergeCell ref="Z91:AB91"/>
    <mergeCell ref="T92:U92"/>
    <mergeCell ref="V91:Y91"/>
    <mergeCell ref="B86:E86"/>
    <mergeCell ref="P92:Q92"/>
    <mergeCell ref="P91:U91"/>
    <mergeCell ref="R92:S92"/>
    <mergeCell ref="K91:K92"/>
    <mergeCell ref="L91:M92"/>
    <mergeCell ref="B91:E92"/>
    <mergeCell ref="C75:AA75"/>
    <mergeCell ref="A89:R89"/>
    <mergeCell ref="P86:Q86"/>
    <mergeCell ref="R86:S86"/>
    <mergeCell ref="V81:Y81"/>
    <mergeCell ref="T82:U82"/>
    <mergeCell ref="P83:Q83"/>
    <mergeCell ref="P82:Q82"/>
    <mergeCell ref="B84:E84"/>
    <mergeCell ref="B85:E85"/>
    <mergeCell ref="P57:Q57"/>
    <mergeCell ref="R56:S56"/>
    <mergeCell ref="B57:E57"/>
    <mergeCell ref="B58:E58"/>
    <mergeCell ref="P58:Q58"/>
    <mergeCell ref="P56:Q56"/>
    <mergeCell ref="R57:S57"/>
    <mergeCell ref="R58:S58"/>
    <mergeCell ref="B61:E61"/>
    <mergeCell ref="C71:AA71"/>
    <mergeCell ref="C72:AA72"/>
    <mergeCell ref="C73:AA73"/>
    <mergeCell ref="R59:S59"/>
    <mergeCell ref="C67:AA67"/>
    <mergeCell ref="B59:E59"/>
    <mergeCell ref="P61:Q61"/>
    <mergeCell ref="P59:Q59"/>
    <mergeCell ref="C70:AA70"/>
    <mergeCell ref="T98:U98"/>
    <mergeCell ref="T58:U58"/>
    <mergeCell ref="T95:U95"/>
    <mergeCell ref="T85:U85"/>
    <mergeCell ref="R61:S61"/>
    <mergeCell ref="T57:U57"/>
    <mergeCell ref="R95:S95"/>
    <mergeCell ref="T83:U83"/>
    <mergeCell ref="T59:U59"/>
    <mergeCell ref="T61:U61"/>
    <mergeCell ref="R96:S96"/>
    <mergeCell ref="T96:U96"/>
    <mergeCell ref="P96:Q96"/>
    <mergeCell ref="R97:S97"/>
    <mergeCell ref="P93:Q93"/>
    <mergeCell ref="R93:S93"/>
    <mergeCell ref="T93:U93"/>
    <mergeCell ref="T101:U101"/>
    <mergeCell ref="P97:Q97"/>
    <mergeCell ref="P98:Q98"/>
    <mergeCell ref="P99:Q99"/>
    <mergeCell ref="P100:Q100"/>
    <mergeCell ref="T97:U97"/>
    <mergeCell ref="R98:S98"/>
    <mergeCell ref="P101:Q101"/>
    <mergeCell ref="T100:U100"/>
    <mergeCell ref="R100:S100"/>
    <mergeCell ref="P104:Q104"/>
    <mergeCell ref="R112:S112"/>
    <mergeCell ref="R105:S105"/>
    <mergeCell ref="T105:U105"/>
    <mergeCell ref="T103:U103"/>
    <mergeCell ref="T106:U106"/>
    <mergeCell ref="T110:U110"/>
    <mergeCell ref="T109:U109"/>
    <mergeCell ref="R110:S110"/>
    <mergeCell ref="T108:U108"/>
    <mergeCell ref="V102:W102"/>
    <mergeCell ref="T102:U102"/>
    <mergeCell ref="R103:S103"/>
    <mergeCell ref="R102:S102"/>
    <mergeCell ref="V104:W104"/>
    <mergeCell ref="T104:U104"/>
    <mergeCell ref="P102:Q102"/>
    <mergeCell ref="R108:S108"/>
    <mergeCell ref="P109:Q109"/>
    <mergeCell ref="P108:Q108"/>
    <mergeCell ref="P103:Q103"/>
    <mergeCell ref="P112:Q112"/>
    <mergeCell ref="R111:S111"/>
    <mergeCell ref="P107:Q107"/>
    <mergeCell ref="R106:S106"/>
    <mergeCell ref="R107:S107"/>
    <mergeCell ref="L115:M115"/>
    <mergeCell ref="P110:Q110"/>
    <mergeCell ref="R113:S113"/>
    <mergeCell ref="L114:M114"/>
    <mergeCell ref="B113:E113"/>
    <mergeCell ref="B116:J116"/>
    <mergeCell ref="L116:M116"/>
    <mergeCell ref="P113:Q113"/>
    <mergeCell ref="P116:Q116"/>
    <mergeCell ref="L120:M120"/>
    <mergeCell ref="B119:Q119"/>
    <mergeCell ref="L121:M121"/>
    <mergeCell ref="R116:S116"/>
    <mergeCell ref="T132:U132"/>
    <mergeCell ref="P130:Q130"/>
    <mergeCell ref="R128:S128"/>
    <mergeCell ref="T123:U123"/>
    <mergeCell ref="T122:U122"/>
    <mergeCell ref="T117:U117"/>
    <mergeCell ref="B133:E133"/>
    <mergeCell ref="P134:Q134"/>
    <mergeCell ref="L117:M117"/>
    <mergeCell ref="P118:Q118"/>
    <mergeCell ref="P121:Q121"/>
    <mergeCell ref="B118:J118"/>
    <mergeCell ref="L125:M125"/>
    <mergeCell ref="P120:Q120"/>
    <mergeCell ref="B117:J117"/>
    <mergeCell ref="P125:Q125"/>
    <mergeCell ref="L143:M143"/>
    <mergeCell ref="R130:S130"/>
    <mergeCell ref="B132:E132"/>
    <mergeCell ref="B135:E135"/>
    <mergeCell ref="B138:E138"/>
    <mergeCell ref="L133:M133"/>
    <mergeCell ref="R141:S141"/>
    <mergeCell ref="B134:E134"/>
    <mergeCell ref="B143:E143"/>
    <mergeCell ref="L142:M142"/>
    <mergeCell ref="P154:Q154"/>
    <mergeCell ref="T152:U152"/>
    <mergeCell ref="R134:S134"/>
    <mergeCell ref="P152:Q152"/>
    <mergeCell ref="R154:S154"/>
    <mergeCell ref="R153:S153"/>
    <mergeCell ref="P149:Q149"/>
    <mergeCell ref="T138:U138"/>
    <mergeCell ref="P153:Q153"/>
    <mergeCell ref="P139:Q139"/>
    <mergeCell ref="R159:S159"/>
    <mergeCell ref="L157:M157"/>
    <mergeCell ref="P176:Q176"/>
    <mergeCell ref="L171:M171"/>
    <mergeCell ref="P157:Q157"/>
    <mergeCell ref="N208:O208"/>
    <mergeCell ref="L160:M160"/>
    <mergeCell ref="P191:Q191"/>
    <mergeCell ref="L173:M173"/>
    <mergeCell ref="L190:M190"/>
    <mergeCell ref="T202:U202"/>
    <mergeCell ref="P206:Q206"/>
    <mergeCell ref="P229:Q229"/>
    <mergeCell ref="R210:S210"/>
    <mergeCell ref="B240:Q240"/>
    <mergeCell ref="T212:U212"/>
    <mergeCell ref="T207:U207"/>
    <mergeCell ref="R219:S219"/>
    <mergeCell ref="L236:M236"/>
    <mergeCell ref="B226:J226"/>
    <mergeCell ref="R212:S212"/>
    <mergeCell ref="R223:S223"/>
    <mergeCell ref="P253:Q253"/>
    <mergeCell ref="L221:M221"/>
    <mergeCell ref="P213:Q213"/>
    <mergeCell ref="R217:S217"/>
    <mergeCell ref="R215:S215"/>
    <mergeCell ref="L243:M243"/>
    <mergeCell ref="R214:S214"/>
    <mergeCell ref="L220:M220"/>
    <mergeCell ref="L233:M233"/>
    <mergeCell ref="L237:M237"/>
    <mergeCell ref="L224:M224"/>
    <mergeCell ref="P219:Q219"/>
    <mergeCell ref="P216:Q216"/>
    <mergeCell ref="P207:Q207"/>
    <mergeCell ref="P212:Q212"/>
    <mergeCell ref="L218:M218"/>
    <mergeCell ref="L212:M212"/>
    <mergeCell ref="P222:Q222"/>
    <mergeCell ref="B216:E216"/>
    <mergeCell ref="P148:Q148"/>
    <mergeCell ref="L215:M215"/>
    <mergeCell ref="P220:Q220"/>
    <mergeCell ref="R163:S163"/>
    <mergeCell ref="R211:S211"/>
    <mergeCell ref="P208:Q208"/>
    <mergeCell ref="R200:S200"/>
    <mergeCell ref="P159:Q159"/>
    <mergeCell ref="L185:M185"/>
    <mergeCell ref="L256:M256"/>
    <mergeCell ref="T254:U254"/>
    <mergeCell ref="T125:U125"/>
    <mergeCell ref="L134:M134"/>
    <mergeCell ref="B202:E202"/>
    <mergeCell ref="P225:Q225"/>
    <mergeCell ref="B208:E208"/>
    <mergeCell ref="B207:J207"/>
    <mergeCell ref="L207:M207"/>
    <mergeCell ref="B219:E219"/>
    <mergeCell ref="T266:U266"/>
    <mergeCell ref="R267:S267"/>
    <mergeCell ref="T223:U223"/>
    <mergeCell ref="B223:E223"/>
    <mergeCell ref="B224:E224"/>
    <mergeCell ref="L226:M226"/>
    <mergeCell ref="L253:M253"/>
    <mergeCell ref="B254:E254"/>
    <mergeCell ref="B252:AB252"/>
    <mergeCell ref="B230:E230"/>
    <mergeCell ref="T118:U118"/>
    <mergeCell ref="R121:S121"/>
    <mergeCell ref="R120:S120"/>
    <mergeCell ref="R122:S122"/>
    <mergeCell ref="R127:S127"/>
    <mergeCell ref="R125:S125"/>
    <mergeCell ref="T124:U124"/>
    <mergeCell ref="T121:U121"/>
    <mergeCell ref="B127:E127"/>
    <mergeCell ref="B124:E124"/>
    <mergeCell ref="L124:M124"/>
    <mergeCell ref="L123:M123"/>
    <mergeCell ref="R115:S115"/>
    <mergeCell ref="L118:M118"/>
    <mergeCell ref="R119:S119"/>
    <mergeCell ref="P124:Q124"/>
    <mergeCell ref="P127:Q127"/>
    <mergeCell ref="B120:E120"/>
    <mergeCell ref="L132:M132"/>
    <mergeCell ref="R118:S118"/>
    <mergeCell ref="R117:S117"/>
    <mergeCell ref="L105:O105"/>
    <mergeCell ref="T107:U107"/>
    <mergeCell ref="L109:M109"/>
    <mergeCell ref="R109:S109"/>
    <mergeCell ref="R114:S114"/>
    <mergeCell ref="T116:U116"/>
    <mergeCell ref="T113:U113"/>
    <mergeCell ref="T114:U114"/>
    <mergeCell ref="T115:U115"/>
    <mergeCell ref="L266:M266"/>
    <mergeCell ref="P266:Q266"/>
    <mergeCell ref="R266:S266"/>
    <mergeCell ref="L199:M199"/>
    <mergeCell ref="L206:M206"/>
    <mergeCell ref="L244:M244"/>
    <mergeCell ref="L255:M255"/>
    <mergeCell ref="L248:M248"/>
    <mergeCell ref="L145:M145"/>
    <mergeCell ref="B146:E146"/>
    <mergeCell ref="T156:U156"/>
    <mergeCell ref="T148:U148"/>
    <mergeCell ref="L150:M150"/>
    <mergeCell ref="L149:M149"/>
    <mergeCell ref="L153:M153"/>
    <mergeCell ref="R151:S151"/>
    <mergeCell ref="T150:U150"/>
    <mergeCell ref="T151:U151"/>
    <mergeCell ref="L152:M152"/>
    <mergeCell ref="T154:U154"/>
    <mergeCell ref="T149:U149"/>
    <mergeCell ref="R149:S149"/>
    <mergeCell ref="P161:Q161"/>
    <mergeCell ref="R160:S160"/>
    <mergeCell ref="B151:Q151"/>
    <mergeCell ref="P158:Q158"/>
    <mergeCell ref="P160:Q160"/>
    <mergeCell ref="T158:U158"/>
    <mergeCell ref="P150:Q150"/>
    <mergeCell ref="L159:M159"/>
    <mergeCell ref="B176:E176"/>
    <mergeCell ref="R165:S165"/>
    <mergeCell ref="T157:U157"/>
    <mergeCell ref="T159:U159"/>
    <mergeCell ref="L170:M170"/>
    <mergeCell ref="P170:Q170"/>
    <mergeCell ref="P174:Q174"/>
    <mergeCell ref="R162:S162"/>
    <mergeCell ref="R177:S177"/>
    <mergeCell ref="R193:S193"/>
    <mergeCell ref="P186:Q186"/>
    <mergeCell ref="P189:Q189"/>
    <mergeCell ref="R185:S185"/>
    <mergeCell ref="B178:E178"/>
    <mergeCell ref="R183:S183"/>
    <mergeCell ref="B190:E190"/>
    <mergeCell ref="B183:E183"/>
    <mergeCell ref="B184:E184"/>
    <mergeCell ref="L180:M180"/>
    <mergeCell ref="L177:M177"/>
    <mergeCell ref="B174:E174"/>
    <mergeCell ref="B195:E195"/>
    <mergeCell ref="B192:E192"/>
    <mergeCell ref="B189:E189"/>
    <mergeCell ref="B188:E188"/>
    <mergeCell ref="B191:E191"/>
    <mergeCell ref="B193:E193"/>
    <mergeCell ref="B165:E165"/>
    <mergeCell ref="L172:M172"/>
    <mergeCell ref="B172:J172"/>
    <mergeCell ref="B168:AB168"/>
    <mergeCell ref="P172:Q172"/>
    <mergeCell ref="T173:U173"/>
    <mergeCell ref="T165:U165"/>
    <mergeCell ref="R172:S172"/>
    <mergeCell ref="R170:S170"/>
    <mergeCell ref="R173:S173"/>
    <mergeCell ref="T180:U180"/>
    <mergeCell ref="R178:S178"/>
    <mergeCell ref="T182:U182"/>
    <mergeCell ref="R187:S187"/>
    <mergeCell ref="T191:U191"/>
    <mergeCell ref="T181:U181"/>
    <mergeCell ref="T179:U179"/>
    <mergeCell ref="T184:U184"/>
    <mergeCell ref="T178:U178"/>
    <mergeCell ref="T195:U195"/>
    <mergeCell ref="R195:S195"/>
    <mergeCell ref="V192:W192"/>
    <mergeCell ref="V191:W191"/>
    <mergeCell ref="R189:S189"/>
    <mergeCell ref="V190:W190"/>
    <mergeCell ref="V193:W193"/>
    <mergeCell ref="T189:U189"/>
    <mergeCell ref="T198:U198"/>
    <mergeCell ref="V198:W198"/>
    <mergeCell ref="B200:E200"/>
    <mergeCell ref="T200:U200"/>
    <mergeCell ref="T197:U197"/>
    <mergeCell ref="B199:E199"/>
    <mergeCell ref="L200:M200"/>
    <mergeCell ref="V200:W200"/>
    <mergeCell ref="P197:Q197"/>
    <mergeCell ref="T196:U196"/>
    <mergeCell ref="T199:U199"/>
    <mergeCell ref="T203:U203"/>
    <mergeCell ref="P202:Q202"/>
    <mergeCell ref="B203:Q203"/>
    <mergeCell ref="L202:M202"/>
    <mergeCell ref="B197:E197"/>
    <mergeCell ref="R197:S197"/>
    <mergeCell ref="B201:E201"/>
    <mergeCell ref="R198:S198"/>
    <mergeCell ref="B204:E204"/>
    <mergeCell ref="B205:E205"/>
    <mergeCell ref="T50:U50"/>
    <mergeCell ref="T201:U201"/>
    <mergeCell ref="T204:U204"/>
    <mergeCell ref="T192:U192"/>
    <mergeCell ref="B50:E50"/>
    <mergeCell ref="B196:E196"/>
    <mergeCell ref="T55:U55"/>
    <mergeCell ref="P55:Q55"/>
    <mergeCell ref="R175:S175"/>
    <mergeCell ref="R161:S161"/>
    <mergeCell ref="L187:M187"/>
    <mergeCell ref="P185:Q185"/>
    <mergeCell ref="R180:S180"/>
    <mergeCell ref="P164:Q164"/>
    <mergeCell ref="L176:M176"/>
    <mergeCell ref="P180:Q180"/>
    <mergeCell ref="P167:Q167"/>
    <mergeCell ref="P171:Q171"/>
    <mergeCell ref="R204:S204"/>
    <mergeCell ref="L209:M209"/>
    <mergeCell ref="P211:Q211"/>
    <mergeCell ref="P133:Q133"/>
    <mergeCell ref="R133:S133"/>
    <mergeCell ref="L201:M201"/>
    <mergeCell ref="L189:M189"/>
    <mergeCell ref="P198:Q198"/>
    <mergeCell ref="P200:Q200"/>
    <mergeCell ref="B194:AB194"/>
    <mergeCell ref="T54:U54"/>
    <mergeCell ref="B54:E54"/>
    <mergeCell ref="L198:M198"/>
    <mergeCell ref="B198:E198"/>
    <mergeCell ref="R192:S192"/>
    <mergeCell ref="R196:S196"/>
    <mergeCell ref="R184:S184"/>
    <mergeCell ref="P196:Q196"/>
    <mergeCell ref="T174:U174"/>
    <mergeCell ref="T163:U163"/>
    <mergeCell ref="C39:Z39"/>
    <mergeCell ref="T48:U48"/>
    <mergeCell ref="C36:Z36"/>
    <mergeCell ref="C40:Z40"/>
    <mergeCell ref="P47:U47"/>
    <mergeCell ref="C41:Z41"/>
    <mergeCell ref="C25:Z25"/>
    <mergeCell ref="T53:U53"/>
    <mergeCell ref="P48:Q48"/>
    <mergeCell ref="P117:Q117"/>
    <mergeCell ref="P105:Q105"/>
    <mergeCell ref="C37:Z37"/>
    <mergeCell ref="C33:Z33"/>
    <mergeCell ref="C42:Z42"/>
    <mergeCell ref="K47:M47"/>
    <mergeCell ref="B47:E48"/>
    <mergeCell ref="B51:E51"/>
    <mergeCell ref="R51:S51"/>
    <mergeCell ref="R53:S53"/>
    <mergeCell ref="B55:E55"/>
    <mergeCell ref="P52:Q52"/>
    <mergeCell ref="P51:Q51"/>
    <mergeCell ref="B52:E52"/>
    <mergeCell ref="R52:S52"/>
    <mergeCell ref="B53:E53"/>
    <mergeCell ref="R55:S55"/>
    <mergeCell ref="B213:E213"/>
    <mergeCell ref="B214:E214"/>
    <mergeCell ref="B215:E215"/>
    <mergeCell ref="T217:U217"/>
    <mergeCell ref="T213:U213"/>
    <mergeCell ref="T216:U216"/>
    <mergeCell ref="T215:U215"/>
    <mergeCell ref="L216:M216"/>
    <mergeCell ref="T214:U214"/>
    <mergeCell ref="R213:S213"/>
    <mergeCell ref="T220:U220"/>
    <mergeCell ref="R220:S220"/>
    <mergeCell ref="R201:S201"/>
    <mergeCell ref="R206:S206"/>
    <mergeCell ref="T210:U210"/>
    <mergeCell ref="R188:S188"/>
    <mergeCell ref="T188:U188"/>
    <mergeCell ref="T208:U208"/>
    <mergeCell ref="T205:U205"/>
    <mergeCell ref="T206:U206"/>
    <mergeCell ref="AE104:AW104"/>
    <mergeCell ref="AE105:AW105"/>
    <mergeCell ref="T112:U112"/>
    <mergeCell ref="T111:U111"/>
    <mergeCell ref="T133:U133"/>
    <mergeCell ref="T130:U130"/>
    <mergeCell ref="V116:W116"/>
    <mergeCell ref="T127:U127"/>
    <mergeCell ref="T119:U119"/>
    <mergeCell ref="T120:U120"/>
    <mergeCell ref="B105:E105"/>
    <mergeCell ref="P135:Q135"/>
    <mergeCell ref="P138:Q138"/>
    <mergeCell ref="R176:S176"/>
    <mergeCell ref="P122:Q122"/>
    <mergeCell ref="P115:Q115"/>
    <mergeCell ref="P111:Q111"/>
    <mergeCell ref="P123:Q123"/>
    <mergeCell ref="R123:S123"/>
    <mergeCell ref="R164:S164"/>
    <mergeCell ref="B129:E129"/>
    <mergeCell ref="L130:M130"/>
    <mergeCell ref="L129:M129"/>
    <mergeCell ref="L122:M122"/>
    <mergeCell ref="R124:S124"/>
    <mergeCell ref="B130:E130"/>
    <mergeCell ref="R126:S126"/>
    <mergeCell ref="B128:E128"/>
    <mergeCell ref="L127:M127"/>
    <mergeCell ref="B122:E122"/>
    <mergeCell ref="D337:AB337"/>
    <mergeCell ref="B269:E269"/>
    <mergeCell ref="B270:E270"/>
    <mergeCell ref="V150:W150"/>
    <mergeCell ref="R155:S155"/>
    <mergeCell ref="T164:U164"/>
    <mergeCell ref="T162:U162"/>
    <mergeCell ref="T177:U177"/>
    <mergeCell ref="R174:S174"/>
    <mergeCell ref="P177:Q177"/>
    <mergeCell ref="B161:E161"/>
    <mergeCell ref="L161:M161"/>
    <mergeCell ref="L164:M164"/>
    <mergeCell ref="L154:M154"/>
    <mergeCell ref="B145:E145"/>
    <mergeCell ref="B149:E149"/>
    <mergeCell ref="L158:M158"/>
    <mergeCell ref="B164:J164"/>
    <mergeCell ref="L163:M163"/>
    <mergeCell ref="B152:E152"/>
    <mergeCell ref="V219:W219"/>
    <mergeCell ref="L188:M188"/>
    <mergeCell ref="L191:M191"/>
    <mergeCell ref="L192:M192"/>
    <mergeCell ref="V188:W188"/>
    <mergeCell ref="V189:W189"/>
    <mergeCell ref="L197:M197"/>
    <mergeCell ref="L213:M213"/>
    <mergeCell ref="L204:M204"/>
    <mergeCell ref="L211:M211"/>
    <mergeCell ref="T176:U176"/>
    <mergeCell ref="T222:U222"/>
    <mergeCell ref="B182:E182"/>
    <mergeCell ref="B186:E186"/>
    <mergeCell ref="B187:E187"/>
    <mergeCell ref="P190:Q190"/>
    <mergeCell ref="T187:U187"/>
    <mergeCell ref="P188:Q188"/>
    <mergeCell ref="B217:J217"/>
    <mergeCell ref="N217:O217"/>
    <mergeCell ref="V220:W220"/>
    <mergeCell ref="B220:E220"/>
    <mergeCell ref="B221:E221"/>
    <mergeCell ref="B227:AB227"/>
    <mergeCell ref="B218:E218"/>
    <mergeCell ref="T221:U221"/>
    <mergeCell ref="T219:U219"/>
    <mergeCell ref="R221:S221"/>
    <mergeCell ref="L225:M225"/>
    <mergeCell ref="R222:S222"/>
    <mergeCell ref="T226:U226"/>
    <mergeCell ref="B225:E225"/>
    <mergeCell ref="T229:U229"/>
    <mergeCell ref="B229:E229"/>
    <mergeCell ref="T230:U230"/>
    <mergeCell ref="L230:M230"/>
    <mergeCell ref="R229:S229"/>
    <mergeCell ref="B232:E232"/>
    <mergeCell ref="V234:W234"/>
    <mergeCell ref="T234:U234"/>
    <mergeCell ref="R234:S234"/>
    <mergeCell ref="P234:Q234"/>
    <mergeCell ref="T232:U232"/>
    <mergeCell ref="B233:E233"/>
    <mergeCell ref="L232:M232"/>
    <mergeCell ref="R233:S233"/>
    <mergeCell ref="T233:U233"/>
    <mergeCell ref="T235:U235"/>
    <mergeCell ref="R237:S237"/>
    <mergeCell ref="B249:E249"/>
    <mergeCell ref="T239:U239"/>
    <mergeCell ref="L239:M239"/>
    <mergeCell ref="P245:Q245"/>
    <mergeCell ref="B247:E247"/>
    <mergeCell ref="B238:E238"/>
    <mergeCell ref="P238:Q238"/>
    <mergeCell ref="T236:U236"/>
    <mergeCell ref="T243:U243"/>
    <mergeCell ref="V239:W239"/>
    <mergeCell ref="P236:Q236"/>
    <mergeCell ref="P237:Q237"/>
    <mergeCell ref="T248:U248"/>
    <mergeCell ref="T244:U244"/>
    <mergeCell ref="T246:U246"/>
    <mergeCell ref="P242:Q242"/>
    <mergeCell ref="T238:U238"/>
    <mergeCell ref="P244:Q244"/>
    <mergeCell ref="D335:AB335"/>
    <mergeCell ref="D336:AB336"/>
    <mergeCell ref="B265:Q265"/>
    <mergeCell ref="B266:E266"/>
    <mergeCell ref="B267:E267"/>
    <mergeCell ref="B268:E268"/>
    <mergeCell ref="B272:E272"/>
    <mergeCell ref="D291:AB291"/>
    <mergeCell ref="D292:AB292"/>
    <mergeCell ref="B293:Q293"/>
    <mergeCell ref="B273:E273"/>
    <mergeCell ref="B283:AB283"/>
    <mergeCell ref="D284:AB284"/>
    <mergeCell ref="B60:E60"/>
    <mergeCell ref="P60:Q60"/>
    <mergeCell ref="T60:U60"/>
    <mergeCell ref="R60:S60"/>
    <mergeCell ref="P84:Q84"/>
    <mergeCell ref="R84:S84"/>
    <mergeCell ref="T249:U249"/>
    <mergeCell ref="T84:U84"/>
    <mergeCell ref="P81:U81"/>
    <mergeCell ref="R83:S83"/>
    <mergeCell ref="R82:S82"/>
    <mergeCell ref="V260:W260"/>
    <mergeCell ref="V261:W261"/>
    <mergeCell ref="P261:Q261"/>
    <mergeCell ref="R259:S259"/>
    <mergeCell ref="T250:U250"/>
    <mergeCell ref="T242:U242"/>
    <mergeCell ref="V262:W262"/>
    <mergeCell ref="V140:W140"/>
    <mergeCell ref="P142:Q142"/>
    <mergeCell ref="R241:S241"/>
    <mergeCell ref="T241:U241"/>
    <mergeCell ref="B263:J263"/>
    <mergeCell ref="R261:S261"/>
    <mergeCell ref="P259:Q259"/>
    <mergeCell ref="L261:M261"/>
    <mergeCell ref="B260:E260"/>
    <mergeCell ref="P262:Q262"/>
    <mergeCell ref="D285:AB285"/>
    <mergeCell ref="D286:AB286"/>
    <mergeCell ref="D287:AB287"/>
    <mergeCell ref="D289:AB289"/>
    <mergeCell ref="D290:AB290"/>
    <mergeCell ref="P267:Q267"/>
    <mergeCell ref="L271:M271"/>
    <mergeCell ref="L272:M272"/>
    <mergeCell ref="P268:Q268"/>
    <mergeCell ref="D294:AB294"/>
    <mergeCell ref="D295:AB295"/>
    <mergeCell ref="D296:AB296"/>
    <mergeCell ref="D297:AB297"/>
    <mergeCell ref="D319:AB319"/>
    <mergeCell ref="D320:AB320"/>
    <mergeCell ref="B298:Q298"/>
    <mergeCell ref="D299:AB299"/>
    <mergeCell ref="D300:AB300"/>
    <mergeCell ref="D301:AB301"/>
    <mergeCell ref="D302:AB302"/>
    <mergeCell ref="B303:T303"/>
    <mergeCell ref="B313:AB313"/>
    <mergeCell ref="D314:AB314"/>
    <mergeCell ref="D315:AB315"/>
    <mergeCell ref="D316:AB316"/>
    <mergeCell ref="D304:AB304"/>
    <mergeCell ref="D305:AB305"/>
    <mergeCell ref="D306:AB306"/>
    <mergeCell ref="D307:AB307"/>
    <mergeCell ref="D334:AB334"/>
    <mergeCell ref="B323:AB323"/>
    <mergeCell ref="D324:AB324"/>
    <mergeCell ref="D325:AB325"/>
    <mergeCell ref="D326:AB326"/>
    <mergeCell ref="D327:AB327"/>
    <mergeCell ref="D331:AB331"/>
    <mergeCell ref="D332:AB332"/>
    <mergeCell ref="B333:AB333"/>
    <mergeCell ref="D330:AB330"/>
    <mergeCell ref="A339:R339"/>
    <mergeCell ref="A340:AB340"/>
    <mergeCell ref="B351:K351"/>
    <mergeCell ref="B347:L347"/>
    <mergeCell ref="T351:V351"/>
    <mergeCell ref="M351:P351"/>
    <mergeCell ref="M347:P347"/>
    <mergeCell ref="M348:P348"/>
    <mergeCell ref="T347:V347"/>
    <mergeCell ref="T348:V348"/>
    <mergeCell ref="B328:AB328"/>
    <mergeCell ref="D329:AB329"/>
    <mergeCell ref="D317:AB317"/>
    <mergeCell ref="B318:AB318"/>
    <mergeCell ref="T276:U276"/>
    <mergeCell ref="T277:U277"/>
    <mergeCell ref="D321:AB321"/>
    <mergeCell ref="D322:AB322"/>
    <mergeCell ref="B308:AB308"/>
    <mergeCell ref="D309:AB312"/>
    <mergeCell ref="P269:Q269"/>
    <mergeCell ref="P272:Q272"/>
    <mergeCell ref="L267:M267"/>
    <mergeCell ref="P274:Q274"/>
    <mergeCell ref="P275:Q275"/>
    <mergeCell ref="P276:Q276"/>
    <mergeCell ref="L270:M270"/>
    <mergeCell ref="P277:Q277"/>
    <mergeCell ref="L273:M273"/>
    <mergeCell ref="L274:M274"/>
    <mergeCell ref="L275:M275"/>
    <mergeCell ref="L276:M276"/>
    <mergeCell ref="L277:M277"/>
  </mergeCells>
  <phoneticPr fontId="15" type="noConversion"/>
  <pageMargins left="0.19685039370078741" right="0.19685039370078741" top="0.19685039370078741" bottom="0.19685039370078741" header="0.31496062992125984" footer="0.31496062992125984"/>
  <pageSetup paperSize="9" scale="62" orientation="landscape" verticalDpi="0" r:id="rId1"/>
  <rowBreaks count="11" manualBreakCount="11">
    <brk id="42" max="27" man="1"/>
    <brk id="75" max="27" man="1"/>
    <brk id="103" max="27" man="1"/>
    <brk id="128" max="27" man="1"/>
    <brk id="155" max="27" man="1"/>
    <brk id="179" max="27" man="1"/>
    <brk id="200" max="27" man="1"/>
    <brk id="226" max="27" man="1"/>
    <brk id="251" max="27" man="1"/>
    <brk id="275" max="27" man="1"/>
    <brk id="30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1416030</vt:lpstr>
      <vt:lpstr>'1416030'!Область_друку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2025-01-24T11:59:06Z</cp:lastPrinted>
  <dcterms:created xsi:type="dcterms:W3CDTF">2019-01-14T08:15:45Z</dcterms:created>
  <dcterms:modified xsi:type="dcterms:W3CDTF">2025-03-21T10:27:40Z</dcterms:modified>
</cp:coreProperties>
</file>