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0" yWindow="0" windowWidth="20490" windowHeight="6555"/>
  </bookViews>
  <sheets>
    <sheet name="1417670" sheetId="1" r:id="rId1"/>
  </sheets>
  <definedNames>
    <definedName name="_xlnm.Print_Area" localSheetId="0">'1417670'!$A$1:$AT$453</definedName>
  </definedNames>
  <calcPr calcId="152511"/>
</workbook>
</file>

<file path=xl/calcChain.xml><?xml version="1.0" encoding="utf-8"?>
<calcChain xmlns="http://schemas.openxmlformats.org/spreadsheetml/2006/main">
  <c r="AN336" i="1" l="1"/>
  <c r="AI122" i="1"/>
  <c r="AN279" i="1"/>
  <c r="AQ279" i="1"/>
  <c r="AI131" i="1"/>
  <c r="AN280" i="1" s="1"/>
  <c r="AD131" i="1"/>
  <c r="AN204" i="1"/>
  <c r="AQ204" i="1" s="1"/>
  <c r="AN203" i="1"/>
  <c r="A197" i="1"/>
  <c r="A198" i="1"/>
  <c r="A199" i="1"/>
  <c r="A200" i="1"/>
  <c r="A201" i="1" s="1"/>
  <c r="A202" i="1" s="1"/>
  <c r="A203" i="1" s="1"/>
  <c r="A204" i="1" s="1"/>
  <c r="A205" i="1" s="1"/>
  <c r="A206" i="1" s="1"/>
  <c r="A235" i="1"/>
  <c r="A236" i="1" s="1"/>
  <c r="A237" i="1" s="1"/>
  <c r="A238" i="1" s="1"/>
  <c r="A239" i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O382" i="1"/>
  <c r="AN376" i="1"/>
  <c r="AN380" i="1"/>
  <c r="AQ380" i="1"/>
  <c r="AJ382" i="1"/>
  <c r="AI380" i="1"/>
  <c r="AI376" i="1"/>
  <c r="AO373" i="1"/>
  <c r="AN367" i="1"/>
  <c r="AN371" i="1" s="1"/>
  <c r="AJ373" i="1"/>
  <c r="AI367" i="1"/>
  <c r="AS367" i="1" s="1"/>
  <c r="AT367" i="1" s="1"/>
  <c r="AJ364" i="1"/>
  <c r="AN353" i="1"/>
  <c r="AN362" i="1" s="1"/>
  <c r="AN352" i="1"/>
  <c r="AN361" i="1"/>
  <c r="AQ361" i="1" s="1"/>
  <c r="AN350" i="1"/>
  <c r="AQ350" i="1" s="1"/>
  <c r="AI353" i="1"/>
  <c r="AI362" i="1" s="1"/>
  <c r="AL362" i="1" s="1"/>
  <c r="AI352" i="1"/>
  <c r="AI350" i="1"/>
  <c r="AI359" i="1"/>
  <c r="AL359" i="1"/>
  <c r="AO346" i="1"/>
  <c r="AJ346" i="1"/>
  <c r="AN340" i="1"/>
  <c r="AN344" i="1" s="1"/>
  <c r="AQ344" i="1" s="1"/>
  <c r="AI340" i="1"/>
  <c r="AI344" i="1" s="1"/>
  <c r="AL344" i="1"/>
  <c r="AO337" i="1"/>
  <c r="AO336" i="1"/>
  <c r="AJ337" i="1"/>
  <c r="AJ336" i="1"/>
  <c r="AN328" i="1"/>
  <c r="AN334" i="1"/>
  <c r="AN327" i="1"/>
  <c r="AN333" i="1"/>
  <c r="AQ333" i="1" s="1"/>
  <c r="AI328" i="1"/>
  <c r="AI327" i="1"/>
  <c r="AI336" i="1" s="1"/>
  <c r="AO323" i="1"/>
  <c r="AJ323" i="1"/>
  <c r="AN311" i="1"/>
  <c r="AN310" i="1"/>
  <c r="AN320" i="1"/>
  <c r="AN309" i="1"/>
  <c r="AN319" i="1" s="1"/>
  <c r="AN308" i="1"/>
  <c r="AI309" i="1"/>
  <c r="AL309" i="1" s="1"/>
  <c r="AI311" i="1"/>
  <c r="AI321" i="1"/>
  <c r="AL321" i="1" s="1"/>
  <c r="AI310" i="1"/>
  <c r="AI320" i="1" s="1"/>
  <c r="AL320" i="1" s="1"/>
  <c r="AI308" i="1"/>
  <c r="AO304" i="1"/>
  <c r="AJ304" i="1"/>
  <c r="AN296" i="1"/>
  <c r="AN302" i="1"/>
  <c r="AN295" i="1"/>
  <c r="AI296" i="1"/>
  <c r="AL296" i="1" s="1"/>
  <c r="AI295" i="1"/>
  <c r="AI301" i="1" s="1"/>
  <c r="AL301" i="1" s="1"/>
  <c r="AN283" i="1"/>
  <c r="AO291" i="1"/>
  <c r="AJ291" i="1"/>
  <c r="AN285" i="1"/>
  <c r="AI285" i="1"/>
  <c r="AI283" i="1"/>
  <c r="AJ283" i="1"/>
  <c r="AJ285" i="1"/>
  <c r="AO275" i="1"/>
  <c r="AJ275" i="1"/>
  <c r="AN268" i="1"/>
  <c r="AQ268" i="1" s="1"/>
  <c r="AJ268" i="1"/>
  <c r="AI268" i="1"/>
  <c r="AN263" i="1"/>
  <c r="AN262" i="1"/>
  <c r="AN271" i="1" s="1"/>
  <c r="AQ271" i="1" s="1"/>
  <c r="AI262" i="1"/>
  <c r="AL262" i="1"/>
  <c r="AI263" i="1"/>
  <c r="AL263" i="1"/>
  <c r="AN236" i="1"/>
  <c r="AO257" i="1"/>
  <c r="AO256" i="1"/>
  <c r="AN256" i="1"/>
  <c r="AO255" i="1"/>
  <c r="AN255" i="1"/>
  <c r="AQ255" i="1" s="1"/>
  <c r="AO254" i="1"/>
  <c r="AO253" i="1"/>
  <c r="AO249" i="1"/>
  <c r="AN249" i="1"/>
  <c r="AO247" i="1"/>
  <c r="AO244" i="1"/>
  <c r="AN244" i="1"/>
  <c r="AQ244" i="1" s="1"/>
  <c r="AO243" i="1"/>
  <c r="AN243" i="1"/>
  <c r="AO242" i="1"/>
  <c r="AO241" i="1"/>
  <c r="AO240" i="1"/>
  <c r="AO239" i="1"/>
  <c r="AN239" i="1"/>
  <c r="AO238" i="1"/>
  <c r="AO237" i="1"/>
  <c r="AO236" i="1"/>
  <c r="AI255" i="1"/>
  <c r="AI254" i="1"/>
  <c r="AL254" i="1" s="1"/>
  <c r="AI253" i="1"/>
  <c r="AL253" i="1" s="1"/>
  <c r="AI247" i="1"/>
  <c r="AJ257" i="1"/>
  <c r="AJ256" i="1"/>
  <c r="AI256" i="1"/>
  <c r="AJ249" i="1"/>
  <c r="AI249" i="1"/>
  <c r="AV257" i="1"/>
  <c r="AV256" i="1"/>
  <c r="AV255" i="1"/>
  <c r="AV254" i="1"/>
  <c r="AV253" i="1"/>
  <c r="AV249" i="1"/>
  <c r="AV247" i="1"/>
  <c r="AV244" i="1"/>
  <c r="AV243" i="1"/>
  <c r="AV242" i="1"/>
  <c r="AV241" i="1"/>
  <c r="AV240" i="1"/>
  <c r="AV239" i="1"/>
  <c r="AV238" i="1"/>
  <c r="AV237" i="1"/>
  <c r="AV236" i="1"/>
  <c r="AN226" i="1"/>
  <c r="AQ226" i="1"/>
  <c r="AN224" i="1"/>
  <c r="AQ224" i="1" s="1"/>
  <c r="AS224" i="1"/>
  <c r="AT224" i="1" s="1"/>
  <c r="AN222" i="1"/>
  <c r="AN219" i="1"/>
  <c r="AN218" i="1"/>
  <c r="AN217" i="1"/>
  <c r="AN216" i="1"/>
  <c r="AI169" i="1"/>
  <c r="AD169" i="1"/>
  <c r="AF169" i="1"/>
  <c r="AN168" i="1"/>
  <c r="AI165" i="1"/>
  <c r="AI163" i="1"/>
  <c r="AD165" i="1"/>
  <c r="AI351" i="1"/>
  <c r="AI360" i="1"/>
  <c r="AL360" i="1" s="1"/>
  <c r="AF168" i="1"/>
  <c r="AN166" i="1"/>
  <c r="AN167" i="1"/>
  <c r="AQ167" i="1"/>
  <c r="AI280" i="1"/>
  <c r="AJ132" i="1"/>
  <c r="AJ121" i="1" s="1"/>
  <c r="AI132" i="1"/>
  <c r="AJ122" i="1"/>
  <c r="AD122" i="1"/>
  <c r="AI279" i="1"/>
  <c r="AD132" i="1"/>
  <c r="AF132" i="1"/>
  <c r="AI82" i="1"/>
  <c r="AL82" i="1"/>
  <c r="AJ111" i="1"/>
  <c r="AJ98" i="1" s="1"/>
  <c r="AI111" i="1"/>
  <c r="AN264" i="1" s="1"/>
  <c r="AD111" i="1"/>
  <c r="AI264" i="1" s="1"/>
  <c r="AI272" i="1" s="1"/>
  <c r="AL272" i="1" s="1"/>
  <c r="AD118" i="1"/>
  <c r="AD98" i="1" s="1"/>
  <c r="AI265" i="1"/>
  <c r="AI118" i="1"/>
  <c r="AN265" i="1"/>
  <c r="AI159" i="1"/>
  <c r="AL159" i="1"/>
  <c r="AI153" i="1"/>
  <c r="AN202" i="1" s="1"/>
  <c r="AQ202" i="1" s="1"/>
  <c r="AL153" i="1"/>
  <c r="AI147" i="1"/>
  <c r="AN201" i="1" s="1"/>
  <c r="AQ201" i="1" s="1"/>
  <c r="AL147" i="1"/>
  <c r="AI137" i="1"/>
  <c r="AL137" i="1" s="1"/>
  <c r="AD137" i="1"/>
  <c r="AF137" i="1"/>
  <c r="AJ50" i="1"/>
  <c r="AI50" i="1"/>
  <c r="AJ91" i="1"/>
  <c r="AI91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9" i="1"/>
  <c r="AL80" i="1"/>
  <c r="AL81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2" i="1"/>
  <c r="AL113" i="1"/>
  <c r="AL114" i="1"/>
  <c r="AL115" i="1"/>
  <c r="AL116" i="1"/>
  <c r="AL117" i="1"/>
  <c r="AL119" i="1"/>
  <c r="AL120" i="1"/>
  <c r="AL123" i="1"/>
  <c r="AL124" i="1"/>
  <c r="AL125" i="1"/>
  <c r="AL126" i="1"/>
  <c r="AL127" i="1"/>
  <c r="AL128" i="1"/>
  <c r="AL129" i="1"/>
  <c r="AL130" i="1"/>
  <c r="AL133" i="1"/>
  <c r="AL134" i="1"/>
  <c r="AL135" i="1"/>
  <c r="AL136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51" i="1"/>
  <c r="AL152" i="1"/>
  <c r="AL154" i="1"/>
  <c r="AL155" i="1"/>
  <c r="AL156" i="1"/>
  <c r="AL157" i="1"/>
  <c r="AL158" i="1"/>
  <c r="AL160" i="1"/>
  <c r="AL161" i="1"/>
  <c r="AL162" i="1"/>
  <c r="AF64" i="1"/>
  <c r="AN64" i="1" s="1"/>
  <c r="AQ64" i="1"/>
  <c r="AF65" i="1"/>
  <c r="AN65" i="1" s="1"/>
  <c r="AQ65" i="1" s="1"/>
  <c r="AF66" i="1"/>
  <c r="AN66" i="1" s="1"/>
  <c r="AQ66" i="1" s="1"/>
  <c r="AF67" i="1"/>
  <c r="AN67" i="1"/>
  <c r="AQ67" i="1" s="1"/>
  <c r="AF69" i="1"/>
  <c r="AN69" i="1" s="1"/>
  <c r="AQ69" i="1" s="1"/>
  <c r="AF73" i="1"/>
  <c r="AJ254" i="1"/>
  <c r="AF74" i="1"/>
  <c r="AN74" i="1"/>
  <c r="AQ74" i="1" s="1"/>
  <c r="AF75" i="1"/>
  <c r="AN75" i="1"/>
  <c r="AQ75" i="1" s="1"/>
  <c r="AF77" i="1"/>
  <c r="AN77" i="1"/>
  <c r="AQ77" i="1" s="1"/>
  <c r="AI222" i="1"/>
  <c r="AL222" i="1" s="1"/>
  <c r="AS222" i="1"/>
  <c r="AT222" i="1" s="1"/>
  <c r="AI219" i="1"/>
  <c r="AS219" i="1"/>
  <c r="AT219" i="1" s="1"/>
  <c r="AS225" i="1"/>
  <c r="AT225" i="1" s="1"/>
  <c r="AS226" i="1"/>
  <c r="AT226" i="1"/>
  <c r="AS227" i="1"/>
  <c r="AT227" i="1"/>
  <c r="AS234" i="1"/>
  <c r="AT234" i="1" s="1"/>
  <c r="AS235" i="1"/>
  <c r="AT235" i="1" s="1"/>
  <c r="AS245" i="1"/>
  <c r="AT245" i="1" s="1"/>
  <c r="AS246" i="1"/>
  <c r="AT246" i="1"/>
  <c r="AS248" i="1"/>
  <c r="AT248" i="1" s="1"/>
  <c r="AS249" i="1"/>
  <c r="AT249" i="1" s="1"/>
  <c r="AS250" i="1"/>
  <c r="AT250" i="1"/>
  <c r="AS251" i="1"/>
  <c r="AT251" i="1" s="1"/>
  <c r="AS252" i="1"/>
  <c r="AT252" i="1" s="1"/>
  <c r="AS253" i="1"/>
  <c r="AT253" i="1" s="1"/>
  <c r="AS256" i="1"/>
  <c r="AT256" i="1" s="1"/>
  <c r="AS258" i="1"/>
  <c r="AT258" i="1" s="1"/>
  <c r="AS263" i="1"/>
  <c r="AT263" i="1" s="1"/>
  <c r="AS267" i="1"/>
  <c r="AT267" i="1" s="1"/>
  <c r="AS269" i="1"/>
  <c r="AT269" i="1" s="1"/>
  <c r="AS283" i="1"/>
  <c r="AT283" i="1" s="1"/>
  <c r="AS284" i="1"/>
  <c r="AT284" i="1" s="1"/>
  <c r="AS298" i="1"/>
  <c r="AT298" i="1"/>
  <c r="AS299" i="1"/>
  <c r="AT299" i="1" s="1"/>
  <c r="AS313" i="1"/>
  <c r="AT313" i="1" s="1"/>
  <c r="AS314" i="1"/>
  <c r="AT314" i="1" s="1"/>
  <c r="AS315" i="1"/>
  <c r="AT315" i="1" s="1"/>
  <c r="AS316" i="1"/>
  <c r="AT316" i="1" s="1"/>
  <c r="AS330" i="1"/>
  <c r="AT330" i="1"/>
  <c r="AS331" i="1"/>
  <c r="AT331" i="1"/>
  <c r="AS342" i="1"/>
  <c r="AT342" i="1" s="1"/>
  <c r="AS353" i="1"/>
  <c r="AT353" i="1" s="1"/>
  <c r="AS355" i="1"/>
  <c r="AT355" i="1" s="1"/>
  <c r="AS356" i="1"/>
  <c r="AT356" i="1" s="1"/>
  <c r="AS357" i="1"/>
  <c r="AT357" i="1" s="1"/>
  <c r="AS369" i="1"/>
  <c r="AT369" i="1" s="1"/>
  <c r="AS378" i="1"/>
  <c r="AT378" i="1"/>
  <c r="AQ216" i="1"/>
  <c r="AQ217" i="1"/>
  <c r="AQ218" i="1"/>
  <c r="AQ219" i="1"/>
  <c r="AQ222" i="1"/>
  <c r="AQ225" i="1"/>
  <c r="AQ227" i="1"/>
  <c r="AQ234" i="1"/>
  <c r="AQ235" i="1"/>
  <c r="AQ236" i="1"/>
  <c r="AQ237" i="1"/>
  <c r="AQ238" i="1"/>
  <c r="AQ239" i="1"/>
  <c r="AQ240" i="1"/>
  <c r="AQ241" i="1"/>
  <c r="AQ242" i="1"/>
  <c r="AQ243" i="1"/>
  <c r="AQ245" i="1"/>
  <c r="AQ246" i="1"/>
  <c r="AQ247" i="1"/>
  <c r="AQ248" i="1"/>
  <c r="AQ249" i="1"/>
  <c r="AQ250" i="1"/>
  <c r="AQ251" i="1"/>
  <c r="AQ252" i="1"/>
  <c r="AQ253" i="1"/>
  <c r="AQ254" i="1"/>
  <c r="AQ256" i="1"/>
  <c r="AQ258" i="1"/>
  <c r="AQ262" i="1"/>
  <c r="AQ263" i="1"/>
  <c r="AQ267" i="1"/>
  <c r="AQ269" i="1"/>
  <c r="AQ284" i="1"/>
  <c r="AQ285" i="1"/>
  <c r="AQ296" i="1"/>
  <c r="AQ298" i="1"/>
  <c r="AQ299" i="1"/>
  <c r="AQ308" i="1"/>
  <c r="AQ309" i="1"/>
  <c r="AQ310" i="1"/>
  <c r="AQ313" i="1"/>
  <c r="AQ314" i="1"/>
  <c r="AQ315" i="1"/>
  <c r="AQ316" i="1"/>
  <c r="AQ327" i="1"/>
  <c r="AQ328" i="1"/>
  <c r="AQ330" i="1"/>
  <c r="AQ331" i="1"/>
  <c r="AQ336" i="1"/>
  <c r="AQ340" i="1"/>
  <c r="AQ342" i="1"/>
  <c r="AQ352" i="1"/>
  <c r="AQ353" i="1"/>
  <c r="AQ355" i="1"/>
  <c r="AQ356" i="1"/>
  <c r="AQ357" i="1"/>
  <c r="AQ367" i="1"/>
  <c r="AQ369" i="1"/>
  <c r="AQ376" i="1"/>
  <c r="AQ378" i="1"/>
  <c r="AL224" i="1"/>
  <c r="AL225" i="1"/>
  <c r="AL226" i="1"/>
  <c r="AL227" i="1"/>
  <c r="AL234" i="1"/>
  <c r="AL235" i="1"/>
  <c r="AL245" i="1"/>
  <c r="AL246" i="1"/>
  <c r="AL248" i="1"/>
  <c r="AL249" i="1"/>
  <c r="AL250" i="1"/>
  <c r="AL251" i="1"/>
  <c r="AL252" i="1"/>
  <c r="AL256" i="1"/>
  <c r="AL258" i="1"/>
  <c r="AL267" i="1"/>
  <c r="AL268" i="1"/>
  <c r="AL269" i="1"/>
  <c r="AL283" i="1"/>
  <c r="AL284" i="1"/>
  <c r="AL285" i="1"/>
  <c r="AL298" i="1"/>
  <c r="AL299" i="1"/>
  <c r="AL311" i="1"/>
  <c r="AL313" i="1"/>
  <c r="AL314" i="1"/>
  <c r="AL315" i="1"/>
  <c r="AL316" i="1"/>
  <c r="AL330" i="1"/>
  <c r="AL331" i="1"/>
  <c r="AL342" i="1"/>
  <c r="AL353" i="1"/>
  <c r="AL355" i="1"/>
  <c r="AL356" i="1"/>
  <c r="AL357" i="1"/>
  <c r="AL369" i="1"/>
  <c r="AL378" i="1"/>
  <c r="AI171" i="1"/>
  <c r="AN206" i="1" s="1"/>
  <c r="AL171" i="1"/>
  <c r="AD171" i="1"/>
  <c r="AI206" i="1" s="1"/>
  <c r="AL206" i="1" s="1"/>
  <c r="AF166" i="1"/>
  <c r="AF167" i="1"/>
  <c r="AD159" i="1"/>
  <c r="AD153" i="1"/>
  <c r="AF153" i="1" s="1"/>
  <c r="AD147" i="1"/>
  <c r="AF147" i="1"/>
  <c r="AN147" i="1"/>
  <c r="AQ147" i="1" s="1"/>
  <c r="AD97" i="1"/>
  <c r="AI217" i="1"/>
  <c r="AD96" i="1"/>
  <c r="AF96" i="1" s="1"/>
  <c r="AN96" i="1" s="1"/>
  <c r="AQ96" i="1" s="1"/>
  <c r="AD95" i="1"/>
  <c r="AF95" i="1" s="1"/>
  <c r="AN95" i="1" s="1"/>
  <c r="AQ95" i="1" s="1"/>
  <c r="AD94" i="1"/>
  <c r="AF94" i="1" s="1"/>
  <c r="AN94" i="1" s="1"/>
  <c r="AQ94" i="1"/>
  <c r="AD93" i="1"/>
  <c r="AD92" i="1"/>
  <c r="AF79" i="1"/>
  <c r="AN79" i="1" s="1"/>
  <c r="AQ79" i="1"/>
  <c r="AF84" i="1"/>
  <c r="AN84" i="1" s="1"/>
  <c r="AQ84" i="1" s="1"/>
  <c r="AF87" i="1"/>
  <c r="AN87" i="1"/>
  <c r="AQ87" i="1" s="1"/>
  <c r="AF89" i="1"/>
  <c r="AN89" i="1"/>
  <c r="AQ89" i="1"/>
  <c r="AF90" i="1"/>
  <c r="AN90" i="1" s="1"/>
  <c r="AQ90" i="1" s="1"/>
  <c r="AD88" i="1"/>
  <c r="AF88" i="1" s="1"/>
  <c r="AN88" i="1" s="1"/>
  <c r="AQ88" i="1" s="1"/>
  <c r="AD86" i="1"/>
  <c r="AF86" i="1" s="1"/>
  <c r="AN86" i="1" s="1"/>
  <c r="AQ86" i="1" s="1"/>
  <c r="AD85" i="1"/>
  <c r="AF85" i="1" s="1"/>
  <c r="AN85" i="1" s="1"/>
  <c r="AQ85" i="1"/>
  <c r="AD83" i="1"/>
  <c r="AF83" i="1" s="1"/>
  <c r="AN83" i="1" s="1"/>
  <c r="AQ83" i="1" s="1"/>
  <c r="AD82" i="1"/>
  <c r="AF82" i="1" s="1"/>
  <c r="AN82" i="1" s="1"/>
  <c r="AQ82" i="1" s="1"/>
  <c r="AD81" i="1"/>
  <c r="AF81" i="1" s="1"/>
  <c r="AD80" i="1"/>
  <c r="AF80" i="1" s="1"/>
  <c r="AN80" i="1" s="1"/>
  <c r="AQ80" i="1" s="1"/>
  <c r="AD76" i="1"/>
  <c r="AF76" i="1" s="1"/>
  <c r="AN76" i="1" s="1"/>
  <c r="AQ76" i="1" s="1"/>
  <c r="AD72" i="1"/>
  <c r="AF72" i="1" s="1"/>
  <c r="AN72" i="1" s="1"/>
  <c r="AQ72" i="1" s="1"/>
  <c r="AD71" i="1"/>
  <c r="AF71" i="1" s="1"/>
  <c r="AN71" i="1" s="1"/>
  <c r="AQ71" i="1" s="1"/>
  <c r="AD70" i="1"/>
  <c r="AF70" i="1" s="1"/>
  <c r="AN70" i="1" s="1"/>
  <c r="AQ70" i="1" s="1"/>
  <c r="AD68" i="1"/>
  <c r="AF68" i="1"/>
  <c r="AN68" i="1"/>
  <c r="AQ68" i="1"/>
  <c r="AD63" i="1"/>
  <c r="AF63" i="1" s="1"/>
  <c r="AN63" i="1" s="1"/>
  <c r="AQ63" i="1" s="1"/>
  <c r="AD62" i="1"/>
  <c r="AF62" i="1" s="1"/>
  <c r="AN62" i="1"/>
  <c r="AQ62" i="1" s="1"/>
  <c r="AD61" i="1"/>
  <c r="AF61" i="1" s="1"/>
  <c r="AN61" i="1" s="1"/>
  <c r="AQ61" i="1" s="1"/>
  <c r="AD60" i="1"/>
  <c r="AF60" i="1"/>
  <c r="AN60" i="1"/>
  <c r="AQ60" i="1"/>
  <c r="AD59" i="1"/>
  <c r="AI242" i="1" s="1"/>
  <c r="AD58" i="1"/>
  <c r="AF58" i="1"/>
  <c r="AN58" i="1" s="1"/>
  <c r="AQ58" i="1" s="1"/>
  <c r="AD57" i="1"/>
  <c r="AI240" i="1" s="1"/>
  <c r="AD56" i="1"/>
  <c r="AF56" i="1" s="1"/>
  <c r="AN56" i="1" s="1"/>
  <c r="AQ56" i="1" s="1"/>
  <c r="AD55" i="1"/>
  <c r="AI238" i="1"/>
  <c r="AD54" i="1"/>
  <c r="AF54" i="1" s="1"/>
  <c r="AD53" i="1"/>
  <c r="AF53" i="1" s="1"/>
  <c r="AN53" i="1" s="1"/>
  <c r="AQ53" i="1" s="1"/>
  <c r="AD52" i="1"/>
  <c r="AF52" i="1" s="1"/>
  <c r="AN52" i="1" s="1"/>
  <c r="AQ52" i="1" s="1"/>
  <c r="AD51" i="1"/>
  <c r="AQ166" i="1"/>
  <c r="AQ168" i="1"/>
  <c r="AL166" i="1"/>
  <c r="AL167" i="1"/>
  <c r="AL168" i="1"/>
  <c r="AF99" i="1"/>
  <c r="AN99" i="1" s="1"/>
  <c r="AQ99" i="1" s="1"/>
  <c r="AF100" i="1"/>
  <c r="AN100" i="1" s="1"/>
  <c r="AQ100" i="1" s="1"/>
  <c r="AF101" i="1"/>
  <c r="AN101" i="1"/>
  <c r="AQ101" i="1" s="1"/>
  <c r="AF102" i="1"/>
  <c r="AN102" i="1"/>
  <c r="AQ102" i="1"/>
  <c r="AF103" i="1"/>
  <c r="AN103" i="1"/>
  <c r="AQ103" i="1"/>
  <c r="AF104" i="1"/>
  <c r="AN104" i="1" s="1"/>
  <c r="AQ104" i="1" s="1"/>
  <c r="AF105" i="1"/>
  <c r="AN105" i="1"/>
  <c r="AQ105" i="1" s="1"/>
  <c r="AF106" i="1"/>
  <c r="AN106" i="1"/>
  <c r="AQ106" i="1" s="1"/>
  <c r="AF107" i="1"/>
  <c r="AN107" i="1" s="1"/>
  <c r="AQ107" i="1" s="1"/>
  <c r="AF108" i="1"/>
  <c r="AN108" i="1" s="1"/>
  <c r="AQ108" i="1" s="1"/>
  <c r="AF109" i="1"/>
  <c r="AN109" i="1"/>
  <c r="AQ109" i="1" s="1"/>
  <c r="AF110" i="1"/>
  <c r="AN110" i="1"/>
  <c r="AQ110" i="1"/>
  <c r="AF112" i="1"/>
  <c r="AN112" i="1"/>
  <c r="AQ112" i="1"/>
  <c r="AF113" i="1"/>
  <c r="AN113" i="1" s="1"/>
  <c r="AQ113" i="1" s="1"/>
  <c r="AF114" i="1"/>
  <c r="AN114" i="1"/>
  <c r="AQ114" i="1" s="1"/>
  <c r="AF115" i="1"/>
  <c r="AN115" i="1"/>
  <c r="AQ115" i="1" s="1"/>
  <c r="AF116" i="1"/>
  <c r="AN116" i="1" s="1"/>
  <c r="AQ116" i="1" s="1"/>
  <c r="AF117" i="1"/>
  <c r="AN117" i="1" s="1"/>
  <c r="AQ117" i="1" s="1"/>
  <c r="AF118" i="1"/>
  <c r="AN118" i="1"/>
  <c r="AQ118" i="1" s="1"/>
  <c r="AF119" i="1"/>
  <c r="AN119" i="1"/>
  <c r="AQ119" i="1"/>
  <c r="AF120" i="1"/>
  <c r="AN120" i="1"/>
  <c r="AQ120" i="1"/>
  <c r="AF123" i="1"/>
  <c r="AN123" i="1" s="1"/>
  <c r="AQ123" i="1" s="1"/>
  <c r="AF124" i="1"/>
  <c r="AN124" i="1"/>
  <c r="AQ124" i="1" s="1"/>
  <c r="AF125" i="1"/>
  <c r="AN125" i="1"/>
  <c r="AQ125" i="1" s="1"/>
  <c r="AF126" i="1"/>
  <c r="AN126" i="1" s="1"/>
  <c r="AQ126" i="1" s="1"/>
  <c r="AF127" i="1"/>
  <c r="AN127" i="1" s="1"/>
  <c r="AQ127" i="1" s="1"/>
  <c r="AF128" i="1"/>
  <c r="AN128" i="1"/>
  <c r="AQ128" i="1" s="1"/>
  <c r="AF129" i="1"/>
  <c r="AN129" i="1"/>
  <c r="AQ129" i="1"/>
  <c r="AF130" i="1"/>
  <c r="AN130" i="1"/>
  <c r="AQ130" i="1"/>
  <c r="AF133" i="1"/>
  <c r="AN133" i="1" s="1"/>
  <c r="AQ133" i="1" s="1"/>
  <c r="AF134" i="1"/>
  <c r="AN134" i="1"/>
  <c r="AQ134" i="1" s="1"/>
  <c r="AF135" i="1"/>
  <c r="AN135" i="1"/>
  <c r="AQ135" i="1" s="1"/>
  <c r="AF136" i="1"/>
  <c r="AN136" i="1" s="1"/>
  <c r="AQ136" i="1" s="1"/>
  <c r="AF138" i="1"/>
  <c r="AN138" i="1" s="1"/>
  <c r="AQ138" i="1" s="1"/>
  <c r="AF139" i="1"/>
  <c r="AN139" i="1"/>
  <c r="AQ139" i="1" s="1"/>
  <c r="AF140" i="1"/>
  <c r="AN140" i="1"/>
  <c r="AQ140" i="1"/>
  <c r="AF141" i="1"/>
  <c r="AN141" i="1"/>
  <c r="AQ141" i="1"/>
  <c r="AF142" i="1"/>
  <c r="AN142" i="1" s="1"/>
  <c r="AQ142" i="1" s="1"/>
  <c r="AF143" i="1"/>
  <c r="AN143" i="1"/>
  <c r="AQ143" i="1" s="1"/>
  <c r="AF144" i="1"/>
  <c r="AN144" i="1"/>
  <c r="AQ144" i="1" s="1"/>
  <c r="AF145" i="1"/>
  <c r="AN145" i="1" s="1"/>
  <c r="AQ145" i="1" s="1"/>
  <c r="AF146" i="1"/>
  <c r="AN146" i="1" s="1"/>
  <c r="AQ146" i="1" s="1"/>
  <c r="AF148" i="1"/>
  <c r="AN148" i="1"/>
  <c r="AQ148" i="1" s="1"/>
  <c r="AF149" i="1"/>
  <c r="AN149" i="1"/>
  <c r="AQ149" i="1"/>
  <c r="AF150" i="1"/>
  <c r="AN150" i="1"/>
  <c r="AQ150" i="1"/>
  <c r="AF151" i="1"/>
  <c r="AN151" i="1" s="1"/>
  <c r="AQ151" i="1" s="1"/>
  <c r="AF152" i="1"/>
  <c r="AN152" i="1"/>
  <c r="AQ152" i="1" s="1"/>
  <c r="AF154" i="1"/>
  <c r="AN154" i="1"/>
  <c r="AQ154" i="1" s="1"/>
  <c r="AF155" i="1"/>
  <c r="AN155" i="1" s="1"/>
  <c r="AQ155" i="1" s="1"/>
  <c r="AF156" i="1"/>
  <c r="AN156" i="1" s="1"/>
  <c r="AQ156" i="1" s="1"/>
  <c r="AF157" i="1"/>
  <c r="AN157" i="1"/>
  <c r="AQ157" i="1" s="1"/>
  <c r="AF158" i="1"/>
  <c r="AN158" i="1"/>
  <c r="AQ158" i="1"/>
  <c r="AF160" i="1"/>
  <c r="AN160" i="1"/>
  <c r="AQ160" i="1"/>
  <c r="AF161" i="1"/>
  <c r="AN161" i="1" s="1"/>
  <c r="AQ161" i="1" s="1"/>
  <c r="AF162" i="1"/>
  <c r="AN162" i="1"/>
  <c r="AQ162" i="1" s="1"/>
  <c r="AO173" i="1"/>
  <c r="AJ169" i="1"/>
  <c r="AF164" i="1"/>
  <c r="AL164" i="1"/>
  <c r="AL170" i="1"/>
  <c r="AF172" i="1"/>
  <c r="AL172" i="1"/>
  <c r="AN172" i="1"/>
  <c r="AQ172" i="1"/>
  <c r="AC173" i="1"/>
  <c r="AG173" i="1"/>
  <c r="AF170" i="1"/>
  <c r="AN170" i="1"/>
  <c r="AQ170" i="1"/>
  <c r="AN164" i="1"/>
  <c r="AQ164" i="1" s="1"/>
  <c r="AD121" i="1"/>
  <c r="AI199" i="1" s="1"/>
  <c r="AL199" i="1" s="1"/>
  <c r="AI98" i="1"/>
  <c r="AL98" i="1" s="1"/>
  <c r="AI78" i="1"/>
  <c r="AI49" i="1" s="1"/>
  <c r="AL78" i="1"/>
  <c r="AL111" i="1"/>
  <c r="AF98" i="1"/>
  <c r="AL118" i="1"/>
  <c r="AI218" i="1"/>
  <c r="AS218" i="1" s="1"/>
  <c r="AT218" i="1" s="1"/>
  <c r="AL219" i="1"/>
  <c r="AN171" i="1"/>
  <c r="AQ171" i="1"/>
  <c r="AF171" i="1"/>
  <c r="AN81" i="1"/>
  <c r="AQ81" i="1"/>
  <c r="AF122" i="1"/>
  <c r="AN196" i="1"/>
  <c r="AF131" i="1"/>
  <c r="AN131" i="1"/>
  <c r="AQ131" i="1"/>
  <c r="AN230" i="1"/>
  <c r="AQ230" i="1" s="1"/>
  <c r="AN326" i="1"/>
  <c r="AS376" i="1"/>
  <c r="AT376" i="1"/>
  <c r="AI196" i="1"/>
  <c r="AI202" i="1"/>
  <c r="AI201" i="1"/>
  <c r="AI205" i="1"/>
  <c r="AI200" i="1"/>
  <c r="AS352" i="1"/>
  <c r="AT352" i="1"/>
  <c r="AF57" i="1"/>
  <c r="AN57" i="1" s="1"/>
  <c r="AQ57" i="1" s="1"/>
  <c r="AL131" i="1"/>
  <c r="AS238" i="1"/>
  <c r="AT238" i="1" s="1"/>
  <c r="AL238" i="1"/>
  <c r="AI288" i="1"/>
  <c r="AL288" i="1"/>
  <c r="AQ320" i="1"/>
  <c r="AQ319" i="1"/>
  <c r="AL265" i="1"/>
  <c r="AI287" i="1"/>
  <c r="AL287" i="1"/>
  <c r="AQ302" i="1"/>
  <c r="AN273" i="1"/>
  <c r="AQ265" i="1"/>
  <c r="AQ334" i="1"/>
  <c r="AF55" i="1"/>
  <c r="AJ239" i="1" s="1"/>
  <c r="AI244" i="1"/>
  <c r="AL244" i="1" s="1"/>
  <c r="AI319" i="1"/>
  <c r="AL319" i="1" s="1"/>
  <c r="AI346" i="1"/>
  <c r="AL346" i="1"/>
  <c r="AI361" i="1"/>
  <c r="AL361" i="1" s="1"/>
  <c r="AI239" i="1"/>
  <c r="AL239" i="1"/>
  <c r="AI243" i="1"/>
  <c r="AL243" i="1" s="1"/>
  <c r="AN351" i="1"/>
  <c r="AN373" i="1"/>
  <c r="AI198" i="1"/>
  <c r="AF59" i="1"/>
  <c r="AN59" i="1" s="1"/>
  <c r="AQ59" i="1" s="1"/>
  <c r="AS285" i="1"/>
  <c r="AT285" i="1"/>
  <c r="AI333" i="1"/>
  <c r="AL333" i="1"/>
  <c r="AN346" i="1"/>
  <c r="AI382" i="1"/>
  <c r="AL382" i="1" s="1"/>
  <c r="AI237" i="1"/>
  <c r="AL237" i="1"/>
  <c r="AI241" i="1"/>
  <c r="AL241" i="1" s="1"/>
  <c r="AI281" i="1"/>
  <c r="AI278" i="1" s="1"/>
  <c r="AL278" i="1" s="1"/>
  <c r="AI318" i="1"/>
  <c r="AL318" i="1" s="1"/>
  <c r="AN318" i="1"/>
  <c r="AQ318" i="1" s="1"/>
  <c r="AN382" i="1"/>
  <c r="AL376" i="1"/>
  <c r="AL367" i="1"/>
  <c r="AL352" i="1"/>
  <c r="AL351" i="1"/>
  <c r="AI349" i="1"/>
  <c r="AI364" i="1" s="1"/>
  <c r="AL364" i="1" s="1"/>
  <c r="AL350" i="1"/>
  <c r="AS340" i="1"/>
  <c r="AT340" i="1" s="1"/>
  <c r="AL340" i="1"/>
  <c r="AS327" i="1"/>
  <c r="AT327" i="1" s="1"/>
  <c r="AL327" i="1"/>
  <c r="AI326" i="1"/>
  <c r="AI337" i="1" s="1"/>
  <c r="AL337" i="1" s="1"/>
  <c r="AS310" i="1"/>
  <c r="AT310" i="1"/>
  <c r="AL310" i="1"/>
  <c r="AL308" i="1"/>
  <c r="AL295" i="1"/>
  <c r="AQ283" i="1"/>
  <c r="AN288" i="1"/>
  <c r="AL280" i="1"/>
  <c r="AL279" i="1"/>
  <c r="AS268" i="1"/>
  <c r="AT268" i="1"/>
  <c r="AS262" i="1"/>
  <c r="AT262" i="1" s="1"/>
  <c r="AS237" i="1"/>
  <c r="AT237" i="1" s="1"/>
  <c r="AS241" i="1"/>
  <c r="AT241" i="1" s="1"/>
  <c r="AS255" i="1"/>
  <c r="AT255" i="1" s="1"/>
  <c r="AS239" i="1"/>
  <c r="AT239" i="1" s="1"/>
  <c r="AL255" i="1"/>
  <c r="AS254" i="1"/>
  <c r="AT254" i="1"/>
  <c r="AN54" i="1"/>
  <c r="AQ54" i="1"/>
  <c r="AJ238" i="1"/>
  <c r="AN73" i="1"/>
  <c r="AQ73" i="1"/>
  <c r="AI230" i="1"/>
  <c r="AL230" i="1" s="1"/>
  <c r="AN220" i="1"/>
  <c r="AJ237" i="1"/>
  <c r="AJ241" i="1"/>
  <c r="AJ243" i="1"/>
  <c r="AJ247" i="1"/>
  <c r="AJ255" i="1"/>
  <c r="AJ242" i="1"/>
  <c r="AJ244" i="1"/>
  <c r="AN122" i="1"/>
  <c r="AQ122" i="1" s="1"/>
  <c r="AJ173" i="1"/>
  <c r="AS217" i="1"/>
  <c r="AT217" i="1" s="1"/>
  <c r="AL217" i="1"/>
  <c r="AL218" i="1"/>
  <c r="AF92" i="1"/>
  <c r="AN92" i="1"/>
  <c r="AQ92" i="1" s="1"/>
  <c r="AN98" i="1"/>
  <c r="AQ98" i="1"/>
  <c r="AL122" i="1"/>
  <c r="AF97" i="1"/>
  <c r="AN97" i="1"/>
  <c r="AQ97" i="1"/>
  <c r="AL50" i="1"/>
  <c r="AL163" i="1"/>
  <c r="AN165" i="1"/>
  <c r="AQ165" i="1" s="1"/>
  <c r="AL165" i="1"/>
  <c r="AF165" i="1"/>
  <c r="AD163" i="1"/>
  <c r="AN153" i="1"/>
  <c r="AQ153" i="1"/>
  <c r="AN137" i="1"/>
  <c r="AQ137" i="1"/>
  <c r="AQ196" i="1"/>
  <c r="AL201" i="1"/>
  <c r="AN337" i="1"/>
  <c r="AQ337" i="1" s="1"/>
  <c r="AQ326" i="1"/>
  <c r="AF163" i="1"/>
  <c r="AI204" i="1"/>
  <c r="AL205" i="1"/>
  <c r="AL198" i="1"/>
  <c r="AL200" i="1"/>
  <c r="AL202" i="1"/>
  <c r="AS202" i="1"/>
  <c r="AT202" i="1" s="1"/>
  <c r="AL349" i="1"/>
  <c r="AQ273" i="1"/>
  <c r="AS346" i="1"/>
  <c r="AT346" i="1"/>
  <c r="AQ346" i="1"/>
  <c r="AS333" i="1"/>
  <c r="AT333" i="1"/>
  <c r="AL281" i="1"/>
  <c r="AI289" i="1"/>
  <c r="AL289" i="1"/>
  <c r="AS351" i="1"/>
  <c r="AT351" i="1" s="1"/>
  <c r="AN360" i="1"/>
  <c r="AQ351" i="1"/>
  <c r="AS319" i="1"/>
  <c r="AT319" i="1" s="1"/>
  <c r="AS382" i="1"/>
  <c r="AT382" i="1"/>
  <c r="AQ382" i="1"/>
  <c r="AQ373" i="1"/>
  <c r="AS288" i="1"/>
  <c r="AT288" i="1"/>
  <c r="AQ288" i="1"/>
  <c r="AN231" i="1"/>
  <c r="AQ231" i="1" s="1"/>
  <c r="AQ220" i="1"/>
  <c r="AS230" i="1"/>
  <c r="AT230" i="1"/>
  <c r="AN163" i="1"/>
  <c r="AQ163" i="1"/>
  <c r="AL204" i="1"/>
  <c r="AS196" i="1"/>
  <c r="AT196" i="1"/>
  <c r="AL196" i="1"/>
  <c r="AQ360" i="1"/>
  <c r="AS279" i="1"/>
  <c r="AT279" i="1"/>
  <c r="AN287" i="1"/>
  <c r="AS287" i="1" s="1"/>
  <c r="AT287" i="1" s="1"/>
  <c r="AS240" i="1" l="1"/>
  <c r="AT240" i="1" s="1"/>
  <c r="AL240" i="1"/>
  <c r="AN349" i="1"/>
  <c r="AF51" i="1"/>
  <c r="AD50" i="1"/>
  <c r="AI216" i="1"/>
  <c r="AS206" i="1"/>
  <c r="AT206" i="1" s="1"/>
  <c r="AQ206" i="1"/>
  <c r="AN281" i="1"/>
  <c r="AN132" i="1"/>
  <c r="AQ132" i="1" s="1"/>
  <c r="AL132" i="1"/>
  <c r="AN229" i="1"/>
  <c r="AQ371" i="1"/>
  <c r="AS337" i="1"/>
  <c r="AT337" i="1" s="1"/>
  <c r="AS244" i="1"/>
  <c r="AT244" i="1" s="1"/>
  <c r="AF93" i="1"/>
  <c r="AN93" i="1" s="1"/>
  <c r="AQ93" i="1" s="1"/>
  <c r="AD91" i="1"/>
  <c r="AN272" i="1"/>
  <c r="AQ264" i="1"/>
  <c r="AN261" i="1"/>
  <c r="AQ287" i="1"/>
  <c r="AJ240" i="1"/>
  <c r="AS264" i="1"/>
  <c r="AT264" i="1" s="1"/>
  <c r="AS309" i="1"/>
  <c r="AT309" i="1" s="1"/>
  <c r="AS362" i="1"/>
  <c r="AT362" i="1" s="1"/>
  <c r="AQ362" i="1"/>
  <c r="AL380" i="1"/>
  <c r="AS380" i="1"/>
  <c r="AT380" i="1" s="1"/>
  <c r="AS280" i="1"/>
  <c r="AT280" i="1" s="1"/>
  <c r="AQ280" i="1"/>
  <c r="AN169" i="1"/>
  <c r="AQ169" i="1" s="1"/>
  <c r="AN205" i="1"/>
  <c r="AN301" i="1"/>
  <c r="AQ295" i="1"/>
  <c r="AL326" i="1"/>
  <c r="AI291" i="1"/>
  <c r="AL291" i="1" s="1"/>
  <c r="AD78" i="1"/>
  <c r="AS336" i="1"/>
  <c r="AT336" i="1" s="1"/>
  <c r="AL336" i="1"/>
  <c r="AS247" i="1"/>
  <c r="AT247" i="1" s="1"/>
  <c r="AL247" i="1"/>
  <c r="AN321" i="1"/>
  <c r="AN307" i="1"/>
  <c r="AS311" i="1"/>
  <c r="AT311" i="1" s="1"/>
  <c r="AQ311" i="1"/>
  <c r="AS318" i="1"/>
  <c r="AT318" i="1" s="1"/>
  <c r="AN294" i="1"/>
  <c r="AJ253" i="1"/>
  <c r="AL49" i="1"/>
  <c r="AN197" i="1"/>
  <c r="AI236" i="1"/>
  <c r="AF159" i="1"/>
  <c r="AN159" i="1" s="1"/>
  <c r="AQ159" i="1" s="1"/>
  <c r="AI203" i="1"/>
  <c r="AL203" i="1" s="1"/>
  <c r="AI334" i="1"/>
  <c r="AS328" i="1"/>
  <c r="AT328" i="1" s="1"/>
  <c r="AL328" i="1"/>
  <c r="AN359" i="1"/>
  <c r="AS350" i="1"/>
  <c r="AT350" i="1" s="1"/>
  <c r="AL264" i="1"/>
  <c r="AS361" i="1"/>
  <c r="AT361" i="1" s="1"/>
  <c r="AS295" i="1"/>
  <c r="AT295" i="1" s="1"/>
  <c r="AS326" i="1"/>
  <c r="AT326" i="1" s="1"/>
  <c r="AL169" i="1"/>
  <c r="AS243" i="1"/>
  <c r="AT243" i="1" s="1"/>
  <c r="AS344" i="1"/>
  <c r="AT344" i="1" s="1"/>
  <c r="AS320" i="1"/>
  <c r="AT320" i="1" s="1"/>
  <c r="AI273" i="1"/>
  <c r="AS265" i="1"/>
  <c r="AT265" i="1" s="1"/>
  <c r="AS308" i="1"/>
  <c r="AT308" i="1" s="1"/>
  <c r="AI307" i="1"/>
  <c r="AI373" i="1"/>
  <c r="AI371" i="1"/>
  <c r="AL371" i="1" s="1"/>
  <c r="AI121" i="1"/>
  <c r="AI302" i="1"/>
  <c r="AI294" i="1"/>
  <c r="AS296" i="1"/>
  <c r="AT296" i="1" s="1"/>
  <c r="AQ203" i="1"/>
  <c r="AS360" i="1"/>
  <c r="AT360" i="1" s="1"/>
  <c r="AS204" i="1"/>
  <c r="AT204" i="1" s="1"/>
  <c r="AF121" i="1"/>
  <c r="AS242" i="1"/>
  <c r="AT242" i="1" s="1"/>
  <c r="AL242" i="1"/>
  <c r="AN221" i="1"/>
  <c r="AS201" i="1"/>
  <c r="AT201" i="1" s="1"/>
  <c r="AI261" i="1"/>
  <c r="AI271" i="1"/>
  <c r="AL271" i="1" s="1"/>
  <c r="AF111" i="1"/>
  <c r="AN111" i="1" s="1"/>
  <c r="AQ111" i="1" s="1"/>
  <c r="AN55" i="1"/>
  <c r="AQ55" i="1" s="1"/>
  <c r="AN198" i="1"/>
  <c r="AN200" i="1"/>
  <c r="AS200" i="1" l="1"/>
  <c r="AT200" i="1" s="1"/>
  <c r="AQ200" i="1"/>
  <c r="AI304" i="1"/>
  <c r="AL304" i="1" s="1"/>
  <c r="AL294" i="1"/>
  <c r="AS236" i="1"/>
  <c r="AT236" i="1" s="1"/>
  <c r="AL236" i="1"/>
  <c r="AI220" i="1"/>
  <c r="AF78" i="1"/>
  <c r="AN78" i="1" s="1"/>
  <c r="AQ78" i="1" s="1"/>
  <c r="AS216" i="1"/>
  <c r="AT216" i="1" s="1"/>
  <c r="AL216" i="1"/>
  <c r="AI229" i="1"/>
  <c r="AL229" i="1" s="1"/>
  <c r="AQ221" i="1"/>
  <c r="AN232" i="1"/>
  <c r="AS221" i="1"/>
  <c r="AT221" i="1" s="1"/>
  <c r="AN215" i="1"/>
  <c r="AL273" i="1"/>
  <c r="AS273" i="1"/>
  <c r="AT273" i="1" s="1"/>
  <c r="AN199" i="1"/>
  <c r="AL121" i="1"/>
  <c r="AI173" i="1"/>
  <c r="AL173" i="1" s="1"/>
  <c r="AN121" i="1"/>
  <c r="AQ121" i="1" s="1"/>
  <c r="AQ197" i="1"/>
  <c r="AQ307" i="1"/>
  <c r="AN323" i="1"/>
  <c r="AS307" i="1"/>
  <c r="AT307" i="1" s="1"/>
  <c r="AN275" i="1"/>
  <c r="AS261" i="1"/>
  <c r="AT261" i="1" s="1"/>
  <c r="AQ261" i="1"/>
  <c r="AS371" i="1"/>
  <c r="AT371" i="1" s="1"/>
  <c r="AD49" i="1"/>
  <c r="AF50" i="1"/>
  <c r="AN50" i="1" s="1"/>
  <c r="AQ50" i="1" s="1"/>
  <c r="AQ359" i="1"/>
  <c r="AS359" i="1"/>
  <c r="AT359" i="1" s="1"/>
  <c r="AS321" i="1"/>
  <c r="AT321" i="1" s="1"/>
  <c r="AQ321" i="1"/>
  <c r="AS229" i="1"/>
  <c r="AT229" i="1" s="1"/>
  <c r="AQ229" i="1"/>
  <c r="AN51" i="1"/>
  <c r="AQ51" i="1" s="1"/>
  <c r="AJ236" i="1"/>
  <c r="AL373" i="1"/>
  <c r="AS373" i="1"/>
  <c r="AT373" i="1" s="1"/>
  <c r="AQ272" i="1"/>
  <c r="AS272" i="1"/>
  <c r="AT272" i="1" s="1"/>
  <c r="AQ349" i="1"/>
  <c r="AN364" i="1"/>
  <c r="AS349" i="1"/>
  <c r="AT349" i="1" s="1"/>
  <c r="AS203" i="1"/>
  <c r="AT203" i="1" s="1"/>
  <c r="AS301" i="1"/>
  <c r="AT301" i="1" s="1"/>
  <c r="AQ301" i="1"/>
  <c r="AI221" i="1"/>
  <c r="AF91" i="1"/>
  <c r="AN91" i="1" s="1"/>
  <c r="AQ91" i="1" s="1"/>
  <c r="AS198" i="1"/>
  <c r="AT198" i="1" s="1"/>
  <c r="AQ198" i="1"/>
  <c r="AL302" i="1"/>
  <c r="AS302" i="1"/>
  <c r="AT302" i="1" s="1"/>
  <c r="AI275" i="1"/>
  <c r="AL275" i="1" s="1"/>
  <c r="AL261" i="1"/>
  <c r="AI323" i="1"/>
  <c r="AL323" i="1" s="1"/>
  <c r="AL307" i="1"/>
  <c r="AS334" i="1"/>
  <c r="AT334" i="1" s="1"/>
  <c r="AL334" i="1"/>
  <c r="AS294" i="1"/>
  <c r="AT294" i="1" s="1"/>
  <c r="AN304" i="1"/>
  <c r="AQ294" i="1"/>
  <c r="AS271" i="1"/>
  <c r="AT271" i="1" s="1"/>
  <c r="AS205" i="1"/>
  <c r="AT205" i="1" s="1"/>
  <c r="AQ205" i="1"/>
  <c r="AQ281" i="1"/>
  <c r="AN289" i="1"/>
  <c r="AS281" i="1"/>
  <c r="AT281" i="1" s="1"/>
  <c r="AN278" i="1"/>
  <c r="AQ289" i="1" l="1"/>
  <c r="AS289" i="1"/>
  <c r="AT289" i="1" s="1"/>
  <c r="AN257" i="1"/>
  <c r="AQ215" i="1"/>
  <c r="AQ232" i="1"/>
  <c r="AL220" i="1"/>
  <c r="AS220" i="1"/>
  <c r="AT220" i="1" s="1"/>
  <c r="AI231" i="1"/>
  <c r="AQ275" i="1"/>
  <c r="AS275" i="1"/>
  <c r="AT275" i="1" s="1"/>
  <c r="AQ364" i="1"/>
  <c r="AS364" i="1"/>
  <c r="AT364" i="1" s="1"/>
  <c r="AI232" i="1"/>
  <c r="AL232" i="1" s="1"/>
  <c r="AL221" i="1"/>
  <c r="AS323" i="1"/>
  <c r="AT323" i="1" s="1"/>
  <c r="AQ323" i="1"/>
  <c r="AQ199" i="1"/>
  <c r="AS199" i="1"/>
  <c r="AT199" i="1" s="1"/>
  <c r="AI215" i="1"/>
  <c r="AN291" i="1"/>
  <c r="AS278" i="1"/>
  <c r="AT278" i="1" s="1"/>
  <c r="AQ278" i="1"/>
  <c r="AS304" i="1"/>
  <c r="AT304" i="1" s="1"/>
  <c r="AQ304" i="1"/>
  <c r="AI197" i="1"/>
  <c r="AD173" i="1"/>
  <c r="AF173" i="1" s="1"/>
  <c r="AN49" i="1"/>
  <c r="AF49" i="1"/>
  <c r="AN207" i="1"/>
  <c r="AS232" i="1" l="1"/>
  <c r="AT232" i="1" s="1"/>
  <c r="AQ291" i="1"/>
  <c r="AS291" i="1"/>
  <c r="AT291" i="1" s="1"/>
  <c r="AQ207" i="1"/>
  <c r="AI257" i="1"/>
  <c r="AL257" i="1" s="1"/>
  <c r="AL215" i="1"/>
  <c r="AS215" i="1"/>
  <c r="AT215" i="1" s="1"/>
  <c r="AL197" i="1"/>
  <c r="AI207" i="1"/>
  <c r="AL207" i="1" s="1"/>
  <c r="AS197" i="1"/>
  <c r="AQ257" i="1"/>
  <c r="AQ49" i="1"/>
  <c r="AN173" i="1"/>
  <c r="AQ173" i="1" s="1"/>
  <c r="AL231" i="1"/>
  <c r="AS231" i="1"/>
  <c r="AT231" i="1" s="1"/>
  <c r="AV207" i="1" l="1"/>
  <c r="AS257" i="1"/>
  <c r="AT257" i="1" s="1"/>
  <c r="AT197" i="1"/>
  <c r="AS207" i="1"/>
  <c r="AT207" i="1" s="1"/>
</calcChain>
</file>

<file path=xl/comments1.xml><?xml version="1.0" encoding="utf-8"?>
<comments xmlns="http://schemas.openxmlformats.org/spreadsheetml/2006/main">
  <authors>
    <author>S_Smal</author>
  </authors>
  <commentList>
    <comment ref="AV283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<sst xmlns="http://schemas.openxmlformats.org/spreadsheetml/2006/main" count="1346" uniqueCount="445">
  <si>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</si>
  <si>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</si>
  <si>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</si>
  <si>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</si>
  <si>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</si>
  <si>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</si>
  <si>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</si>
  <si>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</si>
  <si>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</si>
  <si>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</si>
  <si>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</si>
  <si>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</si>
  <si>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</si>
  <si>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</si>
  <si>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</si>
  <si>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Результативні показники бюджетної програми та аналіз їх виконання: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</si>
  <si>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</si>
  <si>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</si>
  <si>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</si>
  <si>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</si>
  <si>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</si>
  <si>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Фактичні результативні показники, досягнуті за рахунок касових видатків (наданих кредитів)</t>
  </si>
  <si>
    <t>0490</t>
  </si>
  <si>
    <t xml:space="preserve">Внески до статутного капіталу суб’єктів господарювання </t>
  </si>
  <si>
    <t>розрахунково</t>
  </si>
  <si>
    <t>зведений кошторисний розрахунок</t>
  </si>
  <si>
    <t>продукту</t>
  </si>
  <si>
    <t>ефективності</t>
  </si>
  <si>
    <t>грн</t>
  </si>
  <si>
    <t>од.</t>
  </si>
  <si>
    <t>затрат</t>
  </si>
  <si>
    <t>якості</t>
  </si>
  <si>
    <t>1.</t>
  </si>
  <si>
    <t>03356163</t>
  </si>
  <si>
    <t>(код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</si>
  <si>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</si>
  <si>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</si>
  <si>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</si>
  <si>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(код Типової  програмної класифікації видатків 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</si>
  <si>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</si>
  <si>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</si>
  <si>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(код Фунціональної  класифікації видатків та кредитування бюджету)</t>
  </si>
  <si>
    <t>ЗВІТ</t>
  </si>
  <si>
    <t>про виконання паспорта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</si>
  <si>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</si>
  <si>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</si>
  <si>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Створення умов для сталого функціонування комунальних підприємств та надання послуг населенню</t>
  </si>
  <si>
    <t>Мета бюджетної програми</t>
  </si>
  <si>
    <t>Підтримка підприємств  комунальної форми власності</t>
  </si>
  <si>
    <t>Завдання бюджетної програми</t>
  </si>
  <si>
    <t>Завдання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</si>
  <si>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</si>
  <si>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</si>
  <si>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</si>
  <si>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</si>
  <si>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1.1</t>
  </si>
  <si>
    <t>1.2</t>
  </si>
  <si>
    <t>2.1</t>
  </si>
  <si>
    <t>2.2</t>
  </si>
  <si>
    <t xml:space="preserve">9. </t>
  </si>
  <si>
    <t>8.</t>
  </si>
  <si>
    <t>гривень</t>
  </si>
  <si>
    <t>Видатки (надані кредити) на реалізацію місцевих/ 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</si>
  <si>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</si>
  <si>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</si>
  <si>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</si>
  <si>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Управління комунальної інфраструктури Хмельницької міської ради</t>
  </si>
  <si>
    <t>22564000000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</si>
  <si>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</t>
  </si>
  <si>
    <t>Внески до статутного капіталу ХКП "Спецкомунтранс" (розробка техніко -економічного обгрунтування з поділом на черги реконструкції полігону твердих побутових відходів з метою  запобігання виникнення надзвичайної екологічної ситуації за адресою м. Хмельницький проспект Миру, 7)</t>
  </si>
  <si>
    <t>Внески до статутного капіталу міського комунального підприємства  "Хмельницьктеплокомуненерго"</t>
  </si>
  <si>
    <t>рішення сесії міської ради</t>
  </si>
  <si>
    <t xml:space="preserve">співвідношення суми поповнення статутного капіталу до розміру статутного капіталу на початок року </t>
  </si>
  <si>
    <t>Начальник відділу бухгалтерського обліку та звітності - головний бухгалтер</t>
  </si>
  <si>
    <t>лист-звернення</t>
  </si>
  <si>
    <t>від 01 листопада 2022 року № 359)</t>
  </si>
  <si>
    <t xml:space="preserve">Завдання 3. Поповнення статутного капіталу для функціонування комунального підприємства по будівництву, ремонту та експлуатації доріг </t>
  </si>
  <si>
    <t xml:space="preserve">Завдання 5. Поповнення статутного капіталу для функціонування СКП "Хмельницька міська ритуальна служба" 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</si>
  <si>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</si>
  <si>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</si>
  <si>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</si>
  <si>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Внески до статутного капіталу МКП "Хмельницькводоканал" (Будівництво мереж водовідведення вул.Д, Нечая , вул. Блакитної , пров Молодіжного в м. Хмельницькому)</t>
  </si>
  <si>
    <t>2.3</t>
  </si>
  <si>
    <t xml:space="preserve">Завдання 3. Внески до статутного капіталу комунального підприємства по будівництву, ремонту та експлуатації доріг 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</si>
  <si>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</si>
  <si>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</si>
  <si>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</si>
  <si>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Василь КАБАЛЬСЬКИЙ</t>
  </si>
  <si>
    <t>(Власне ім'я, ПРІЗВИЩЕ)</t>
  </si>
  <si>
    <t>Наталія ФУР'ЯНОВА</t>
  </si>
  <si>
    <t>9.1. Аналіз показників бюджетної програми</t>
  </si>
  <si>
    <t>Напрями використання бюджетних коштів*</t>
  </si>
  <si>
    <t>відс.</t>
  </si>
  <si>
    <t>місцевого бюджету на 01.01.2024 року</t>
  </si>
  <si>
    <t xml:space="preserve">Виконання робіт з будівництва, капітального ремонту та реконструкції ділянки водопроводу, самопливного каналізаційного колектора, мережі (в т. ч. виготовлення ПКД) </t>
  </si>
  <si>
    <t>Реконструкція водопроводу від вул. Проскурівська по пров. Проскурівський, вул. Пилипчука до пров. Шевченка в м. Хмельницький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</si>
  <si>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</si>
  <si>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Будівництво ділянки водопроводу діам. 315 мм по вул. К. Степанкова в м. Хмельницький</t>
  </si>
  <si>
    <t>Реконструкція ділянки водопроводу по вул. Залізняка (перехід через вул. П. Мирного) в м. Хмельницький</t>
  </si>
  <si>
    <t>Реконструкція ділянки водопроводу від ж.б. №4 до ж.б. №2 по вул. Шухевича в м. Хмельницький</t>
  </si>
  <si>
    <t>Реконструкція водопроводу по вул. Шестакова, від вул. Староміська до ж.б. № 46, 39 по вул. Шестакова в м. Хмельницький</t>
  </si>
  <si>
    <t>Реконструкція ділянки водопроводу діам. 110 мм по вул. Тернопільська між буд. № 30 - № 34 в м. Хмельницький</t>
  </si>
  <si>
    <t>Реконструкція ділянки водопроводу діам. 160 мм по вул. Прибузька між буд. №10 - №12 в м. Хмельницький</t>
  </si>
  <si>
    <t xml:space="preserve">Реконструкція самопливного каналізаційного колектора діам.800 мм від ж.б.№203 до колодязя №551а по вул. Проскурівського підпілля в м.Хмельницький </t>
  </si>
  <si>
    <t>Реконструкція напірного каналізаційного колектора діаметром 225 мм від КНС-22, вул. Кам`янецька, 134/1Д в м. Хмельницький</t>
  </si>
  <si>
    <t>Реконструкція самопливного каналізаційного колектора від буд. №4А по  вул. Свободи до буд.№20/2 по вул. Зарічанській в м. Хмельницький</t>
  </si>
  <si>
    <t>Реконструкція системи живлення ВНС-10 (придбання силових кабелів)</t>
  </si>
  <si>
    <t>Будівництво мережі водовідведення вул. Д.Нечая, вул. Блакитної, пров. Молодіжного в м. 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</si>
  <si>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</si>
  <si>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Капітальний ремонт КНС з благоустроєм території в мкр. "Лезневе" у м. Хмельницький</t>
  </si>
  <si>
    <t>Капітальний ремонт зовнішніх мереж каналізації по вул. Болбочана, 6а в м. Хмельницький</t>
  </si>
  <si>
    <t>Реконструкція ділянки каналізаційної мережі від ж.б. № 3 та № 3/1 по вул. Січових Стрільців з переходом даної вулиці в м. Хмельницькому</t>
  </si>
  <si>
    <t>Нове будівництво зовнішніх мереж водопроводу в с. Шаровечка, Хмельницького району, Хмельницької області (2 черга)</t>
  </si>
  <si>
    <t>Виготовлення проєктно-кошторисної документації на нове будівництво підвідного водогону до с. Іванківці Хмельницької  ОТГ Хмельницького району</t>
  </si>
  <si>
    <t>Реконструкція ділянки водопроводу по вул. Проскурівська, 66 в  м. Хмельницький</t>
  </si>
  <si>
    <t>Реконструкція ділянки водопроводу від вул. Партизанської до вул. Волочиської в м. Хмельницькому</t>
  </si>
  <si>
    <t>Реконструкція каналізаційної мережі по вул. С. Бандери,22 в м. Хмельницький</t>
  </si>
  <si>
    <t xml:space="preserve">Реконструкція колодязів із заміною люків на каналізаційних мережах у м. Хмельницькому </t>
  </si>
  <si>
    <t>Реконструкція колодязів із заміною люків на водопровідних мережах у м. Хмельницькому</t>
  </si>
  <si>
    <t xml:space="preserve">Будівництво вуличних мереж каналізації по пров. Північному в м. Хмельницький </t>
  </si>
  <si>
    <t>Реконструкція ділянки водопроводу по вул. Гоголя від вул. О.Теліги до ж. б. № 99 по вул. Гоголя в м. Хмельницькому</t>
  </si>
  <si>
    <t>Реконструкція системи живлення КОС-2 (придбання кабелю для підключення резервного живлення)</t>
  </si>
  <si>
    <t>Придбання обладнання для господарської діяльності</t>
  </si>
  <si>
    <t>Придбання насосних агрегатів</t>
  </si>
  <si>
    <t>Придбання перетворювача частоти</t>
  </si>
  <si>
    <t>Придбання силового трансформатора</t>
  </si>
  <si>
    <t>Придбання генераторів</t>
  </si>
  <si>
    <t xml:space="preserve">Придбання фреза (навісне обладнання до тракторної та екскаваторної техніки) </t>
  </si>
  <si>
    <t>Придбання  дозуючого насосу</t>
  </si>
  <si>
    <t>Придбання дизель-генератора</t>
  </si>
  <si>
    <t>Придбання насосу з шафою керування</t>
  </si>
  <si>
    <t>Придбання перетворювачів частоти</t>
  </si>
  <si>
    <t>Придбання зварювального агрегату</t>
  </si>
  <si>
    <t>Придбання запірної арматури</t>
  </si>
  <si>
    <t>Придбання модульних АЗС</t>
  </si>
  <si>
    <t>Придбання спеціалізованої техніки</t>
  </si>
  <si>
    <t>Придбання автоцистерни</t>
  </si>
  <si>
    <t>Придбання каналопромивочної машини</t>
  </si>
  <si>
    <t>Придбання спеціалізованих автомобілів для аварійно-відновлювальних бригад</t>
  </si>
  <si>
    <t>Придбання спеціалізованої пересувної електротехнічної лабораторії</t>
  </si>
  <si>
    <t>Придбання міні екскаватора</t>
  </si>
  <si>
    <t>Погашення кредиторської заборгованості за 2022 рік</t>
  </si>
  <si>
    <t>Капітальний ремонт когенераційної установки із заміною щита керування та турбокомпресора за адресо: вул. Майборського, 5, м. Хмельницький</t>
  </si>
  <si>
    <t>Капітальний ремонт когенераційної установки із заміною щита керування та турбокомпресора за адресо: вул. Шухевича, 8/1-Г, м. Хмельницький</t>
  </si>
  <si>
    <t>Капітальний ремонт когенераційної установки із заміною щита керування та турбокомпресора за адресо: прс. Миру, 99/101, м. Хмельницький</t>
  </si>
  <si>
    <t>Придбання частотно-регулюючих приводів для підготовки об'єктів до опалювального сезону</t>
  </si>
  <si>
    <t>Капітальний ремонт теплової мережі за адресою: вул. Кам'янецька, 63, м. Хмельницький</t>
  </si>
  <si>
    <t>Капітальний ремонт теплової мережі за адресою: прс. Миру, 51/2, м. Хмельницький</t>
  </si>
  <si>
    <t>Капітальний ремонт теплової мережі за адресою: вул. Бандери, 8, м. Хмельницький</t>
  </si>
  <si>
    <t>Капітальний ремонт теплової мережі за адресою: вул. Інститутська, 20/2, м. Хмельницький</t>
  </si>
  <si>
    <t>Капітальний ремонт теплової мережі за адресою: вул. Ольжича, 1, м. Хмельницький</t>
  </si>
  <si>
    <t>Капітальний ремонт теплової мережі за адресою: вул. Трембовецької, 3, м. Хмельницький</t>
  </si>
  <si>
    <t>Капітальний ремонт теплової мережі за адресою: вул. Зарічанська, 6/5, м. Хмельницький</t>
  </si>
  <si>
    <t>Капітальний ремонт теплової мережі за адресою: вул. Молодіжна, 7, м. Хмельницький</t>
  </si>
  <si>
    <t>Придбання пластинчастих теплообмінників</t>
  </si>
  <si>
    <t>Придбання автоматичних систем хімводоочищення</t>
  </si>
  <si>
    <t>Придбання твердопаливних котлів</t>
  </si>
  <si>
    <t>Придбання газових котлів</t>
  </si>
  <si>
    <t>Придбання комп’ютерів для котелень</t>
  </si>
  <si>
    <t>Придбання жаротрубних водогрійних газових котлів</t>
  </si>
  <si>
    <t>Придбання вантажних автомобілів - самоскидів</t>
  </si>
  <si>
    <t>Внески до статутного капіталу комунального підприємства по будівництву, ремонту та експлуатації доріг</t>
  </si>
  <si>
    <t>Придбання спеціалізованої техніки -тандемний дорожній коток з задніми незалежними гумовими вальцями</t>
  </si>
  <si>
    <t>Придбання спеціалізованої техніки - трактори з навісним обладнанням</t>
  </si>
  <si>
    <t>Придбання спеціалізованої техніки - вантажний автомобіль з дубль кабіною, бортовою платформою та краном маніпулятором</t>
  </si>
  <si>
    <t>Придбання спеціалізованої техніки -  автомобілі з дубль кабіною, бортовою платформою</t>
  </si>
  <si>
    <t>Придбання спеціалізованої техніки -  автомобілі самоскиди вантажопідйомністю понад 18,5 т з навісним обладнанням</t>
  </si>
  <si>
    <t>Придбання спеціалізованої техніки -  автомобілі самоскиди вантажопідйомністю від 4 до 6 т з навісним обладнанням</t>
  </si>
  <si>
    <t>Придбання спеціалізованої техніки -  автомобіль спеціалізований з дубль кабіною та фургоном для перевезення людей та обладнання</t>
  </si>
  <si>
    <t>Придбання спеціалізованої техніки -  причіп тракторний, вакуумний, дорожньо-прибиральниий, колісний</t>
  </si>
  <si>
    <t xml:space="preserve">Виготовлення проєктно-кошторисної документації та проведення її експертизи для здійснення капітального ремонту - улаштування закритих водостоків через вул. Геологів, проїзд Козловського в м. Хмельницькому </t>
  </si>
  <si>
    <t>Придбання обладнання та металоконструкцій для господарської діяльності</t>
  </si>
  <si>
    <t>Придбання обладнання для господарської діяльності – дизельного компресора</t>
  </si>
  <si>
    <t>Придбання металоконструкцій для господарської діяльності – мобільні побутові вагончики на шасі</t>
  </si>
  <si>
    <t>Придбання металоконструкцій для господарської діяльності – вагончики побутові</t>
  </si>
  <si>
    <t>Придбання обладнання для господарської діяльності  - мотопомпа для брудної води</t>
  </si>
  <si>
    <t>Внески до статутного капіталу комунального підприємства по зеленому будівництву і благоустрою міста</t>
  </si>
  <si>
    <t>Придбання спеціалізованої техніки -  автомобіль спеціалізований для перевезення робітників</t>
  </si>
  <si>
    <t>Придбання спеціалізованої техніки -   газонокосарка</t>
  </si>
  <si>
    <t>Придбання спеціалізованої техніки -   тракторний самоскидний причіп</t>
  </si>
  <si>
    <t>Придбання спеціалізованої техніки -   подрібнювач (корчувач) пеньків</t>
  </si>
  <si>
    <t xml:space="preserve">Придбання спеціалізованої техніки -  автомобіль вантажний бортовий з тентом з подвійною кабіною </t>
  </si>
  <si>
    <t>Придбання спеціалізованої техніки - трактор</t>
  </si>
  <si>
    <t>Придбання спеціалізованої техніки - причіп спеціалізований</t>
  </si>
  <si>
    <t>Придбання обладнання для господарської діяльності - косарка маніпуляторна</t>
  </si>
  <si>
    <t>Будівництво критого навісу (складу) за адресою м. Хмельницький, вул. Симона Петлюри, 52</t>
  </si>
  <si>
    <t xml:space="preserve">Внески до статутного капіталу спеціалізованого комунального підприємства «Хмельницька міська ритуальна служба» </t>
  </si>
  <si>
    <t>Капітальний ремонт території Будинку траурних обрядів за адресою: м. Хмельницький вул. Князя Святослава Хороброго 5-А</t>
  </si>
  <si>
    <t xml:space="preserve">Придбання спеціалізованої техніки – міні-трактора </t>
  </si>
  <si>
    <t>Придбання обладнання для господарської діяльності – навісне обладнання до мінітрактора</t>
  </si>
  <si>
    <t>Придбання вбиральні модульної</t>
  </si>
  <si>
    <t>Придбання спеціалізованої техніки – вантажний фургон рефрижератор</t>
  </si>
  <si>
    <t xml:space="preserve">Внески до статутного капіталу комунального підприємства «Акведук» </t>
  </si>
  <si>
    <t>Нове будівництво станції очищення господарсько-побутових стічних вод продуктивністю БІО-S-150 30 м3/добу, в с. Пирогівці Хмельницького району, Хмельницької області</t>
  </si>
  <si>
    <t>Придбання обладнання для господарської діяльності - подрібнювач гілок</t>
  </si>
  <si>
    <t>Придбання обладнання для господарської діяльності - фронтальний навантажувач (навантажувач "голий", ковш щелепний, тросовий гідророзподілювач)</t>
  </si>
  <si>
    <t xml:space="preserve">Придбання обладнання для господарської діяльності - розкидач МВУ-4 </t>
  </si>
  <si>
    <t>Придбання обладнання для господарської діяльності - відвал сніговий</t>
  </si>
  <si>
    <t xml:space="preserve">Внески до статутного капіталу комунального підприємства "Парки і сквери міста Хмельницького" </t>
  </si>
  <si>
    <t>Придбання спеціалізованої техніки - причепна машина для прибирання пляжу</t>
  </si>
  <si>
    <t>Придбання спеціалізованої техніки - косарка - трактор (райдер)</t>
  </si>
  <si>
    <t>Нове будівництво нежитлового приміщення за адресою: вул. Заводська, 165 в м. Хмельницькому (коригування)</t>
  </si>
  <si>
    <t>Придбання спеціалізованої техніки – сміттєвозів</t>
  </si>
  <si>
    <t>Придбання спеціалізованої техніки – компактора</t>
  </si>
  <si>
    <t>Нове будівництво самопливного каналізаційного колектору Хмельницького полігону ТПВ за адресою м. Хмельницький, проспект Миру, 7</t>
  </si>
  <si>
    <t xml:space="preserve">Придбання мобільних біотуалетів </t>
  </si>
  <si>
    <t xml:space="preserve">Внески до статутного капіталу Хмельницького комунального підприємства "Міськсвітло" </t>
  </si>
  <si>
    <t>Придбання спеціалізованої техніки – автогідропідйомника телескопічного</t>
  </si>
  <si>
    <t xml:space="preserve">Внески до статутного капіталу комунального підприємства "Елеватор" </t>
  </si>
  <si>
    <t>Придбання євроконтейнерів 1,1 куб. м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</si>
  <si>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</si>
  <si>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видатків, в т. ч.:</t>
  </si>
  <si>
    <t>обсяг видатків на виконання робіт з будівництва, капітального ремонту та реконструкції ділянки водопроводу, самопливного каналізаційного колектора, мережі</t>
  </si>
  <si>
    <t>обсяг видатків на погашення кредиторської заборгованості</t>
  </si>
  <si>
    <t>обсяг видатків на реконструкцію системи живлення  ВНС-10 (придбання силових кабелів)</t>
  </si>
  <si>
    <t>обсяг видатків на реконструкцію системи живлення КОС-2 (придбання кабелю для підключення резервного живлення)</t>
  </si>
  <si>
    <t>обсяг видатків на придбання обладнання для господарської діяльності</t>
  </si>
  <si>
    <t>обсяг видатків на придбання спеціалізованої техніки</t>
  </si>
  <si>
    <t xml:space="preserve">обсяг видатків на виготовлення ПКД </t>
  </si>
  <si>
    <t>кількість об'єктів, на яких планується здійснити будівництво, капітальний ремонт та реконструкцію ділянки водопроводу, самопливного каналізаційного колектора, мережі</t>
  </si>
  <si>
    <t>протяжність кабелів, які планується придбати</t>
  </si>
  <si>
    <t xml:space="preserve">кількість обладнання для господарської діяльності, що планується придбати </t>
  </si>
  <si>
    <t xml:space="preserve">кількість насосних агрегатів, що планується придбати </t>
  </si>
  <si>
    <t>кількість спеціалізованої техніки, що планується придбати</t>
  </si>
  <si>
    <t xml:space="preserve">середні витрати на будівництво та реконструкцію ділянки водопроводу, самопливного каналізаційного колектора на 1 об'єкті </t>
  </si>
  <si>
    <t>середні витрати на придбання 1 м кабелю</t>
  </si>
  <si>
    <t>середні витрати на придбання 1 од. обладнання для господарської діяльності, що планується придбати</t>
  </si>
  <si>
    <t>витрати на придбання 1 насосного агрегату</t>
  </si>
  <si>
    <t>середні витрати на придбання 1 од. спеціалізованої техніки</t>
  </si>
  <si>
    <t xml:space="preserve">рівень готовності об'єкту - реконструкція водопроводу від вул. Проскурівська по пров. Проскурівський, вул. Пилипчука до пров. Шевченка в м. Хмельницький </t>
  </si>
  <si>
    <t xml:space="preserve">рівень готовності об'єкту -  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 </t>
  </si>
  <si>
    <t xml:space="preserve">рівень готовності об'єкту - будівництво ділянки водопроводу діаметром 315 мм по вул. К. Степанкова в м. Хмельницький </t>
  </si>
  <si>
    <t xml:space="preserve">рівень готовності об'єкту - реконструкція ділянки водопроводу по вул. Залізняка (перехід через вул. П. Мирного) в м. Хмельницький </t>
  </si>
  <si>
    <t xml:space="preserve">рівень готовності об'єкту - реконструкція ділянки водопроводу від ж.б. №4 до ж.б. №2 по вул. Шухевича в м. Хмельницький </t>
  </si>
  <si>
    <t xml:space="preserve">рівень готовності об'єкту - реконструкція водопроводу по вул. Шестакова, від вул. Староміська до ж.б. № 46, 39 по вул. Шестакова в м. Хмельницький </t>
  </si>
  <si>
    <t xml:space="preserve">рівень готовності об'єкту - реконструкція ділянки водопроводу діам. 110 мм по вул. Тернопільська між буд. № 30 - № 34 в м. Хмельницький </t>
  </si>
  <si>
    <t xml:space="preserve">рівень готовності об'єкту - реконструкція ділянки водопроводу діам. 160 мм по вул. Прибузька між буд. №10 - №12 в м. Хмельницький </t>
  </si>
  <si>
    <t xml:space="preserve">рівень готовності об'єкту - реконструкція самопливного каналізаційного колектора діам.800 мм від ж.б.№203 до колодязя №551а по вул. Проскурівського підпілля в м.Хмельницький </t>
  </si>
  <si>
    <t xml:space="preserve">рівень готовності об'єкту - реконструкція напірного каналізаційного колектора  діаметром 225 мм від КНС-22, вул. Кам'янецька, 134/1Д в м. Хмельницький </t>
  </si>
  <si>
    <t xml:space="preserve">рівень готовності об'єкту - реконструкція самопливного каналізаційного колектора від буд. №4А по  вул. Свободи до буд.№20/2 по вул. Зарічанській в м. Хмельницький </t>
  </si>
  <si>
    <t xml:space="preserve">рівень готовності об'єкту - будівництво мережі водовідведення вул. Д.Нечая, вул. Блакитної, пров. Молодіжного в м. Хмельницькому </t>
  </si>
  <si>
    <t xml:space="preserve">рівень готовності об'єкту - нове будівництво вуличних мереж водопостачання житлових будинків по вул. Глушенкова (мікрорайон Ружична) в м. Хмельницький </t>
  </si>
  <si>
    <t xml:space="preserve">рівень готовності об'єкту - реконструкція ділянки каналізаційної мережі від ж.б. № 3 та № 3/1 по вул. Січових Стрільців з переходом даної вулиці в м. Хмельницькому </t>
  </si>
  <si>
    <t>рівень готовності об'єкту - нове будівництво зовнішніх мереж водопроводу в с. Шаровечка, Хмельницького району, Хмельницької області (2 черга)</t>
  </si>
  <si>
    <t xml:space="preserve">відсоток передбачених коштів на реконструкцію ділянки водопроводу діаметром 500 мм по вул. Тернопільська в м. Хмельницький до зведеного кошторису </t>
  </si>
  <si>
    <t xml:space="preserve">рівень готовності об'єкту - реконструкція ділянки водопроводу по вул. Проскурівська, 66 в  м. Хмельницький </t>
  </si>
  <si>
    <t>рівень готовності об'єкту -  реконструкція ділянки водопроводу від вул. Партизанської до вул. Волочиської в м. Хмельницькому</t>
  </si>
  <si>
    <t xml:space="preserve">рівень готовності об'єкту -  реконструкція каналізаційної мережі по вул. С. Бандери,22 в м. Хмельницький </t>
  </si>
  <si>
    <t>рівень готовності об'єкту - реконструкція колодязів із заміною люків на каналізаційних мережах у м. Хмельницькому</t>
  </si>
  <si>
    <t xml:space="preserve">рівень готовності об'єкту - реконструкція колодязів із заміною люків на водопровідних мережах у м. Хмельницькому </t>
  </si>
  <si>
    <t xml:space="preserve">рівень готовності об'єкту - будівництво вуличних мереж каналізації по пров. Північному в м.Хмельницький </t>
  </si>
  <si>
    <t xml:space="preserve">рівень готовності об'єкту - реконструкція ділянки водопроводу по вул. Гоголя від вул. О.Теліги до ж. б. № 99 по вул. Гоголя в м. Хмельницькому </t>
  </si>
  <si>
    <t>рівень погашення кредиторської заборгованості за 2022 рік</t>
  </si>
  <si>
    <t>грн.</t>
  </si>
  <si>
    <t>м</t>
  </si>
  <si>
    <t xml:space="preserve">комерційна пропозиція </t>
  </si>
  <si>
    <t>обсяг видатків на капітальний ремонт когенераційної установки із заміною щита керування та турбокомпресора, теплової мережі, будівництво кабельних ліній</t>
  </si>
  <si>
    <t xml:space="preserve">обсяг видатків на придбання частотно-регулюючих приводів </t>
  </si>
  <si>
    <t>кількість об'єктів, які планується відремонтувати</t>
  </si>
  <si>
    <t>кількість обладнання для господарської діяльності, що планується придбати</t>
  </si>
  <si>
    <t>ефнктивності</t>
  </si>
  <si>
    <t>середні витрати на проведення капітального ремонту 1 об'єкту</t>
  </si>
  <si>
    <t>середні витрати на придбання 1 од. обладнання для господарської діяльності</t>
  </si>
  <si>
    <t>Завдання 2. Поповнення статутного капіталу для функціонування  міського комунального підприємства  "Хмельницьктеплокомуненерго"</t>
  </si>
  <si>
    <t>обсяг видатків на будівництво критого навісу (складу) за адресою: м. Хмельницький, вул. Симона Петлюри, 52</t>
  </si>
  <si>
    <t xml:space="preserve">продукту </t>
  </si>
  <si>
    <t>кількість об'єктів, які планується побудувати</t>
  </si>
  <si>
    <t xml:space="preserve">витрати на будівництво критого навісу (складу) </t>
  </si>
  <si>
    <t>обсяг видатків на виготовлення проєктно-кошторисної документації та проведення її експертизи для здійснення капітального ремонту - улаштування закритих водостоків через вул. Геологів, проїзд Козловського в м. Хмельницькому</t>
  </si>
  <si>
    <t>обсяг видатків на придбання обладнання та металоконструкцій для господарської діяльності</t>
  </si>
  <si>
    <t>кількість ПКД, що планується виготовити</t>
  </si>
  <si>
    <t>кількість обладнання та металоконструкцій для господарської діяльності, що планується придбати</t>
  </si>
  <si>
    <t>витрати на виготовлення 1 ПКД та проведення її експертизи</t>
  </si>
  <si>
    <t>обсяг видатків на капітальний ремонт території Будинку траурних обрядів</t>
  </si>
  <si>
    <t xml:space="preserve">обсяг видатків на придбання вбиральні модульної </t>
  </si>
  <si>
    <t>кількість вбиралень громадських, що планується придбати</t>
  </si>
  <si>
    <t>витрати на проведення капітального ремонту 1 об'єкту</t>
  </si>
  <si>
    <t>витрати на придбання 1 од. спеціалізованої техніки</t>
  </si>
  <si>
    <t>витрати на придбання 1 од. обладнання для господарської діяльності</t>
  </si>
  <si>
    <t xml:space="preserve">витрати на придбання 1 вбиральні модульної </t>
  </si>
  <si>
    <t>обсяг видатків на нове будівництво станції очищення господарсько-побутових стічних вод</t>
  </si>
  <si>
    <t xml:space="preserve">відсоток передбачених коштів на нове будівництво станції очищення господарсько-побутових стічних вод продуктивністю БІО-S-150 30 м3/добу, в с. Пирогівці Хмельницького району, Хмельницької області до зведеного кошторису </t>
  </si>
  <si>
    <t xml:space="preserve">обсяг видатків на нове будівництво нежитлового приміщення </t>
  </si>
  <si>
    <t xml:space="preserve">обсяг видатків на розробку проекту  на нове будівництво  каналізаційного колектору </t>
  </si>
  <si>
    <t xml:space="preserve">обсяг видатків на придбання мобільних біотуалетів </t>
  </si>
  <si>
    <t>кількість мобільних біотуалетів, що планується придбати</t>
  </si>
  <si>
    <t>витрати на будівництво 1 об'єкту</t>
  </si>
  <si>
    <t xml:space="preserve">витрати спрямовані на розробку1  проекту на нове будівництво самопливного каналізаційного колектору </t>
  </si>
  <si>
    <t>середні витрати на придбання 1 од. мобільного біотуалету</t>
  </si>
  <si>
    <t>обсяг видатків на придбання євроконтейнерів</t>
  </si>
  <si>
    <t>кількість євроконтейнерів, що планується придбати</t>
  </si>
  <si>
    <t>витрати на придбання 1 од. євроконтейнера</t>
  </si>
  <si>
    <t>Завдання 3. Поповнення статутного капіталу для функціонування комунального підприємства по будівництву, ремонту та експлуатації доріг</t>
  </si>
  <si>
    <t>Завдання 4. Поповнення статутного капіталу для функціонування комунального підприємства по зеленому будівництву і благоустрою міста</t>
  </si>
  <si>
    <t xml:space="preserve">Завдання 5. Поповнення статутного капіталу для функціонування спеціалізованого комунального підприємства «Хмельницька міська ритуальна служба» </t>
  </si>
  <si>
    <t>Завдання 6. Поповнення статутного капіталу для функціонування комунального підприємства "Акведук" Хмельницької міської ради</t>
  </si>
  <si>
    <t xml:space="preserve">Завдання 7. Поповнення статутного капіталу для функціонування комунального підприємства "Парки і сквери міста Хмельницького" </t>
  </si>
  <si>
    <t xml:space="preserve">Завдання 8. Поповнення статутного капіталу для функціонування Хмельницького комунального підприємства "Спецкомунтранс" </t>
  </si>
  <si>
    <t>Завдання 9. Поповнення статутного капіталу для функціонування Хмельницького комунального підприємства "Міськсвітло"</t>
  </si>
  <si>
    <t>Завдання 10. Поповнення статутного капіталу для функціонування комунального підприємства "Елеватор"</t>
  </si>
  <si>
    <t>Завдання 1. Внески до статутного капіталу міського комунального підприємства  "Хмельницькводоканал"</t>
  </si>
  <si>
    <t>Завдання 8. Внески до статутного капіталу Хмельницького комунального підприємства "Спецкомунтранс"</t>
  </si>
  <si>
    <t>Придбання автомобілів аварійних ремонтних майстерень</t>
  </si>
  <si>
    <t>Завдання 1. Поповнення статутного капіталу для функціонування міського комунального підприємства  "Хмельницькводоканал"</t>
  </si>
  <si>
    <t>Завдання 2. Поповнення статутного капіталу для функціонування міського комунального підприємства  "Хмельницьктеплокомуненерго"</t>
  </si>
  <si>
    <t xml:space="preserve">Завдання 6. Поповнення статутного капіталу для функціонування комунального підприємства «Акведук» </t>
  </si>
  <si>
    <t xml:space="preserve">Завдання 7. Поповнення статутного капіталу для функціонування комунального підприємства "Парки та сквери міста Хмельницького" </t>
  </si>
  <si>
    <t>Завдання 8. Поповнення статутного капіталу для функціонування Хмельницького комунального підприємства "Спецкомунтранс"</t>
  </si>
  <si>
    <t xml:space="preserve">Завдання 9. Поповнення статутного капіталу для функціонування Хмельницького комунального підприємства "Міськсвітло" </t>
  </si>
  <si>
    <t xml:space="preserve">Завдання 10. Поповнення статутного капіталу для функціонування комунального підприємства "Елеватор" </t>
  </si>
  <si>
    <t>Пояснення: виникла економія коштів.</t>
  </si>
  <si>
    <t>10</t>
  </si>
  <si>
    <t>Пояснення: відхилення відсутні.</t>
  </si>
  <si>
    <t>8.1</t>
  </si>
  <si>
    <t>8.2</t>
  </si>
  <si>
    <t>8.3</t>
  </si>
  <si>
    <t>8.4</t>
  </si>
  <si>
    <t>8.5</t>
  </si>
  <si>
    <t>9.1</t>
  </si>
  <si>
    <t>10.1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</si>
  <si>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</si>
  <si>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</si>
  <si>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</si>
  <si>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</si>
  <si>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</si>
  <si>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</si>
  <si>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</si>
  <si>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</si>
  <si>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</si>
  <si>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</si>
  <si>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</si>
  <si>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</si>
  <si>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</si>
  <si>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</si>
  <si>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</si>
  <si>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</si>
  <si>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</si>
  <si>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</si>
  <si>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</si>
  <si>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</si>
  <si>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</si>
  <si>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</si>
  <si>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</si>
  <si>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</si>
  <si>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</si>
  <si>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</si>
  <si>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</si>
  <si>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</si>
  <si>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</si>
  <si>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</si>
  <si>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</si>
  <si>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</si>
  <si>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</si>
  <si>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</si>
  <si>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</si>
  <si>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</si>
  <si>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</si>
  <si>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</si>
  <si>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</si>
  <si>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</si>
  <si>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</si>
  <si>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</si>
  <si>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</si>
  <si>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</si>
  <si>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</si>
  <si>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</si>
  <si>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</si>
  <si>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</si>
  <si>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</si>
  <si>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</si>
  <si>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</si>
  <si>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</si>
  <si>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</si>
  <si>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</si>
  <si>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</si>
  <si>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</si>
  <si>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</si>
  <si>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</si>
  <si>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</si>
  <si>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</si>
  <si>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</si>
  <si>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</si>
  <si>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</si>
  <si>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</si>
  <si>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</si>
  <si>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</si>
  <si>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</si>
  <si>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</si>
  <si>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</si>
  <si>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</si>
  <si>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</si>
  <si>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</si>
  <si>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</si>
  <si>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</si>
  <si>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</si>
  <si>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</si>
  <si>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</si>
  <si>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</si>
  <si>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</si>
  <si>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</si>
  <si>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</si>
  <si>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</si>
  <si>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</si>
  <si>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</si>
  <si>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</si>
  <si>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</si>
  <si>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</si>
  <si>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</si>
  <si>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</si>
  <si>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</si>
  <si>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</si>
  <si>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</si>
  <si>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7.2</t>
  </si>
  <si>
    <t>7.3</t>
  </si>
  <si>
    <t>техніко-економічне обгрунтування</t>
  </si>
  <si>
    <t>1 трактор по лізингу</t>
  </si>
  <si>
    <t>звелений кошторисний розрахунок</t>
  </si>
  <si>
    <t>комерційна пропозиція</t>
  </si>
  <si>
    <t xml:space="preserve">Пояснення: 1) загалом по більшості об'єктах і придбанню спеціалізованої техніки та обладнання виникла економія коштів, 2) по декількох об'єктах - недоосвоєння коштів у зв'язку з вищезазначеними причинами. </t>
  </si>
  <si>
    <t>Пояснення: зміни в показниках у зв'язку з недоосвоєнням та економією коштів.</t>
  </si>
  <si>
    <t>Пояснення: 1) через неосвоєння коштів роботи по 4 об'єктах не виконані, 2) не придбано дозуючий насос та 1 насосний агрегат;  недовиконання показників через недосвоєння коштів.</t>
  </si>
  <si>
    <t xml:space="preserve">Пояснення: п. 1-3 зміни у середніх витратах через неосвоєння коштів, 2, 4 у зв'язку з економією коштів. </t>
  </si>
  <si>
    <t xml:space="preserve">Пояснення: за результатами проведених тендерних закупівель виникла економія коштів, що дозволило придбати автоматичні системи хімводоочищення на 4 од. більше. </t>
  </si>
  <si>
    <t>Пояснення:  відхилення відсутні.</t>
  </si>
  <si>
    <t>Пояснення:  у зв'язку з економією коштів.</t>
  </si>
  <si>
    <t>Пояснення: зміни в показниках у зв'язку з економією коштів.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</si>
  <si>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</si>
  <si>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Програма підтримки і розвитку міського комунального підприємства «Хмельницькводоканал» на 2023-2027 роки (із змінами)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</si>
  <si>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</si>
  <si>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</si>
  <si>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 (із змінами)</t>
  </si>
  <si>
    <t>Програма підтримки і розвитку спеціалізованого комунального підприємства «Хмельницька міська ритуальна служба» на 2023-2027 роки</t>
  </si>
  <si>
    <t>Програма підтримки і розвитку комунального підприємства «Акведук» Хмельницької міської ради на 2023 – 2027 роки</t>
  </si>
  <si>
    <t>Програма підтримки і розвитку комунального підприємства «Парки і сквери міста Хмельницького» на 2023 – 2027 роки</t>
  </si>
  <si>
    <t>Програма підтримки та розвитку Хмельницького комунального підприємства «Спецкомунтранс» на 2023 – 2027 роки (із змінами)</t>
  </si>
  <si>
    <t>Програму підтримки і розвитку Хмельницького комунального підприємства «Міськсвітло» на 2023-2027 роки</t>
  </si>
  <si>
    <t>Програма підтримки та розвитку комунального підприємства «Елеватор» Хмельницької міської ради на 2023 – 2027 роки (із змінами)</t>
  </si>
  <si>
    <t xml:space="preserve">Разом </t>
  </si>
  <si>
    <t xml:space="preserve">Пояснення: 8.1, 8.5 економія коштів, 8.4 недоосвоєння коштів у зв'язку з тим, роботи перенесені на 2014 р.  </t>
  </si>
  <si>
    <t xml:space="preserve">Пояснення: у зв'язку з недоосвоєнням коштів. </t>
  </si>
  <si>
    <t>Пояснення:  п. 1.1, 1,2 - економія коштів,  п.1. 3 - кошти освоєні в неповному обсязі  у зв'язку з тим, що роботи будуть продовжуватися в 2024 році (укладено доаткову угоду),     1.4, 1.5-1.8, 1.11, 1.13, 1.14, 1.15 - роботи розпочнуться після передачі каналізаційних мереж та КНС від служби Єдиного замовникана бананс підприємства,  п. 1.16 - роботи виконуватися не будуть у зв'язку з відсутністю підрядника,  п. 1.17-1.21, 1.23, 1.24, 1.26, 1.27 - економія коштів, п. 1.22 - у 2023 р. роботи не будуть виконуватится, п. 1.25 - затримка у заміні у заміні виконавців робіт у зв'язку з мобілізацією підрядника, тому роботи у 2023 р. не виконувалися, п. 1.28 - у зв'язку з затримкою транспорту на кордоні не придбано 1 насосний агрегат, п. 1.29-1.32 - економія коштів, п. 1.33 - кошти у 2023 р. не будуть освоєні у зв'язку з тим, що не був заключений договір, п. 1.34-1.39, п. 1.40-1.44 - економія коштів</t>
  </si>
  <si>
    <t>Аналіз стану виконання результативних показників: по завданнях 1, 8 кошти освоєні в не повному обсязі в більшості у зв'язку з тим, що виконання робіт перенесено на 2024 рік, що вплинуло на  недовиконання інших показників,  по завданнях 2-7, 9, 10 результативні показники виконані.</t>
  </si>
  <si>
    <t xml:space="preserve">Пояснення: п. 2, 5 у зв'язку з економією коштів, п. 4 - недоосвоєння коштів через перенесенння робіт на 2024 р. </t>
  </si>
  <si>
    <t>Виконання бюджетної програми становить 96,7 % до затверджених призначень в 2023 р.</t>
  </si>
  <si>
    <t xml:space="preserve">Пояснення: п. 1, 4 у зв'язку з економією коштів, п. 3 - недоосвоєння коштів через перенесенння робіт на 2024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</si>
</sst>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24" fillId="0" borderId="0"/>
    <xf numFmtId="0" fontId="1" fillId="0" borderId="0"/>
    <xf numFmtId="0" fontId="2" fillId="0" borderId="0"/>
    <xf numFmtId="0" fontId="2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</cellStyleXfs>
  <cellXfs count="348">
    <xf numFmtId="0" fontId="0" fillId="0" borderId="0" xfId="0"/>
    <xf numFmtId="0" fontId="4" fillId="0" borderId="0" xfId="11" applyFont="1" applyAlignment="1"/>
    <xf numFmtId="0" fontId="5" fillId="0" borderId="0" xfId="0" applyFont="1" applyAlignment="1">
      <alignment horizontal="left"/>
    </xf>
    <xf numFmtId="0" fontId="3" fillId="0" borderId="0" xfId="10" applyFont="1" applyAlignment="1"/>
    <xf numFmtId="0" fontId="11" fillId="0" borderId="0" xfId="0" applyFont="1"/>
    <xf numFmtId="0" fontId="11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0" borderId="0" xfId="0" applyFont="1"/>
    <xf numFmtId="0" fontId="12" fillId="0" borderId="0" xfId="0" applyFont="1" applyBorder="1"/>
    <xf numFmtId="4" fontId="11" fillId="0" borderId="1" xfId="0" applyNumberFormat="1" applyFont="1" applyBorder="1"/>
    <xf numFmtId="2" fontId="11" fillId="0" borderId="1" xfId="0" applyNumberFormat="1" applyFont="1" applyBorder="1"/>
    <xf numFmtId="0" fontId="13" fillId="0" borderId="0" xfId="0" applyFont="1"/>
    <xf numFmtId="4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4" fontId="3" fillId="2" borderId="0" xfId="8" applyNumberFormat="1" applyFont="1" applyFill="1" applyBorder="1" applyAlignment="1">
      <alignment vertical="center" wrapText="1"/>
    </xf>
    <xf numFmtId="4" fontId="9" fillId="2" borderId="0" xfId="0" applyNumberFormat="1" applyFont="1" applyFill="1" applyBorder="1" applyAlignment="1">
      <alignment vertical="center" wrapText="1"/>
    </xf>
    <xf numFmtId="4" fontId="3" fillId="2" borderId="0" xfId="8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11" applyFont="1" applyBorder="1" applyAlignment="1">
      <alignment vertical="top" wrapText="1"/>
    </xf>
    <xf numFmtId="0" fontId="3" fillId="0" borderId="0" xfId="11" applyFont="1" applyBorder="1" applyAlignment="1">
      <alignment wrapText="1"/>
    </xf>
    <xf numFmtId="0" fontId="5" fillId="0" borderId="0" xfId="11" applyFont="1" applyBorder="1" applyAlignment="1">
      <alignment vertical="top" wrapText="1"/>
    </xf>
    <xf numFmtId="0" fontId="3" fillId="0" borderId="0" xfId="11" applyFont="1" applyBorder="1" applyAlignment="1"/>
    <xf numFmtId="0" fontId="0" fillId="0" borderId="0" xfId="0" applyBorder="1" applyAlignment="1">
      <alignment horizontal="left"/>
    </xf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11" applyFont="1" applyAlignment="1">
      <alignment horizontal="center"/>
    </xf>
    <xf numFmtId="0" fontId="3" fillId="0" borderId="0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0" xfId="11" applyFont="1" applyFill="1" applyBorder="1" applyAlignment="1" applyProtection="1">
      <alignment vertical="center" wrapText="1"/>
    </xf>
    <xf numFmtId="0" fontId="3" fillId="0" borderId="0" xfId="11" applyFont="1"/>
    <xf numFmtId="0" fontId="3" fillId="0" borderId="0" xfId="11" applyFont="1" applyBorder="1"/>
    <xf numFmtId="0" fontId="3" fillId="0" borderId="0" xfId="10" applyFont="1" applyBorder="1" applyAlignment="1"/>
    <xf numFmtId="0" fontId="3" fillId="0" borderId="0" xfId="10" applyFont="1" applyAlignment="1">
      <alignment horizontal="center"/>
    </xf>
    <xf numFmtId="0" fontId="2" fillId="0" borderId="0" xfId="11"/>
    <xf numFmtId="0" fontId="3" fillId="0" borderId="0" xfId="10" applyFont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0" xfId="9" applyFont="1" applyAlignment="1"/>
    <xf numFmtId="0" fontId="5" fillId="0" borderId="0" xfId="0" applyFont="1" applyBorder="1" applyAlignment="1">
      <alignment horizontal="center"/>
    </xf>
    <xf numFmtId="0" fontId="3" fillId="0" borderId="0" xfId="1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top"/>
    </xf>
    <xf numFmtId="0" fontId="3" fillId="0" borderId="0" xfId="1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8" fillId="0" borderId="4" xfId="8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3" fillId="0" borderId="0" xfId="11" applyFont="1" applyBorder="1" applyAlignment="1">
      <alignment horizontal="center"/>
    </xf>
    <xf numFmtId="0" fontId="3" fillId="0" borderId="0" xfId="11" applyFont="1" applyBorder="1" applyAlignment="1">
      <alignment horizontal="center" wrapText="1"/>
    </xf>
    <xf numFmtId="0" fontId="4" fillId="0" borderId="0" xfId="0" applyFont="1"/>
    <xf numFmtId="0" fontId="3" fillId="0" borderId="3" xfId="10" applyFont="1" applyBorder="1" applyAlignment="1">
      <alignment vertical="center" wrapText="1"/>
    </xf>
    <xf numFmtId="0" fontId="3" fillId="0" borderId="4" xfId="10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4" fontId="12" fillId="0" borderId="0" xfId="0" applyNumberFormat="1" applyFont="1" applyBorder="1"/>
    <xf numFmtId="2" fontId="11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1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1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/>
    <xf numFmtId="4" fontId="9" fillId="0" borderId="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22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4" borderId="0" xfId="0" applyFont="1" applyFill="1"/>
    <xf numFmtId="0" fontId="0" fillId="4" borderId="0" xfId="0" applyFill="1" applyAlignment="1">
      <alignment horizontal="left"/>
    </xf>
    <xf numFmtId="0" fontId="3" fillId="4" borderId="0" xfId="11" applyFont="1" applyFill="1" applyBorder="1" applyAlignment="1" applyProtection="1">
      <alignment vertical="center" wrapText="1"/>
    </xf>
    <xf numFmtId="0" fontId="0" fillId="4" borderId="0" xfId="0" applyFill="1" applyBorder="1" applyAlignment="1">
      <alignment horizontal="left"/>
    </xf>
    <xf numFmtId="0" fontId="3" fillId="4" borderId="0" xfId="10" applyFont="1" applyFill="1" applyAlignment="1"/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wrapText="1"/>
    </xf>
    <xf numFmtId="4" fontId="11" fillId="4" borderId="2" xfId="0" applyNumberFormat="1" applyFont="1" applyFill="1" applyBorder="1" applyAlignment="1">
      <alignment vertical="center"/>
    </xf>
    <xf numFmtId="4" fontId="11" fillId="4" borderId="4" xfId="0" applyNumberFormat="1" applyFont="1" applyFill="1" applyBorder="1" applyAlignment="1">
      <alignment vertical="center"/>
    </xf>
    <xf numFmtId="2" fontId="11" fillId="4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vertical="center" wrapText="1"/>
    </xf>
    <xf numFmtId="0" fontId="17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4" applyFont="1" applyBorder="1" applyAlignment="1">
      <alignment vertical="center" wrapText="1"/>
    </xf>
    <xf numFmtId="49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18" fillId="4" borderId="2" xfId="0" applyNumberFormat="1" applyFont="1" applyFill="1" applyBorder="1" applyAlignment="1">
      <alignment horizontal="center" vertical="center" wrapText="1"/>
    </xf>
    <xf numFmtId="4" fontId="18" fillId="4" borderId="4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4" borderId="2" xfId="0" applyNumberFormat="1" applyFont="1" applyFill="1" applyBorder="1" applyAlignment="1">
      <alignment vertical="center" wrapText="1"/>
    </xf>
    <xf numFmtId="0" fontId="3" fillId="4" borderId="3" xfId="0" applyNumberFormat="1" applyFont="1" applyFill="1" applyBorder="1" applyAlignment="1">
      <alignment vertical="center" wrapText="1"/>
    </xf>
    <xf numFmtId="0" fontId="3" fillId="4" borderId="4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7" fillId="0" borderId="2" xfId="0" applyNumberFormat="1" applyFont="1" applyBorder="1" applyAlignment="1">
      <alignment vertical="center" wrapText="1"/>
    </xf>
    <xf numFmtId="0" fontId="17" fillId="0" borderId="3" xfId="0" applyNumberFormat="1" applyFont="1" applyBorder="1" applyAlignment="1">
      <alignment vertical="center" wrapText="1"/>
    </xf>
    <xf numFmtId="0" fontId="17" fillId="0" borderId="4" xfId="0" applyNumberFormat="1" applyFont="1" applyBorder="1" applyAlignment="1">
      <alignment vertical="center" wrapText="1"/>
    </xf>
    <xf numFmtId="0" fontId="3" fillId="0" borderId="2" xfId="4" applyFont="1" applyBorder="1" applyAlignment="1">
      <alignment vertical="center" wrapText="1"/>
    </xf>
    <xf numFmtId="0" fontId="3" fillId="0" borderId="3" xfId="4" applyFont="1" applyBorder="1" applyAlignment="1">
      <alignment vertical="center" wrapText="1"/>
    </xf>
    <xf numFmtId="0" fontId="3" fillId="0" borderId="4" xfId="4" applyFont="1" applyBorder="1" applyAlignment="1">
      <alignment vertical="center" wrapText="1"/>
    </xf>
    <xf numFmtId="49" fontId="3" fillId="0" borderId="2" xfId="1" applyNumberFormat="1" applyFont="1" applyFill="1" applyBorder="1" applyAlignment="1">
      <alignment vertical="center" wrapText="1"/>
    </xf>
    <xf numFmtId="49" fontId="3" fillId="0" borderId="3" xfId="1" applyNumberFormat="1" applyFont="1" applyFill="1" applyBorder="1" applyAlignment="1">
      <alignment vertical="center" wrapText="1"/>
    </xf>
    <xf numFmtId="49" fontId="3" fillId="0" borderId="4" xfId="1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wrapText="1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1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1" xfId="5" applyFont="1" applyFill="1" applyBorder="1" applyAlignment="1">
      <alignment horizontal="left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9" xfId="11" applyFont="1" applyBorder="1" applyAlignment="1">
      <alignment horizontal="center" vertical="top" wrapText="1"/>
    </xf>
    <xf numFmtId="0" fontId="3" fillId="0" borderId="0" xfId="11" applyFont="1" applyBorder="1" applyAlignment="1">
      <alignment horizontal="center" vertical="top"/>
    </xf>
    <xf numFmtId="49" fontId="3" fillId="0" borderId="13" xfId="11" applyNumberFormat="1" applyFont="1" applyBorder="1" applyAlignment="1">
      <alignment horizontal="center"/>
    </xf>
    <xf numFmtId="0" fontId="3" fillId="0" borderId="0" xfId="11" applyFont="1" applyBorder="1" applyAlignment="1">
      <alignment horizontal="center" vertical="top" wrapText="1"/>
    </xf>
    <xf numFmtId="0" fontId="5" fillId="0" borderId="0" xfId="11" applyFont="1" applyBorder="1" applyAlignment="1">
      <alignment horizontal="center" vertical="top" wrapText="1"/>
    </xf>
    <xf numFmtId="0" fontId="3" fillId="0" borderId="13" xfId="11" applyFont="1" applyBorder="1" applyAlignment="1">
      <alignment horizontal="center"/>
    </xf>
    <xf numFmtId="0" fontId="3" fillId="0" borderId="13" xfId="1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3" fontId="0" fillId="4" borderId="4" xfId="0" applyNumberFormat="1" applyFill="1" applyBorder="1"/>
    <xf numFmtId="4" fontId="3" fillId="2" borderId="2" xfId="8" applyNumberFormat="1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3" xfId="10" applyFont="1" applyBorder="1" applyAlignment="1">
      <alignment horizontal="left" vertical="center" wrapText="1"/>
    </xf>
    <xf numFmtId="0" fontId="3" fillId="0" borderId="4" xfId="1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8" fillId="0" borderId="2" xfId="8" applyFont="1" applyFill="1" applyBorder="1" applyAlignment="1">
      <alignment vertical="center" wrapText="1"/>
    </xf>
    <xf numFmtId="0" fontId="8" fillId="0" borderId="3" xfId="8" applyFont="1" applyFill="1" applyBorder="1" applyAlignment="1">
      <alignment vertical="center" wrapText="1"/>
    </xf>
    <xf numFmtId="0" fontId="8" fillId="0" borderId="4" xfId="8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11" applyFont="1" applyFill="1" applyBorder="1" applyAlignment="1" applyProtection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9" fillId="0" borderId="0" xfId="0" applyFont="1" applyAlignment="1">
      <alignment wrapText="1"/>
    </xf>
    <xf numFmtId="0" fontId="7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9" fillId="4" borderId="8" xfId="0" applyNumberFormat="1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wrapText="1"/>
    </xf>
    <xf numFmtId="4" fontId="9" fillId="4" borderId="1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</cellXfs>
  <cellStyles count="12">
    <cellStyle name="Звичайний" xfId="0" builtinId="0"/>
    <cellStyle name="Звичайний 2 2" xfId="1"/>
    <cellStyle name="Звичайний 21" xfId="2"/>
    <cellStyle name="Звичайний 21 2 3 2" xfId="3"/>
    <cellStyle name="Звичайний 21 2 3 2 3 2 2" xfId="4"/>
    <cellStyle name="Звичайний 27 3 2" xfId="5"/>
    <cellStyle name="Обычный 3" xfId="6"/>
    <cellStyle name="Обычный 4 3" xfId="7"/>
    <cellStyle name="Обычный_КАПІТАЛЬНІ  ВКЛАДЕННЯ 2015" xfId="8"/>
    <cellStyle name="Обычный_Лист1" xfId="9"/>
    <cellStyle name="Обычный_Паспорт_Звіт 2012 остання сесія 2" xfId="10"/>
    <cellStyle name="Обычный_Шаблон паспорта" xfId="11"/>
  </cellStyles>
  <dxfs count="1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452"/>
  <sheetViews>
    <sheetView tabSelected="1" view="pageBreakPreview" zoomScaleNormal="100" zoomScaleSheetLayoutView="100" workbookViewId="0">
      <selection activeCell="A440" sqref="A440:AS440"/>
    </sheetView>
  </sheetViews>
  <sheetFormatPr defaultRowHeight="15" x14ac:dyDescent="0.25"/>
  <cols>
    <col min="1" max="1" width="5.42578125" style="4" customWidth="1"/>
    <col min="2" max="2" width="14.42578125" style="4" customWidth="1"/>
    <col min="3" max="3" width="9.85546875" style="4" customWidth="1"/>
    <col min="4" max="4" width="9.140625" style="4"/>
    <col min="5" max="5" width="11.28515625" style="4" customWidth="1"/>
    <col min="6" max="13" width="0.85546875" style="4" hidden="1" customWidth="1"/>
    <col min="14" max="27" width="2.7109375" style="4" hidden="1" customWidth="1"/>
    <col min="28" max="28" width="2.140625" style="4" hidden="1" customWidth="1"/>
    <col min="29" max="29" width="12" style="4" customWidth="1"/>
    <col min="30" max="30" width="15.140625" style="4" customWidth="1"/>
    <col min="31" max="31" width="14.7109375" style="4" hidden="1" customWidth="1"/>
    <col min="32" max="32" width="15.42578125" style="4" customWidth="1"/>
    <col min="33" max="33" width="5.85546875" style="4" customWidth="1"/>
    <col min="34" max="34" width="6.28515625" style="4" customWidth="1"/>
    <col min="35" max="35" width="7.28515625" style="135" customWidth="1"/>
    <col min="36" max="36" width="7.85546875" style="135" customWidth="1"/>
    <col min="37" max="37" width="8" style="4" hidden="1" customWidth="1"/>
    <col min="38" max="38" width="15.42578125" style="4" customWidth="1"/>
    <col min="39" max="39" width="10.42578125" style="4" customWidth="1"/>
    <col min="40" max="40" width="15.7109375" style="4" customWidth="1"/>
    <col min="41" max="42" width="15" style="4" hidden="1" customWidth="1"/>
    <col min="43" max="43" width="15.7109375" style="109" customWidth="1"/>
    <col min="44" max="44" width="10.42578125" style="4" customWidth="1"/>
    <col min="45" max="45" width="15" style="4" customWidth="1"/>
    <col min="46" max="46" width="14.85546875" style="4" customWidth="1"/>
    <col min="47" max="47" width="10.7109375" style="4" customWidth="1"/>
    <col min="48" max="48" width="9.140625" style="4"/>
    <col min="49" max="49" width="12" style="4" bestFit="1" customWidth="1"/>
    <col min="50" max="16384" width="9.140625" style="4"/>
  </cols>
  <sheetData>
    <row r="1" spans="1:73" x14ac:dyDescent="0.25">
      <c r="AL1" s="1" t="s">
        <v>5</v>
      </c>
    </row>
    <row r="2" spans="1:73" x14ac:dyDescent="0.25">
      <c r="AL2" s="1" t="s">
        <v>2</v>
      </c>
    </row>
    <row r="3" spans="1:73" x14ac:dyDescent="0.25">
      <c r="AL3" s="1" t="s">
        <v>3</v>
      </c>
    </row>
    <row r="4" spans="1:73" x14ac:dyDescent="0.25">
      <c r="AL4" s="2" t="s">
        <v>4</v>
      </c>
    </row>
    <row r="5" spans="1:73" x14ac:dyDescent="0.25">
      <c r="AL5" s="2" t="s">
        <v>75</v>
      </c>
    </row>
    <row r="8" spans="1:73" x14ac:dyDescent="0.25">
      <c r="AD8" s="17"/>
      <c r="AE8" s="17"/>
      <c r="AF8" s="17"/>
      <c r="AG8" s="17"/>
      <c r="AH8" s="44" t="s">
        <v>42</v>
      </c>
      <c r="AK8" s="13"/>
      <c r="AM8" s="17"/>
    </row>
    <row r="9" spans="1:73" ht="15.75" x14ac:dyDescent="0.25">
      <c r="AC9" s="21"/>
      <c r="AD9" s="312" t="s">
        <v>43</v>
      </c>
      <c r="AE9" s="312"/>
      <c r="AF9" s="312"/>
      <c r="AG9" s="312"/>
      <c r="AH9" s="312"/>
      <c r="AI9" s="312"/>
      <c r="AJ9" s="312"/>
      <c r="AK9" s="312"/>
      <c r="AL9" s="312"/>
      <c r="AM9" s="312"/>
    </row>
    <row r="10" spans="1:73" ht="15.75" x14ac:dyDescent="0.25">
      <c r="AC10" s="43"/>
      <c r="AD10" s="312" t="s">
        <v>93</v>
      </c>
      <c r="AE10" s="312"/>
      <c r="AF10" s="312"/>
      <c r="AG10" s="312"/>
      <c r="AH10" s="312"/>
      <c r="AI10" s="312"/>
      <c r="AJ10" s="312"/>
      <c r="AK10" s="312"/>
      <c r="AL10" s="312"/>
      <c r="AM10" s="312"/>
    </row>
    <row r="13" spans="1:73" ht="15.75" x14ac:dyDescent="0.25">
      <c r="A13" s="35" t="s">
        <v>32</v>
      </c>
      <c r="B13" s="280">
        <v>1400000</v>
      </c>
      <c r="C13" s="280"/>
      <c r="D13" s="4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280" t="s">
        <v>66</v>
      </c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80"/>
      <c r="AP13" s="80"/>
      <c r="AQ13" s="37"/>
      <c r="AR13" s="282" t="s">
        <v>33</v>
      </c>
      <c r="AS13" s="282"/>
      <c r="AT13" s="36"/>
      <c r="AU13" s="36"/>
      <c r="AV13" s="36"/>
      <c r="AW13" s="36"/>
      <c r="AZ13" s="36"/>
    </row>
    <row r="14" spans="1:73" ht="57" customHeight="1" x14ac:dyDescent="0.25">
      <c r="A14" s="37"/>
      <c r="B14" s="275" t="s">
        <v>34</v>
      </c>
      <c r="C14" s="275"/>
      <c r="D14" s="4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276" t="s">
        <v>35</v>
      </c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68"/>
      <c r="AP14" s="68"/>
      <c r="AQ14" s="37"/>
      <c r="AR14" s="270" t="s">
        <v>36</v>
      </c>
      <c r="AS14" s="270"/>
      <c r="AT14" s="36"/>
      <c r="AU14" s="36"/>
      <c r="AV14" s="36"/>
      <c r="AW14" s="36"/>
      <c r="AZ14" s="36"/>
    </row>
    <row r="15" spans="1:73" x14ac:dyDescent="0.25">
      <c r="A15" s="37"/>
      <c r="B15" s="36"/>
      <c r="C15" s="36"/>
      <c r="D15" s="42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136"/>
      <c r="AJ15" s="136"/>
      <c r="AK15" s="36"/>
      <c r="AL15" s="36"/>
      <c r="AM15" s="36"/>
      <c r="AN15" s="36"/>
      <c r="AO15" s="36"/>
      <c r="AP15" s="36"/>
      <c r="AQ15" s="37"/>
      <c r="AR15" s="36"/>
      <c r="AS15" s="36"/>
      <c r="AT15" s="36"/>
      <c r="AU15" s="36"/>
      <c r="AV15" s="36"/>
      <c r="AW15" s="36"/>
      <c r="AZ15" s="36"/>
    </row>
    <row r="16" spans="1:73" ht="15.75" x14ac:dyDescent="0.25">
      <c r="A16" s="35" t="s">
        <v>0</v>
      </c>
      <c r="B16" s="280">
        <v>14100000</v>
      </c>
      <c r="C16" s="280"/>
      <c r="D16" s="4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280" t="s">
        <v>66</v>
      </c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80"/>
      <c r="AP16" s="80"/>
      <c r="AQ16" s="37"/>
      <c r="AR16" s="282" t="s">
        <v>33</v>
      </c>
      <c r="AS16" s="282"/>
      <c r="AT16" s="36"/>
      <c r="AU16" s="36"/>
      <c r="AV16" s="42"/>
      <c r="AW16" s="42"/>
      <c r="AX16" s="8"/>
      <c r="AY16" s="8"/>
      <c r="AZ16" s="42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73" ht="57" customHeight="1" x14ac:dyDescent="0.25">
      <c r="A17" s="37"/>
      <c r="B17" s="275" t="s">
        <v>34</v>
      </c>
      <c r="C17" s="275"/>
      <c r="D17" s="40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276" t="s">
        <v>37</v>
      </c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68"/>
      <c r="AP17" s="68"/>
      <c r="AQ17" s="37"/>
      <c r="AR17" s="270" t="s">
        <v>36</v>
      </c>
      <c r="AS17" s="270"/>
      <c r="AT17" s="36"/>
      <c r="AU17" s="36"/>
      <c r="AV17" s="42"/>
      <c r="AW17" s="42"/>
      <c r="AX17" s="8"/>
      <c r="AY17" s="8"/>
      <c r="AZ17" s="42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x14ac:dyDescent="0.25">
      <c r="A18" s="37"/>
      <c r="B18" s="36"/>
      <c r="C18" s="36"/>
      <c r="D18" s="42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J18" s="136"/>
      <c r="AK18" s="36"/>
      <c r="AL18" s="36"/>
      <c r="AM18" s="36"/>
      <c r="AN18" s="36"/>
      <c r="AO18" s="36"/>
      <c r="AP18" s="36"/>
      <c r="AQ18" s="37"/>
      <c r="AR18" s="36"/>
      <c r="AS18" s="36"/>
      <c r="AT18" s="36"/>
      <c r="AU18" s="36"/>
      <c r="AV18" s="42"/>
      <c r="AW18" s="42"/>
      <c r="AX18" s="8"/>
      <c r="AY18" s="8"/>
      <c r="AZ18" s="42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ht="17.25" customHeight="1" x14ac:dyDescent="0.25">
      <c r="A19" s="35" t="s">
        <v>1</v>
      </c>
      <c r="B19" s="280">
        <v>1417670</v>
      </c>
      <c r="C19" s="280"/>
      <c r="D19" s="41"/>
      <c r="E19" s="280">
        <v>7670</v>
      </c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41"/>
      <c r="AE19" s="41"/>
      <c r="AF19" s="277" t="s">
        <v>22</v>
      </c>
      <c r="AG19" s="277"/>
      <c r="AI19" s="281" t="s">
        <v>23</v>
      </c>
      <c r="AJ19" s="281"/>
      <c r="AK19" s="281"/>
      <c r="AL19" s="281"/>
      <c r="AM19" s="281"/>
      <c r="AN19" s="281"/>
      <c r="AO19" s="81"/>
      <c r="AP19" s="81"/>
      <c r="AQ19" s="81"/>
      <c r="AR19" s="273" t="s">
        <v>67</v>
      </c>
      <c r="AS19" s="274"/>
      <c r="AT19" s="39"/>
      <c r="AU19" s="39"/>
      <c r="AV19" s="42"/>
      <c r="AW19" s="42"/>
      <c r="AX19" s="8"/>
      <c r="AY19" s="8"/>
      <c r="AZ19" s="42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60" customHeight="1" x14ac:dyDescent="0.25">
      <c r="A20" s="36"/>
      <c r="B20" s="275" t="s">
        <v>34</v>
      </c>
      <c r="C20" s="275"/>
      <c r="D20" s="40"/>
      <c r="E20" s="279" t="s">
        <v>38</v>
      </c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40"/>
      <c r="AE20" s="40"/>
      <c r="AF20" s="279" t="s">
        <v>41</v>
      </c>
      <c r="AG20" s="279"/>
      <c r="AI20" s="278" t="s">
        <v>39</v>
      </c>
      <c r="AJ20" s="278"/>
      <c r="AK20" s="278"/>
      <c r="AL20" s="278"/>
      <c r="AM20" s="278"/>
      <c r="AN20" s="278"/>
      <c r="AO20" s="69"/>
      <c r="AP20" s="69"/>
      <c r="AQ20" s="69"/>
      <c r="AR20" s="270" t="s">
        <v>40</v>
      </c>
      <c r="AS20" s="270"/>
      <c r="AT20" s="38"/>
      <c r="AU20" s="38"/>
      <c r="AV20" s="38"/>
      <c r="AW20" s="38"/>
      <c r="AX20" s="8"/>
      <c r="AY20" s="8"/>
      <c r="AZ20" s="42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x14ac:dyDescent="0.25"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5.75" x14ac:dyDescent="0.25">
      <c r="A22" s="45" t="s">
        <v>51</v>
      </c>
      <c r="B22" s="313" t="s">
        <v>44</v>
      </c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6"/>
      <c r="AU22" s="36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136"/>
      <c r="AJ23" s="136"/>
      <c r="AK23" s="36"/>
      <c r="AL23" s="36"/>
      <c r="AM23" s="36"/>
      <c r="AN23" s="36"/>
      <c r="AO23" s="36"/>
      <c r="AP23" s="36"/>
      <c r="AQ23" s="37"/>
      <c r="AR23" s="42"/>
      <c r="AS23" s="42"/>
      <c r="AT23" s="42"/>
      <c r="AU23" s="42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8" customHeight="1" x14ac:dyDescent="0.25">
      <c r="A24" s="46"/>
      <c r="B24" s="47" t="s">
        <v>13</v>
      </c>
      <c r="C24" s="272" t="s">
        <v>45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54"/>
      <c r="AS24" s="54"/>
      <c r="AT24" s="54"/>
      <c r="AU24" s="54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ht="18" customHeight="1" x14ac:dyDescent="0.25">
      <c r="A25" s="46"/>
      <c r="B25" s="47">
        <v>1</v>
      </c>
      <c r="C25" s="286" t="s">
        <v>46</v>
      </c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8"/>
      <c r="AR25" s="54"/>
      <c r="AS25" s="54"/>
      <c r="AT25" s="54"/>
      <c r="AU25" s="54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ht="15.75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137"/>
      <c r="AJ26" s="137"/>
      <c r="AK26" s="48"/>
      <c r="AL26" s="48"/>
      <c r="AM26" s="48"/>
      <c r="AN26" s="48"/>
      <c r="AO26" s="48"/>
      <c r="AP26" s="48"/>
      <c r="AQ26" s="110"/>
      <c r="AR26" s="48"/>
      <c r="AS26" s="48"/>
      <c r="AT26" s="48"/>
      <c r="AU26" s="4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ht="18.75" customHeight="1" x14ac:dyDescent="0.25">
      <c r="A27" s="45" t="s">
        <v>52</v>
      </c>
      <c r="B27" s="49" t="s">
        <v>47</v>
      </c>
      <c r="C27" s="49"/>
      <c r="D27" s="49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280" t="s">
        <v>48</v>
      </c>
      <c r="AD27" s="280"/>
      <c r="AE27" s="280"/>
      <c r="AF27" s="280"/>
      <c r="AG27" s="280"/>
      <c r="AH27" s="280"/>
      <c r="AI27" s="280"/>
      <c r="AJ27" s="280"/>
      <c r="AK27" s="280"/>
      <c r="AL27" s="280"/>
      <c r="AM27" s="42"/>
      <c r="AN27" s="42"/>
      <c r="AO27" s="42"/>
      <c r="AP27" s="42"/>
      <c r="AQ27" s="111"/>
      <c r="AR27" s="42"/>
      <c r="AS27" s="42"/>
      <c r="AT27" s="42"/>
      <c r="AU27" s="36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</row>
    <row r="28" spans="1:73" ht="15.75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50"/>
      <c r="AD28" s="42"/>
      <c r="AE28" s="42"/>
      <c r="AF28" s="42"/>
      <c r="AG28" s="42"/>
      <c r="AH28" s="42"/>
      <c r="AI28" s="138"/>
      <c r="AJ28" s="138"/>
      <c r="AK28" s="42"/>
      <c r="AL28" s="51"/>
      <c r="AM28" s="42"/>
      <c r="AN28" s="42"/>
      <c r="AO28" s="42"/>
      <c r="AP28" s="42"/>
      <c r="AQ28" s="111"/>
      <c r="AR28" s="42"/>
      <c r="AS28" s="42"/>
      <c r="AT28" s="42"/>
      <c r="AU28" s="36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</row>
    <row r="29" spans="1:73" ht="18.75" customHeight="1" x14ac:dyDescent="0.25">
      <c r="A29" s="52" t="s">
        <v>11</v>
      </c>
      <c r="B29" s="3" t="s">
        <v>49</v>
      </c>
      <c r="C29" s="5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139"/>
      <c r="AJ29" s="139"/>
      <c r="AK29" s="3"/>
      <c r="AL29" s="36"/>
      <c r="AM29" s="36"/>
      <c r="AN29" s="36"/>
      <c r="AO29" s="36"/>
      <c r="AP29" s="36"/>
      <c r="AQ29" s="37"/>
      <c r="AR29" s="36"/>
      <c r="AS29" s="36"/>
      <c r="AT29" s="36"/>
      <c r="AU29" s="36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ht="15.75" x14ac:dyDescent="0.25">
      <c r="A30" s="52"/>
      <c r="B30" s="3"/>
      <c r="C30" s="5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139"/>
      <c r="AJ30" s="139"/>
      <c r="AK30" s="3"/>
      <c r="AL30" s="36"/>
      <c r="AM30" s="36"/>
      <c r="AN30" s="36"/>
      <c r="AO30" s="36"/>
      <c r="AP30" s="36"/>
      <c r="AQ30" s="37"/>
      <c r="AR30" s="42"/>
      <c r="AS30" s="42"/>
      <c r="AT30" s="42"/>
      <c r="AU30" s="42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</row>
    <row r="31" spans="1:73" ht="18" customHeight="1" x14ac:dyDescent="0.25">
      <c r="A31" s="52"/>
      <c r="B31" s="47" t="s">
        <v>13</v>
      </c>
      <c r="C31" s="272" t="s">
        <v>50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54"/>
      <c r="AS31" s="54"/>
      <c r="AT31" s="54"/>
      <c r="AU31" s="54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</row>
    <row r="32" spans="1:73" ht="18" customHeight="1" x14ac:dyDescent="0.25">
      <c r="A32" s="52"/>
      <c r="B32" s="47">
        <v>1</v>
      </c>
      <c r="C32" s="266" t="s">
        <v>303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54"/>
      <c r="AS32" s="54"/>
      <c r="AT32" s="54"/>
      <c r="AU32" s="54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ht="18" customHeight="1" x14ac:dyDescent="0.25">
      <c r="A33" s="52"/>
      <c r="B33" s="47">
        <v>2</v>
      </c>
      <c r="C33" s="271" t="s">
        <v>304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54"/>
      <c r="AS33" s="54"/>
      <c r="AT33" s="54"/>
      <c r="AU33" s="54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ht="18" customHeight="1" x14ac:dyDescent="0.25">
      <c r="A34" s="8"/>
      <c r="B34" s="47">
        <v>3</v>
      </c>
      <c r="C34" s="271" t="s">
        <v>76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55"/>
      <c r="AS34" s="55"/>
      <c r="AT34" s="55"/>
      <c r="AU34" s="55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1:73" ht="18" customHeight="1" x14ac:dyDescent="0.25">
      <c r="A35" s="8"/>
      <c r="B35" s="47">
        <v>4</v>
      </c>
      <c r="C35" s="271" t="s">
        <v>293</v>
      </c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55"/>
      <c r="AS35" s="55"/>
      <c r="AT35" s="55"/>
      <c r="AU35" s="55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1:73" ht="18" customHeight="1" x14ac:dyDescent="0.25">
      <c r="A36" s="8"/>
      <c r="B36" s="6">
        <v>5</v>
      </c>
      <c r="C36" s="289" t="s">
        <v>77</v>
      </c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S36" s="5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ht="18" customHeight="1" x14ac:dyDescent="0.25">
      <c r="A37" s="8"/>
      <c r="B37" s="6">
        <v>6</v>
      </c>
      <c r="C37" s="321" t="s">
        <v>305</v>
      </c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S37" s="5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</row>
    <row r="38" spans="1:73" ht="18" customHeight="1" x14ac:dyDescent="0.25">
      <c r="A38" s="8"/>
      <c r="B38" s="6">
        <v>7</v>
      </c>
      <c r="C38" s="289" t="s">
        <v>306</v>
      </c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S38" s="5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</row>
    <row r="39" spans="1:73" ht="18" customHeight="1" x14ac:dyDescent="0.25">
      <c r="A39" s="8"/>
      <c r="B39" s="6">
        <v>8</v>
      </c>
      <c r="C39" s="266" t="s">
        <v>307</v>
      </c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S39" s="5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</row>
    <row r="40" spans="1:73" ht="18" customHeight="1" x14ac:dyDescent="0.25">
      <c r="A40" s="8"/>
      <c r="B40" s="6">
        <v>9</v>
      </c>
      <c r="C40" s="289" t="s">
        <v>308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S40" s="5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</row>
    <row r="41" spans="1:73" ht="18" customHeight="1" x14ac:dyDescent="0.25">
      <c r="A41" s="8"/>
      <c r="B41" s="6">
        <v>10</v>
      </c>
      <c r="C41" s="322" t="s">
        <v>309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S41" s="5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  <row r="42" spans="1:73" x14ac:dyDescent="0.25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140"/>
      <c r="AJ42" s="140"/>
      <c r="AK42" s="33"/>
      <c r="AL42" s="33"/>
      <c r="AM42" s="33"/>
      <c r="AN42" s="7"/>
      <c r="AO42" s="7"/>
      <c r="AP42" s="7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1:73" ht="18.75" customHeight="1" x14ac:dyDescent="0.25">
      <c r="A43" s="56" t="s">
        <v>14</v>
      </c>
      <c r="B43" s="32" t="s">
        <v>53</v>
      </c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</row>
    <row r="44" spans="1:73" ht="18.75" customHeight="1" x14ac:dyDescent="0.25">
      <c r="A44" s="32" t="s">
        <v>78</v>
      </c>
      <c r="B44" s="32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</row>
    <row r="45" spans="1:73" ht="15.75" x14ac:dyDescent="0.25">
      <c r="B45" s="3"/>
      <c r="AQ45" s="109" t="s">
        <v>61</v>
      </c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</row>
    <row r="46" spans="1:73" ht="31.5" customHeight="1" x14ac:dyDescent="0.25">
      <c r="A46" s="290" t="s">
        <v>13</v>
      </c>
      <c r="B46" s="294" t="s">
        <v>91</v>
      </c>
      <c r="C46" s="295"/>
      <c r="D46" s="295"/>
      <c r="E46" s="296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253" t="s">
        <v>9</v>
      </c>
      <c r="AD46" s="253"/>
      <c r="AE46" s="253"/>
      <c r="AF46" s="253"/>
      <c r="AG46" s="309" t="s">
        <v>54</v>
      </c>
      <c r="AH46" s="310"/>
      <c r="AI46" s="310"/>
      <c r="AJ46" s="310"/>
      <c r="AK46" s="310"/>
      <c r="AL46" s="311"/>
      <c r="AM46" s="253" t="s">
        <v>10</v>
      </c>
      <c r="AN46" s="253"/>
      <c r="AO46" s="253"/>
      <c r="AP46" s="253"/>
      <c r="AQ46" s="253"/>
      <c r="AR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</row>
    <row r="47" spans="1:73" ht="32.25" customHeight="1" x14ac:dyDescent="0.25">
      <c r="A47" s="291"/>
      <c r="B47" s="297"/>
      <c r="C47" s="298"/>
      <c r="D47" s="298"/>
      <c r="E47" s="299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6" t="s">
        <v>6</v>
      </c>
      <c r="AD47" s="6" t="s">
        <v>7</v>
      </c>
      <c r="AE47" s="6"/>
      <c r="AF47" s="6" t="s">
        <v>8</v>
      </c>
      <c r="AG47" s="253" t="s">
        <v>6</v>
      </c>
      <c r="AH47" s="253"/>
      <c r="AI47" s="292" t="s">
        <v>7</v>
      </c>
      <c r="AJ47" s="293"/>
      <c r="AK47" s="71"/>
      <c r="AL47" s="6" t="s">
        <v>8</v>
      </c>
      <c r="AM47" s="6" t="s">
        <v>6</v>
      </c>
      <c r="AN47" s="6" t="s">
        <v>7</v>
      </c>
      <c r="AO47" s="6"/>
      <c r="AP47" s="6"/>
      <c r="AQ47" s="6" t="s">
        <v>8</v>
      </c>
      <c r="AR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</row>
    <row r="48" spans="1:73" x14ac:dyDescent="0.25">
      <c r="A48" s="12">
        <v>1</v>
      </c>
      <c r="B48" s="253">
        <v>2</v>
      </c>
      <c r="C48" s="253"/>
      <c r="D48" s="253"/>
      <c r="E48" s="25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>
        <v>3</v>
      </c>
      <c r="AD48" s="6">
        <v>4</v>
      </c>
      <c r="AE48" s="6"/>
      <c r="AF48" s="6">
        <v>5</v>
      </c>
      <c r="AG48" s="253">
        <v>6</v>
      </c>
      <c r="AH48" s="253"/>
      <c r="AI48" s="292">
        <v>7</v>
      </c>
      <c r="AJ48" s="293"/>
      <c r="AK48" s="70"/>
      <c r="AL48" s="23">
        <v>8</v>
      </c>
      <c r="AM48" s="6">
        <v>9</v>
      </c>
      <c r="AN48" s="6">
        <v>10</v>
      </c>
      <c r="AO48" s="6"/>
      <c r="AP48" s="6"/>
      <c r="AQ48" s="6">
        <v>11</v>
      </c>
      <c r="AR48" s="9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1:82" ht="54" customHeight="1" x14ac:dyDescent="0.25">
      <c r="A49" s="57">
        <v>1</v>
      </c>
      <c r="B49" s="193" t="s">
        <v>65</v>
      </c>
      <c r="C49" s="194"/>
      <c r="D49" s="194"/>
      <c r="E49" s="195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89"/>
      <c r="AD49" s="121">
        <f>AD50+AD78+AD91+AD97</f>
        <v>122361973.59999999</v>
      </c>
      <c r="AE49" s="122"/>
      <c r="AF49" s="121">
        <f>AD49</f>
        <v>122361973.59999999</v>
      </c>
      <c r="AG49" s="151"/>
      <c r="AH49" s="152"/>
      <c r="AI49" s="157">
        <f>AI50+AI78+AI91+AI97</f>
        <v>112586164.23999998</v>
      </c>
      <c r="AJ49" s="158"/>
      <c r="AK49" s="114"/>
      <c r="AL49" s="107">
        <f>AI49</f>
        <v>112586164.23999998</v>
      </c>
      <c r="AM49" s="31"/>
      <c r="AN49" s="30">
        <f>AI49-AD49</f>
        <v>-9775809.3600000143</v>
      </c>
      <c r="AO49" s="30"/>
      <c r="AP49" s="30"/>
      <c r="AQ49" s="30">
        <f>AN49</f>
        <v>-9775809.3600000143</v>
      </c>
      <c r="AR49" s="9"/>
      <c r="AV49" s="8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8"/>
      <c r="CD49" s="8"/>
    </row>
    <row r="50" spans="1:82" ht="82.5" customHeight="1" x14ac:dyDescent="0.25">
      <c r="A50" s="12"/>
      <c r="B50" s="239" t="s">
        <v>94</v>
      </c>
      <c r="C50" s="240"/>
      <c r="D50" s="240"/>
      <c r="E50" s="24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115"/>
      <c r="AD50" s="105">
        <f>SUM(AD51:AD77)</f>
        <v>55570367</v>
      </c>
      <c r="AE50" s="105"/>
      <c r="AF50" s="105">
        <f t="shared" ref="AF50:AF110" si="0">AD50</f>
        <v>55570367</v>
      </c>
      <c r="AG50" s="216"/>
      <c r="AH50" s="217"/>
      <c r="AI50" s="159">
        <f>SUM(AI51:AI77)</f>
        <v>49806314.039999992</v>
      </c>
      <c r="AJ50" s="160">
        <f>SUM(AJ51:AJ77)</f>
        <v>0</v>
      </c>
      <c r="AK50" s="117"/>
      <c r="AL50" s="116">
        <f t="shared" ref="AL50:AL110" si="1">AI50</f>
        <v>49806314.039999992</v>
      </c>
      <c r="AM50" s="105"/>
      <c r="AN50" s="105">
        <f>AI50-AF50</f>
        <v>-5764052.9600000083</v>
      </c>
      <c r="AO50" s="105"/>
      <c r="AP50" s="105"/>
      <c r="AQ50" s="105">
        <f>AN50</f>
        <v>-5764052.9600000083</v>
      </c>
      <c r="AR50" s="9"/>
      <c r="AV50" s="8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8"/>
      <c r="CD50" s="8"/>
    </row>
    <row r="51" spans="1:82" ht="66" customHeight="1" x14ac:dyDescent="0.25">
      <c r="A51" s="58" t="s">
        <v>55</v>
      </c>
      <c r="B51" s="182" t="s">
        <v>95</v>
      </c>
      <c r="C51" s="183"/>
      <c r="D51" s="183"/>
      <c r="E51" s="184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89"/>
      <c r="AD51" s="31">
        <f>800000+4473361-1008242-718000</f>
        <v>3547119</v>
      </c>
      <c r="AE51" s="31"/>
      <c r="AF51" s="31">
        <f t="shared" si="0"/>
        <v>3547119</v>
      </c>
      <c r="AG51" s="207"/>
      <c r="AH51" s="208"/>
      <c r="AI51" s="151">
        <v>3547090.39</v>
      </c>
      <c r="AJ51" s="152"/>
      <c r="AK51" s="114"/>
      <c r="AL51" s="99">
        <f t="shared" si="1"/>
        <v>3547090.39</v>
      </c>
      <c r="AM51" s="31"/>
      <c r="AN51" s="31">
        <f t="shared" ref="AN51:AN110" si="2">AI51-AF51</f>
        <v>-28.609999999869615</v>
      </c>
      <c r="AO51" s="31"/>
      <c r="AP51" s="31"/>
      <c r="AQ51" s="31">
        <f t="shared" ref="AQ51:AQ110" si="3">AN51</f>
        <v>-28.609999999869615</v>
      </c>
      <c r="AR51" s="9"/>
      <c r="AV51" s="8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8"/>
      <c r="CD51" s="8"/>
    </row>
    <row r="52" spans="1:82" ht="81" customHeight="1" x14ac:dyDescent="0.25">
      <c r="A52" s="58" t="s">
        <v>56</v>
      </c>
      <c r="B52" s="236" t="s">
        <v>96</v>
      </c>
      <c r="C52" s="237"/>
      <c r="D52" s="237"/>
      <c r="E52" s="238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89"/>
      <c r="AD52" s="31">
        <f>500000</f>
        <v>500000</v>
      </c>
      <c r="AE52" s="31"/>
      <c r="AF52" s="31">
        <f t="shared" si="0"/>
        <v>500000</v>
      </c>
      <c r="AG52" s="207"/>
      <c r="AH52" s="208"/>
      <c r="AI52" s="151">
        <v>498677.54</v>
      </c>
      <c r="AJ52" s="152"/>
      <c r="AK52" s="114"/>
      <c r="AL52" s="99">
        <f t="shared" si="1"/>
        <v>498677.54</v>
      </c>
      <c r="AM52" s="31"/>
      <c r="AN52" s="31">
        <f t="shared" si="2"/>
        <v>-1322.460000000021</v>
      </c>
      <c r="AO52" s="31"/>
      <c r="AP52" s="31"/>
      <c r="AQ52" s="31">
        <f t="shared" si="3"/>
        <v>-1322.460000000021</v>
      </c>
      <c r="AR52" s="9"/>
      <c r="AV52" s="8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8"/>
      <c r="CD52" s="8"/>
    </row>
    <row r="53" spans="1:82" ht="49.5" customHeight="1" x14ac:dyDescent="0.25">
      <c r="A53" s="58" t="s">
        <v>320</v>
      </c>
      <c r="B53" s="236" t="s">
        <v>97</v>
      </c>
      <c r="C53" s="237"/>
      <c r="D53" s="237"/>
      <c r="E53" s="238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89"/>
      <c r="AD53" s="31">
        <f>800000+6172411+229474</f>
        <v>7201885</v>
      </c>
      <c r="AE53" s="31"/>
      <c r="AF53" s="31">
        <f t="shared" si="0"/>
        <v>7201885</v>
      </c>
      <c r="AG53" s="207"/>
      <c r="AH53" s="208"/>
      <c r="AI53" s="151">
        <v>4658497.57</v>
      </c>
      <c r="AJ53" s="152"/>
      <c r="AK53" s="114"/>
      <c r="AL53" s="99">
        <f t="shared" si="1"/>
        <v>4658497.57</v>
      </c>
      <c r="AM53" s="31"/>
      <c r="AN53" s="31">
        <f t="shared" si="2"/>
        <v>-2543387.4299999997</v>
      </c>
      <c r="AO53" s="31"/>
      <c r="AP53" s="31"/>
      <c r="AQ53" s="31">
        <f t="shared" si="3"/>
        <v>-2543387.4299999997</v>
      </c>
      <c r="AR53" s="9"/>
      <c r="AV53" s="8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8"/>
      <c r="CD53" s="8"/>
    </row>
    <row r="54" spans="1:82" ht="50.25" customHeight="1" x14ac:dyDescent="0.25">
      <c r="A54" s="58" t="s">
        <v>321</v>
      </c>
      <c r="B54" s="236" t="s">
        <v>98</v>
      </c>
      <c r="C54" s="237"/>
      <c r="D54" s="237"/>
      <c r="E54" s="238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89"/>
      <c r="AD54" s="31">
        <f>216700+1197697-21643</f>
        <v>1392754</v>
      </c>
      <c r="AE54" s="31"/>
      <c r="AF54" s="31">
        <f t="shared" si="0"/>
        <v>1392754</v>
      </c>
      <c r="AG54" s="207"/>
      <c r="AH54" s="208"/>
      <c r="AI54" s="151">
        <v>1391903.53</v>
      </c>
      <c r="AJ54" s="152"/>
      <c r="AK54" s="114"/>
      <c r="AL54" s="99">
        <f t="shared" si="1"/>
        <v>1391903.53</v>
      </c>
      <c r="AM54" s="31"/>
      <c r="AN54" s="31">
        <f t="shared" si="2"/>
        <v>-850.46999999997206</v>
      </c>
      <c r="AO54" s="31"/>
      <c r="AP54" s="31"/>
      <c r="AQ54" s="31">
        <f t="shared" si="3"/>
        <v>-850.46999999997206</v>
      </c>
      <c r="AR54" s="9"/>
      <c r="AV54" s="8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8"/>
      <c r="CD54" s="8"/>
    </row>
    <row r="55" spans="1:82" ht="50.25" customHeight="1" x14ac:dyDescent="0.25">
      <c r="A55" s="58" t="s">
        <v>322</v>
      </c>
      <c r="B55" s="236" t="s">
        <v>99</v>
      </c>
      <c r="C55" s="237"/>
      <c r="D55" s="237"/>
      <c r="E55" s="238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89"/>
      <c r="AD55" s="31">
        <f>500000+602662-18878</f>
        <v>1083784</v>
      </c>
      <c r="AE55" s="31"/>
      <c r="AF55" s="31">
        <f t="shared" si="0"/>
        <v>1083784</v>
      </c>
      <c r="AG55" s="207"/>
      <c r="AH55" s="208"/>
      <c r="AI55" s="151">
        <v>820097.4</v>
      </c>
      <c r="AJ55" s="152"/>
      <c r="AK55" s="114"/>
      <c r="AL55" s="99">
        <f t="shared" si="1"/>
        <v>820097.4</v>
      </c>
      <c r="AM55" s="31"/>
      <c r="AN55" s="31">
        <f t="shared" si="2"/>
        <v>-263686.59999999998</v>
      </c>
      <c r="AO55" s="31"/>
      <c r="AP55" s="31"/>
      <c r="AQ55" s="31">
        <f t="shared" si="3"/>
        <v>-263686.59999999998</v>
      </c>
      <c r="AR55" s="9"/>
      <c r="AV55" s="8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8"/>
      <c r="CD55" s="8"/>
    </row>
    <row r="56" spans="1:82" ht="51" customHeight="1" x14ac:dyDescent="0.25">
      <c r="A56" s="58" t="s">
        <v>323</v>
      </c>
      <c r="B56" s="236" t="s">
        <v>100</v>
      </c>
      <c r="C56" s="237"/>
      <c r="D56" s="237"/>
      <c r="E56" s="238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89"/>
      <c r="AD56" s="31">
        <f>800000+1495880-23778</f>
        <v>2272102</v>
      </c>
      <c r="AE56" s="31"/>
      <c r="AF56" s="31">
        <f t="shared" si="0"/>
        <v>2272102</v>
      </c>
      <c r="AG56" s="207"/>
      <c r="AH56" s="208"/>
      <c r="AI56" s="151">
        <v>2272050.12</v>
      </c>
      <c r="AJ56" s="152"/>
      <c r="AK56" s="114"/>
      <c r="AL56" s="99">
        <f t="shared" si="1"/>
        <v>2272050.12</v>
      </c>
      <c r="AM56" s="31"/>
      <c r="AN56" s="31">
        <f t="shared" si="2"/>
        <v>-51.879999999888241</v>
      </c>
      <c r="AO56" s="31"/>
      <c r="AP56" s="31"/>
      <c r="AQ56" s="31">
        <f t="shared" si="3"/>
        <v>-51.879999999888241</v>
      </c>
      <c r="AR56" s="9"/>
      <c r="AV56" s="8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8"/>
      <c r="CD56" s="8"/>
    </row>
    <row r="57" spans="1:82" ht="51" customHeight="1" x14ac:dyDescent="0.25">
      <c r="A57" s="58" t="s">
        <v>324</v>
      </c>
      <c r="B57" s="236" t="s">
        <v>101</v>
      </c>
      <c r="C57" s="237"/>
      <c r="D57" s="237"/>
      <c r="E57" s="238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89"/>
      <c r="AD57" s="31">
        <f>119860+10795</f>
        <v>130655</v>
      </c>
      <c r="AE57" s="31"/>
      <c r="AF57" s="31">
        <f t="shared" si="0"/>
        <v>130655</v>
      </c>
      <c r="AG57" s="207"/>
      <c r="AH57" s="208"/>
      <c r="AI57" s="151">
        <v>130249.58</v>
      </c>
      <c r="AJ57" s="152"/>
      <c r="AK57" s="114"/>
      <c r="AL57" s="99">
        <f t="shared" si="1"/>
        <v>130249.58</v>
      </c>
      <c r="AM57" s="31"/>
      <c r="AN57" s="31">
        <f t="shared" si="2"/>
        <v>-405.41999999999825</v>
      </c>
      <c r="AO57" s="31"/>
      <c r="AP57" s="31"/>
      <c r="AQ57" s="31">
        <f t="shared" si="3"/>
        <v>-405.41999999999825</v>
      </c>
      <c r="AR57" s="9"/>
      <c r="AV57" s="8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8"/>
      <c r="CD57" s="8"/>
    </row>
    <row r="58" spans="1:82" ht="48" customHeight="1" x14ac:dyDescent="0.25">
      <c r="A58" s="58" t="s">
        <v>325</v>
      </c>
      <c r="B58" s="236" t="s">
        <v>102</v>
      </c>
      <c r="C58" s="237"/>
      <c r="D58" s="237"/>
      <c r="E58" s="238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89"/>
      <c r="AD58" s="31">
        <f>213380+80886</f>
        <v>294266</v>
      </c>
      <c r="AE58" s="31"/>
      <c r="AF58" s="31">
        <f t="shared" si="0"/>
        <v>294266</v>
      </c>
      <c r="AG58" s="207"/>
      <c r="AH58" s="208"/>
      <c r="AI58" s="151">
        <v>292957.45</v>
      </c>
      <c r="AJ58" s="152"/>
      <c r="AK58" s="114"/>
      <c r="AL58" s="99">
        <f t="shared" si="1"/>
        <v>292957.45</v>
      </c>
      <c r="AM58" s="31"/>
      <c r="AN58" s="31">
        <f t="shared" si="2"/>
        <v>-1308.5499999999884</v>
      </c>
      <c r="AO58" s="31"/>
      <c r="AP58" s="31"/>
      <c r="AQ58" s="31">
        <f t="shared" si="3"/>
        <v>-1308.5499999999884</v>
      </c>
      <c r="AR58" s="9"/>
      <c r="AV58" s="8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8"/>
      <c r="CD58" s="8"/>
    </row>
    <row r="59" spans="1:82" ht="64.5" customHeight="1" x14ac:dyDescent="0.25">
      <c r="A59" s="58" t="s">
        <v>326</v>
      </c>
      <c r="B59" s="236" t="s">
        <v>103</v>
      </c>
      <c r="C59" s="237"/>
      <c r="D59" s="237"/>
      <c r="E59" s="238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89"/>
      <c r="AD59" s="31">
        <f>1425470+16518680-5125520</f>
        <v>12818630</v>
      </c>
      <c r="AE59" s="31"/>
      <c r="AF59" s="31">
        <f t="shared" si="0"/>
        <v>12818630</v>
      </c>
      <c r="AG59" s="207"/>
      <c r="AH59" s="208"/>
      <c r="AI59" s="151">
        <v>12294844.890000001</v>
      </c>
      <c r="AJ59" s="152"/>
      <c r="AK59" s="114"/>
      <c r="AL59" s="99">
        <f t="shared" si="1"/>
        <v>12294844.890000001</v>
      </c>
      <c r="AM59" s="31"/>
      <c r="AN59" s="31">
        <f t="shared" si="2"/>
        <v>-523785.1099999994</v>
      </c>
      <c r="AO59" s="31"/>
      <c r="AP59" s="31"/>
      <c r="AQ59" s="31">
        <f t="shared" si="3"/>
        <v>-523785.1099999994</v>
      </c>
      <c r="AR59" s="9"/>
      <c r="AV59" s="8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8"/>
      <c r="CD59" s="8"/>
    </row>
    <row r="60" spans="1:82" ht="52.5" customHeight="1" x14ac:dyDescent="0.25">
      <c r="A60" s="58" t="s">
        <v>327</v>
      </c>
      <c r="B60" s="236" t="s">
        <v>104</v>
      </c>
      <c r="C60" s="237"/>
      <c r="D60" s="237"/>
      <c r="E60" s="238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89"/>
      <c r="AD60" s="31">
        <f>800000+2820845+1446334</f>
        <v>5067179</v>
      </c>
      <c r="AE60" s="31"/>
      <c r="AF60" s="31">
        <f t="shared" si="0"/>
        <v>5067179</v>
      </c>
      <c r="AG60" s="207"/>
      <c r="AH60" s="208"/>
      <c r="AI60" s="151">
        <v>4740400.33</v>
      </c>
      <c r="AJ60" s="152"/>
      <c r="AK60" s="114"/>
      <c r="AL60" s="99">
        <f t="shared" si="1"/>
        <v>4740400.33</v>
      </c>
      <c r="AM60" s="31"/>
      <c r="AN60" s="31">
        <f t="shared" si="2"/>
        <v>-326778.66999999993</v>
      </c>
      <c r="AO60" s="31"/>
      <c r="AP60" s="31"/>
      <c r="AQ60" s="31">
        <f t="shared" si="3"/>
        <v>-326778.66999999993</v>
      </c>
      <c r="AR60" s="9"/>
      <c r="AV60" s="8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8"/>
      <c r="CD60" s="8"/>
    </row>
    <row r="61" spans="1:82" ht="66" customHeight="1" x14ac:dyDescent="0.25">
      <c r="A61" s="58" t="s">
        <v>328</v>
      </c>
      <c r="B61" s="236" t="s">
        <v>105</v>
      </c>
      <c r="C61" s="237"/>
      <c r="D61" s="237"/>
      <c r="E61" s="238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89"/>
      <c r="AD61" s="31">
        <f>800000+263241-25030</f>
        <v>1038211</v>
      </c>
      <c r="AE61" s="31"/>
      <c r="AF61" s="31">
        <f t="shared" si="0"/>
        <v>1038211</v>
      </c>
      <c r="AG61" s="207"/>
      <c r="AH61" s="208"/>
      <c r="AI61" s="151">
        <v>1038210.19</v>
      </c>
      <c r="AJ61" s="152"/>
      <c r="AK61" s="114"/>
      <c r="AL61" s="99">
        <f t="shared" si="1"/>
        <v>1038210.19</v>
      </c>
      <c r="AM61" s="31"/>
      <c r="AN61" s="31">
        <f t="shared" si="2"/>
        <v>-0.81000000005587935</v>
      </c>
      <c r="AO61" s="31"/>
      <c r="AP61" s="31"/>
      <c r="AQ61" s="31">
        <f t="shared" si="3"/>
        <v>-0.81000000005587935</v>
      </c>
      <c r="AR61" s="9"/>
      <c r="AV61" s="8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8"/>
      <c r="CD61" s="8"/>
    </row>
    <row r="62" spans="1:82" ht="33.75" customHeight="1" x14ac:dyDescent="0.25">
      <c r="A62" s="58" t="s">
        <v>329</v>
      </c>
      <c r="B62" s="236" t="s">
        <v>106</v>
      </c>
      <c r="C62" s="237"/>
      <c r="D62" s="237"/>
      <c r="E62" s="238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89"/>
      <c r="AD62" s="31">
        <f>1868300-416310-107990</f>
        <v>1344000</v>
      </c>
      <c r="AE62" s="31"/>
      <c r="AF62" s="31">
        <f t="shared" si="0"/>
        <v>1344000</v>
      </c>
      <c r="AG62" s="207"/>
      <c r="AH62" s="208"/>
      <c r="AI62" s="151">
        <v>1344000</v>
      </c>
      <c r="AJ62" s="152"/>
      <c r="AK62" s="114"/>
      <c r="AL62" s="99">
        <f t="shared" si="1"/>
        <v>1344000</v>
      </c>
      <c r="AM62" s="31"/>
      <c r="AN62" s="31">
        <f t="shared" si="2"/>
        <v>0</v>
      </c>
      <c r="AO62" s="31"/>
      <c r="AP62" s="31"/>
      <c r="AQ62" s="31">
        <f t="shared" si="3"/>
        <v>0</v>
      </c>
      <c r="AR62" s="9"/>
      <c r="AV62" s="8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8"/>
      <c r="CD62" s="8"/>
    </row>
    <row r="63" spans="1:82" ht="51" customHeight="1" x14ac:dyDescent="0.25">
      <c r="A63" s="58" t="s">
        <v>330</v>
      </c>
      <c r="B63" s="242" t="s">
        <v>107</v>
      </c>
      <c r="C63" s="243"/>
      <c r="D63" s="243"/>
      <c r="E63" s="244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89"/>
      <c r="AD63" s="31">
        <f>778960+210000</f>
        <v>988960</v>
      </c>
      <c r="AE63" s="31"/>
      <c r="AF63" s="31">
        <f t="shared" si="0"/>
        <v>988960</v>
      </c>
      <c r="AG63" s="207"/>
      <c r="AH63" s="208"/>
      <c r="AI63" s="151">
        <v>988945.75</v>
      </c>
      <c r="AJ63" s="152"/>
      <c r="AK63" s="114"/>
      <c r="AL63" s="99">
        <f t="shared" si="1"/>
        <v>988945.75</v>
      </c>
      <c r="AM63" s="31"/>
      <c r="AN63" s="31">
        <f t="shared" si="2"/>
        <v>-14.25</v>
      </c>
      <c r="AO63" s="31"/>
      <c r="AP63" s="31"/>
      <c r="AQ63" s="31">
        <f t="shared" si="3"/>
        <v>-14.25</v>
      </c>
      <c r="AR63" s="9"/>
      <c r="AV63" s="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8"/>
      <c r="CD63" s="8"/>
    </row>
    <row r="64" spans="1:82" ht="66" customHeight="1" x14ac:dyDescent="0.25">
      <c r="A64" s="58" t="s">
        <v>331</v>
      </c>
      <c r="B64" s="242" t="s">
        <v>108</v>
      </c>
      <c r="C64" s="243"/>
      <c r="D64" s="243"/>
      <c r="E64" s="244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89"/>
      <c r="AD64" s="31">
        <v>106978</v>
      </c>
      <c r="AE64" s="31"/>
      <c r="AF64" s="31">
        <f t="shared" si="0"/>
        <v>106978</v>
      </c>
      <c r="AG64" s="207"/>
      <c r="AH64" s="208"/>
      <c r="AI64" s="151">
        <v>106977.37</v>
      </c>
      <c r="AJ64" s="152"/>
      <c r="AK64" s="114"/>
      <c r="AL64" s="99">
        <f t="shared" si="1"/>
        <v>106977.37</v>
      </c>
      <c r="AM64" s="31"/>
      <c r="AN64" s="31">
        <f t="shared" si="2"/>
        <v>-0.63000000000465661</v>
      </c>
      <c r="AO64" s="31"/>
      <c r="AP64" s="31"/>
      <c r="AQ64" s="31">
        <f t="shared" si="3"/>
        <v>-0.63000000000465661</v>
      </c>
      <c r="AR64" s="9"/>
      <c r="AV64" s="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8"/>
      <c r="CD64" s="8"/>
    </row>
    <row r="65" spans="1:82" ht="51" customHeight="1" x14ac:dyDescent="0.25">
      <c r="A65" s="58" t="s">
        <v>332</v>
      </c>
      <c r="B65" s="242" t="s">
        <v>109</v>
      </c>
      <c r="C65" s="243"/>
      <c r="D65" s="243"/>
      <c r="E65" s="244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89"/>
      <c r="AD65" s="31">
        <v>553405</v>
      </c>
      <c r="AE65" s="31"/>
      <c r="AF65" s="31">
        <f t="shared" si="0"/>
        <v>553405</v>
      </c>
      <c r="AG65" s="207"/>
      <c r="AH65" s="208"/>
      <c r="AI65" s="151">
        <v>0</v>
      </c>
      <c r="AJ65" s="152"/>
      <c r="AK65" s="114"/>
      <c r="AL65" s="99">
        <f t="shared" si="1"/>
        <v>0</v>
      </c>
      <c r="AM65" s="31"/>
      <c r="AN65" s="31">
        <f t="shared" si="2"/>
        <v>-553405</v>
      </c>
      <c r="AO65" s="31"/>
      <c r="AP65" s="31"/>
      <c r="AQ65" s="31">
        <f t="shared" si="3"/>
        <v>-553405</v>
      </c>
      <c r="AR65" s="9"/>
      <c r="AV65" s="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8"/>
      <c r="CD65" s="8"/>
    </row>
    <row r="66" spans="1:82" ht="49.5" customHeight="1" x14ac:dyDescent="0.25">
      <c r="A66" s="58" t="s">
        <v>333</v>
      </c>
      <c r="B66" s="242" t="s">
        <v>110</v>
      </c>
      <c r="C66" s="243"/>
      <c r="D66" s="243"/>
      <c r="E66" s="244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89"/>
      <c r="AD66" s="31">
        <v>164458</v>
      </c>
      <c r="AE66" s="31"/>
      <c r="AF66" s="31">
        <f t="shared" si="0"/>
        <v>164458</v>
      </c>
      <c r="AG66" s="207"/>
      <c r="AH66" s="208"/>
      <c r="AI66" s="151">
        <v>0</v>
      </c>
      <c r="AJ66" s="152"/>
      <c r="AK66" s="114"/>
      <c r="AL66" s="99">
        <f t="shared" si="1"/>
        <v>0</v>
      </c>
      <c r="AM66" s="31"/>
      <c r="AN66" s="31">
        <f t="shared" si="2"/>
        <v>-164458</v>
      </c>
      <c r="AO66" s="31"/>
      <c r="AP66" s="31"/>
      <c r="AQ66" s="31">
        <f t="shared" si="3"/>
        <v>-164458</v>
      </c>
      <c r="AR66" s="9"/>
      <c r="AV66" s="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8"/>
      <c r="CD66" s="8"/>
    </row>
    <row r="67" spans="1:82" ht="66" customHeight="1" x14ac:dyDescent="0.25">
      <c r="A67" s="58" t="s">
        <v>334</v>
      </c>
      <c r="B67" s="236" t="s">
        <v>111</v>
      </c>
      <c r="C67" s="237"/>
      <c r="D67" s="237"/>
      <c r="E67" s="238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89"/>
      <c r="AD67" s="31">
        <v>2915336</v>
      </c>
      <c r="AE67" s="31"/>
      <c r="AF67" s="31">
        <f t="shared" si="0"/>
        <v>2915336</v>
      </c>
      <c r="AG67" s="207"/>
      <c r="AH67" s="208"/>
      <c r="AI67" s="151">
        <v>2914367.36</v>
      </c>
      <c r="AJ67" s="152"/>
      <c r="AK67" s="114"/>
      <c r="AL67" s="99">
        <f t="shared" si="1"/>
        <v>2914367.36</v>
      </c>
      <c r="AM67" s="31"/>
      <c r="AN67" s="31">
        <f t="shared" si="2"/>
        <v>-968.64000000013039</v>
      </c>
      <c r="AO67" s="31"/>
      <c r="AP67" s="31"/>
      <c r="AQ67" s="31">
        <f t="shared" si="3"/>
        <v>-968.64000000013039</v>
      </c>
      <c r="AR67" s="9"/>
      <c r="AV67" s="8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8"/>
      <c r="CD67" s="8"/>
    </row>
    <row r="68" spans="1:82" ht="51.75" customHeight="1" x14ac:dyDescent="0.25">
      <c r="A68" s="58" t="s">
        <v>335</v>
      </c>
      <c r="B68" s="236" t="s">
        <v>112</v>
      </c>
      <c r="C68" s="237"/>
      <c r="D68" s="237"/>
      <c r="E68" s="238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89"/>
      <c r="AD68" s="31">
        <f>5891152+214573</f>
        <v>6105725</v>
      </c>
      <c r="AE68" s="31"/>
      <c r="AF68" s="31">
        <f t="shared" si="0"/>
        <v>6105725</v>
      </c>
      <c r="AG68" s="207"/>
      <c r="AH68" s="208"/>
      <c r="AI68" s="151">
        <v>6080871.4400000004</v>
      </c>
      <c r="AJ68" s="152"/>
      <c r="AK68" s="114"/>
      <c r="AL68" s="99">
        <f t="shared" si="1"/>
        <v>6080871.4400000004</v>
      </c>
      <c r="AM68" s="31"/>
      <c r="AN68" s="31">
        <f t="shared" si="2"/>
        <v>-24853.55999999959</v>
      </c>
      <c r="AO68" s="31"/>
      <c r="AP68" s="31"/>
      <c r="AQ68" s="31">
        <f t="shared" si="3"/>
        <v>-24853.55999999959</v>
      </c>
      <c r="AR68" s="9"/>
      <c r="AV68" s="8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8"/>
      <c r="CD68" s="8"/>
    </row>
    <row r="69" spans="1:82" ht="64.5" customHeight="1" x14ac:dyDescent="0.25">
      <c r="A69" s="58" t="s">
        <v>336</v>
      </c>
      <c r="B69" s="245" t="s">
        <v>113</v>
      </c>
      <c r="C69" s="246"/>
      <c r="D69" s="246"/>
      <c r="E69" s="247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89"/>
      <c r="AD69" s="31">
        <v>248400</v>
      </c>
      <c r="AE69" s="31"/>
      <c r="AF69" s="31">
        <f t="shared" si="0"/>
        <v>248400</v>
      </c>
      <c r="AG69" s="207"/>
      <c r="AH69" s="208"/>
      <c r="AI69" s="151">
        <v>248356.8</v>
      </c>
      <c r="AJ69" s="152"/>
      <c r="AK69" s="114"/>
      <c r="AL69" s="99">
        <f t="shared" si="1"/>
        <v>248356.8</v>
      </c>
      <c r="AM69" s="31"/>
      <c r="AN69" s="31">
        <f t="shared" si="2"/>
        <v>-43.200000000011642</v>
      </c>
      <c r="AO69" s="31"/>
      <c r="AP69" s="31"/>
      <c r="AQ69" s="31">
        <f t="shared" si="3"/>
        <v>-43.200000000011642</v>
      </c>
      <c r="AR69" s="9"/>
      <c r="AV69" s="8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49"/>
      <c r="BR69" s="149"/>
      <c r="BS69" s="149"/>
      <c r="BT69" s="149"/>
      <c r="BU69" s="149"/>
      <c r="BV69" s="149"/>
      <c r="BW69" s="149"/>
      <c r="BX69" s="149"/>
      <c r="BY69" s="149"/>
      <c r="BZ69" s="149"/>
      <c r="CA69" s="149"/>
      <c r="CB69" s="149"/>
      <c r="CC69" s="8"/>
      <c r="CD69" s="8"/>
    </row>
    <row r="70" spans="1:82" ht="36" customHeight="1" x14ac:dyDescent="0.25">
      <c r="A70" s="58" t="s">
        <v>337</v>
      </c>
      <c r="B70" s="242" t="s">
        <v>114</v>
      </c>
      <c r="C70" s="243"/>
      <c r="D70" s="243"/>
      <c r="E70" s="244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89"/>
      <c r="AD70" s="31">
        <f>428388-12412</f>
        <v>415976</v>
      </c>
      <c r="AE70" s="31"/>
      <c r="AF70" s="31">
        <f t="shared" si="0"/>
        <v>415976</v>
      </c>
      <c r="AG70" s="207"/>
      <c r="AH70" s="208"/>
      <c r="AI70" s="151">
        <v>415975.17</v>
      </c>
      <c r="AJ70" s="152"/>
      <c r="AK70" s="114"/>
      <c r="AL70" s="99">
        <f t="shared" si="1"/>
        <v>415975.17</v>
      </c>
      <c r="AM70" s="31"/>
      <c r="AN70" s="31">
        <f t="shared" si="2"/>
        <v>-0.83000000001629815</v>
      </c>
      <c r="AO70" s="31"/>
      <c r="AP70" s="31"/>
      <c r="AQ70" s="31">
        <f t="shared" si="3"/>
        <v>-0.83000000001629815</v>
      </c>
      <c r="AR70" s="9"/>
      <c r="AV70" s="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  <c r="BY70" s="148"/>
      <c r="BZ70" s="148"/>
      <c r="CA70" s="148"/>
      <c r="CB70" s="148"/>
      <c r="CC70" s="8"/>
      <c r="CD70" s="8"/>
    </row>
    <row r="71" spans="1:82" ht="48" customHeight="1" x14ac:dyDescent="0.25">
      <c r="A71" s="58" t="s">
        <v>338</v>
      </c>
      <c r="B71" s="242" t="s">
        <v>115</v>
      </c>
      <c r="C71" s="243"/>
      <c r="D71" s="243"/>
      <c r="E71" s="244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89"/>
      <c r="AD71" s="31">
        <f>3122498-325803</f>
        <v>2796695</v>
      </c>
      <c r="AE71" s="31"/>
      <c r="AF71" s="31">
        <f t="shared" si="0"/>
        <v>2796695</v>
      </c>
      <c r="AG71" s="207"/>
      <c r="AH71" s="208"/>
      <c r="AI71" s="151">
        <v>2796299.38</v>
      </c>
      <c r="AJ71" s="152"/>
      <c r="AK71" s="114"/>
      <c r="AL71" s="99">
        <f t="shared" si="1"/>
        <v>2796299.38</v>
      </c>
      <c r="AM71" s="31"/>
      <c r="AN71" s="31">
        <f t="shared" si="2"/>
        <v>-395.62000000011176</v>
      </c>
      <c r="AO71" s="31"/>
      <c r="AP71" s="31"/>
      <c r="AQ71" s="31">
        <f t="shared" si="3"/>
        <v>-395.62000000011176</v>
      </c>
      <c r="AR71" s="9"/>
      <c r="AV71" s="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8"/>
      <c r="CD71" s="8"/>
    </row>
    <row r="72" spans="1:82" ht="33.75" customHeight="1" x14ac:dyDescent="0.25">
      <c r="A72" s="58" t="s">
        <v>339</v>
      </c>
      <c r="B72" s="182" t="s">
        <v>116</v>
      </c>
      <c r="C72" s="183"/>
      <c r="D72" s="183"/>
      <c r="E72" s="184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89"/>
      <c r="AD72" s="31">
        <f>738847-43844</f>
        <v>695003</v>
      </c>
      <c r="AE72" s="31"/>
      <c r="AF72" s="31">
        <f t="shared" si="0"/>
        <v>695003</v>
      </c>
      <c r="AG72" s="207"/>
      <c r="AH72" s="208"/>
      <c r="AI72" s="151">
        <v>0</v>
      </c>
      <c r="AJ72" s="152"/>
      <c r="AK72" s="114"/>
      <c r="AL72" s="99">
        <f t="shared" si="1"/>
        <v>0</v>
      </c>
      <c r="AM72" s="31"/>
      <c r="AN72" s="31">
        <f t="shared" si="2"/>
        <v>-695003</v>
      </c>
      <c r="AO72" s="31"/>
      <c r="AP72" s="31"/>
      <c r="AQ72" s="31">
        <f t="shared" si="3"/>
        <v>-695003</v>
      </c>
      <c r="AR72" s="9"/>
      <c r="AV72" s="8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  <c r="CC72" s="8"/>
      <c r="CD72" s="8"/>
    </row>
    <row r="73" spans="1:82" ht="37.5" customHeight="1" x14ac:dyDescent="0.25">
      <c r="A73" s="58" t="s">
        <v>340</v>
      </c>
      <c r="B73" s="182" t="s">
        <v>117</v>
      </c>
      <c r="C73" s="183"/>
      <c r="D73" s="183"/>
      <c r="E73" s="184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89"/>
      <c r="AD73" s="31">
        <v>993698</v>
      </c>
      <c r="AE73" s="31"/>
      <c r="AF73" s="31">
        <f t="shared" si="0"/>
        <v>993698</v>
      </c>
      <c r="AG73" s="207"/>
      <c r="AH73" s="208"/>
      <c r="AI73" s="151">
        <v>940468.99</v>
      </c>
      <c r="AJ73" s="152"/>
      <c r="AK73" s="114"/>
      <c r="AL73" s="99">
        <f t="shared" si="1"/>
        <v>940468.99</v>
      </c>
      <c r="AM73" s="31"/>
      <c r="AN73" s="31">
        <f t="shared" si="2"/>
        <v>-53229.010000000009</v>
      </c>
      <c r="AO73" s="31"/>
      <c r="AP73" s="31"/>
      <c r="AQ73" s="31">
        <f t="shared" si="3"/>
        <v>-53229.010000000009</v>
      </c>
      <c r="AR73" s="9"/>
      <c r="AV73" s="8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8"/>
      <c r="CD73" s="8"/>
    </row>
    <row r="74" spans="1:82" ht="37.5" customHeight="1" x14ac:dyDescent="0.25">
      <c r="A74" s="58" t="s">
        <v>341</v>
      </c>
      <c r="B74" s="182" t="s">
        <v>118</v>
      </c>
      <c r="C74" s="183"/>
      <c r="D74" s="183"/>
      <c r="E74" s="184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89"/>
      <c r="AD74" s="31">
        <v>993022</v>
      </c>
      <c r="AE74" s="31"/>
      <c r="AF74" s="31">
        <f t="shared" si="0"/>
        <v>993022</v>
      </c>
      <c r="AG74" s="207"/>
      <c r="AH74" s="208"/>
      <c r="AI74" s="151">
        <v>986161.92</v>
      </c>
      <c r="AJ74" s="152"/>
      <c r="AK74" s="114"/>
      <c r="AL74" s="99">
        <f t="shared" si="1"/>
        <v>986161.92</v>
      </c>
      <c r="AM74" s="31"/>
      <c r="AN74" s="31">
        <f t="shared" si="2"/>
        <v>-6860.0799999999581</v>
      </c>
      <c r="AO74" s="31"/>
      <c r="AP74" s="31"/>
      <c r="AQ74" s="31">
        <f t="shared" si="3"/>
        <v>-6860.0799999999581</v>
      </c>
      <c r="AR74" s="9"/>
      <c r="AV74" s="8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8"/>
      <c r="CD74" s="8"/>
    </row>
    <row r="75" spans="1:82" ht="31.5" customHeight="1" x14ac:dyDescent="0.25">
      <c r="A75" s="58" t="s">
        <v>342</v>
      </c>
      <c r="B75" s="242" t="s">
        <v>119</v>
      </c>
      <c r="C75" s="243"/>
      <c r="D75" s="243"/>
      <c r="E75" s="244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89"/>
      <c r="AD75" s="31">
        <v>499889</v>
      </c>
      <c r="AE75" s="31"/>
      <c r="AF75" s="31">
        <f t="shared" si="0"/>
        <v>499889</v>
      </c>
      <c r="AG75" s="207"/>
      <c r="AH75" s="208"/>
      <c r="AI75" s="151">
        <v>0</v>
      </c>
      <c r="AJ75" s="152"/>
      <c r="AK75" s="114"/>
      <c r="AL75" s="99">
        <f t="shared" si="1"/>
        <v>0</v>
      </c>
      <c r="AM75" s="31"/>
      <c r="AN75" s="31">
        <f t="shared" si="2"/>
        <v>-499889</v>
      </c>
      <c r="AO75" s="31"/>
      <c r="AP75" s="31"/>
      <c r="AQ75" s="31">
        <f t="shared" si="3"/>
        <v>-499889</v>
      </c>
      <c r="AR75" s="9"/>
      <c r="AV75" s="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8"/>
      <c r="CD75" s="8"/>
    </row>
    <row r="76" spans="1:82" ht="48.75" customHeight="1" x14ac:dyDescent="0.25">
      <c r="A76" s="58" t="s">
        <v>343</v>
      </c>
      <c r="B76" s="242" t="s">
        <v>120</v>
      </c>
      <c r="C76" s="243"/>
      <c r="D76" s="243"/>
      <c r="E76" s="244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89"/>
      <c r="AD76" s="31">
        <f>923291-17624</f>
        <v>905667</v>
      </c>
      <c r="AE76" s="31"/>
      <c r="AF76" s="31">
        <f t="shared" si="0"/>
        <v>905667</v>
      </c>
      <c r="AG76" s="207"/>
      <c r="AH76" s="208"/>
      <c r="AI76" s="151">
        <v>905536.57</v>
      </c>
      <c r="AJ76" s="152"/>
      <c r="AK76" s="114"/>
      <c r="AL76" s="99">
        <f t="shared" si="1"/>
        <v>905536.57</v>
      </c>
      <c r="AM76" s="31"/>
      <c r="AN76" s="31">
        <f t="shared" si="2"/>
        <v>-130.43000000005122</v>
      </c>
      <c r="AO76" s="31"/>
      <c r="AP76" s="31"/>
      <c r="AQ76" s="31">
        <f t="shared" si="3"/>
        <v>-130.43000000005122</v>
      </c>
      <c r="AR76" s="9"/>
      <c r="AV76" s="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8"/>
      <c r="CD76" s="8"/>
    </row>
    <row r="77" spans="1:82" ht="50.25" customHeight="1" x14ac:dyDescent="0.25">
      <c r="A77" s="58" t="s">
        <v>344</v>
      </c>
      <c r="B77" s="242" t="s">
        <v>121</v>
      </c>
      <c r="C77" s="243"/>
      <c r="D77" s="243"/>
      <c r="E77" s="244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89"/>
      <c r="AD77" s="31">
        <v>496570</v>
      </c>
      <c r="AE77" s="31"/>
      <c r="AF77" s="31">
        <f t="shared" si="0"/>
        <v>496570</v>
      </c>
      <c r="AG77" s="207"/>
      <c r="AH77" s="208"/>
      <c r="AI77" s="151">
        <v>393374.3</v>
      </c>
      <c r="AJ77" s="152"/>
      <c r="AK77" s="114"/>
      <c r="AL77" s="99">
        <f t="shared" si="1"/>
        <v>393374.3</v>
      </c>
      <c r="AM77" s="31"/>
      <c r="AN77" s="31">
        <f t="shared" si="2"/>
        <v>-103195.70000000001</v>
      </c>
      <c r="AO77" s="31"/>
      <c r="AP77" s="31"/>
      <c r="AQ77" s="31">
        <f t="shared" si="3"/>
        <v>-103195.70000000001</v>
      </c>
      <c r="AR77" s="9"/>
      <c r="AV77" s="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  <c r="BY77" s="148"/>
      <c r="BZ77" s="148"/>
      <c r="CA77" s="148"/>
      <c r="CB77" s="148"/>
      <c r="CC77" s="8"/>
      <c r="CD77" s="8"/>
    </row>
    <row r="78" spans="1:82" ht="33" customHeight="1" x14ac:dyDescent="0.25">
      <c r="A78" s="25"/>
      <c r="B78" s="239" t="s">
        <v>122</v>
      </c>
      <c r="C78" s="240"/>
      <c r="D78" s="240"/>
      <c r="E78" s="24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89"/>
      <c r="AD78" s="105">
        <f>SUM(AD79:AD90)</f>
        <v>33301347</v>
      </c>
      <c r="AE78" s="105"/>
      <c r="AF78" s="105">
        <f t="shared" si="0"/>
        <v>33301347</v>
      </c>
      <c r="AG78" s="207"/>
      <c r="AH78" s="208"/>
      <c r="AI78" s="159">
        <f>SUM(AI79:AJ90)</f>
        <v>29289590.600000001</v>
      </c>
      <c r="AJ78" s="160"/>
      <c r="AK78" s="117"/>
      <c r="AL78" s="116">
        <f t="shared" si="1"/>
        <v>29289590.600000001</v>
      </c>
      <c r="AM78" s="105"/>
      <c r="AN78" s="105">
        <f>AI78-AF78</f>
        <v>-4011756.3999999985</v>
      </c>
      <c r="AO78" s="105"/>
      <c r="AP78" s="105"/>
      <c r="AQ78" s="105">
        <f t="shared" si="3"/>
        <v>-4011756.3999999985</v>
      </c>
      <c r="AR78" s="9"/>
      <c r="AV78" s="8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8"/>
      <c r="CD78" s="8"/>
    </row>
    <row r="79" spans="1:82" ht="18" customHeight="1" x14ac:dyDescent="0.25">
      <c r="A79" s="58" t="s">
        <v>345</v>
      </c>
      <c r="B79" s="236" t="s">
        <v>123</v>
      </c>
      <c r="C79" s="237"/>
      <c r="D79" s="237"/>
      <c r="E79" s="238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89"/>
      <c r="AD79" s="31">
        <v>6742090</v>
      </c>
      <c r="AE79" s="31"/>
      <c r="AF79" s="31">
        <f t="shared" si="0"/>
        <v>6742090</v>
      </c>
      <c r="AG79" s="207"/>
      <c r="AH79" s="208"/>
      <c r="AI79" s="151">
        <v>3065040</v>
      </c>
      <c r="AJ79" s="152"/>
      <c r="AK79" s="114"/>
      <c r="AL79" s="99">
        <f t="shared" si="1"/>
        <v>3065040</v>
      </c>
      <c r="AM79" s="31"/>
      <c r="AN79" s="31">
        <f t="shared" si="2"/>
        <v>-3677050</v>
      </c>
      <c r="AO79" s="31"/>
      <c r="AP79" s="31"/>
      <c r="AQ79" s="31">
        <f t="shared" si="3"/>
        <v>-3677050</v>
      </c>
      <c r="AR79" s="9"/>
      <c r="AV79" s="8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8"/>
      <c r="CD79" s="8"/>
    </row>
    <row r="80" spans="1:82" ht="18" customHeight="1" x14ac:dyDescent="0.25">
      <c r="A80" s="58" t="s">
        <v>346</v>
      </c>
      <c r="B80" s="236" t="s">
        <v>124</v>
      </c>
      <c r="C80" s="237"/>
      <c r="D80" s="237"/>
      <c r="E80" s="238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89"/>
      <c r="AD80" s="31">
        <f>1422500-42500</f>
        <v>1380000</v>
      </c>
      <c r="AE80" s="31"/>
      <c r="AF80" s="31">
        <f t="shared" si="0"/>
        <v>1380000</v>
      </c>
      <c r="AG80" s="207"/>
      <c r="AH80" s="208"/>
      <c r="AI80" s="151">
        <v>1380000</v>
      </c>
      <c r="AJ80" s="152"/>
      <c r="AK80" s="114"/>
      <c r="AL80" s="99">
        <f t="shared" si="1"/>
        <v>1380000</v>
      </c>
      <c r="AM80" s="31"/>
      <c r="AN80" s="31">
        <f t="shared" si="2"/>
        <v>0</v>
      </c>
      <c r="AO80" s="31"/>
      <c r="AP80" s="31"/>
      <c r="AQ80" s="31">
        <f t="shared" si="3"/>
        <v>0</v>
      </c>
      <c r="AR80" s="9"/>
      <c r="AV80" s="8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8"/>
      <c r="CD80" s="8"/>
    </row>
    <row r="81" spans="1:82" ht="18" customHeight="1" x14ac:dyDescent="0.25">
      <c r="A81" s="58" t="s">
        <v>347</v>
      </c>
      <c r="B81" s="236" t="s">
        <v>125</v>
      </c>
      <c r="C81" s="237"/>
      <c r="D81" s="237"/>
      <c r="E81" s="238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89"/>
      <c r="AD81" s="31">
        <f>298700-22700</f>
        <v>276000</v>
      </c>
      <c r="AE81" s="31"/>
      <c r="AF81" s="31">
        <f t="shared" si="0"/>
        <v>276000</v>
      </c>
      <c r="AG81" s="207"/>
      <c r="AH81" s="208"/>
      <c r="AI81" s="151">
        <v>276000</v>
      </c>
      <c r="AJ81" s="152"/>
      <c r="AK81" s="114"/>
      <c r="AL81" s="99">
        <f t="shared" si="1"/>
        <v>276000</v>
      </c>
      <c r="AM81" s="31"/>
      <c r="AN81" s="31">
        <f t="shared" si="2"/>
        <v>0</v>
      </c>
      <c r="AO81" s="31"/>
      <c r="AP81" s="31"/>
      <c r="AQ81" s="31">
        <f t="shared" si="3"/>
        <v>0</v>
      </c>
      <c r="AR81" s="9"/>
      <c r="AV81" s="8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8"/>
      <c r="CD81" s="8"/>
    </row>
    <row r="82" spans="1:82" ht="18" customHeight="1" x14ac:dyDescent="0.25">
      <c r="A82" s="58" t="s">
        <v>348</v>
      </c>
      <c r="B82" s="236" t="s">
        <v>126</v>
      </c>
      <c r="C82" s="237"/>
      <c r="D82" s="237"/>
      <c r="E82" s="238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89"/>
      <c r="AD82" s="122">
        <f>5880000-1025810+3567415</f>
        <v>8421605</v>
      </c>
      <c r="AE82" s="31"/>
      <c r="AF82" s="31">
        <f t="shared" si="0"/>
        <v>8421605</v>
      </c>
      <c r="AG82" s="207"/>
      <c r="AH82" s="208"/>
      <c r="AI82" s="151">
        <f>4854190+3563766</f>
        <v>8417956</v>
      </c>
      <c r="AJ82" s="152"/>
      <c r="AK82" s="114"/>
      <c r="AL82" s="99">
        <f t="shared" si="1"/>
        <v>8417956</v>
      </c>
      <c r="AM82" s="31"/>
      <c r="AN82" s="31">
        <f t="shared" si="2"/>
        <v>-3649</v>
      </c>
      <c r="AO82" s="31"/>
      <c r="AP82" s="31"/>
      <c r="AQ82" s="31">
        <f t="shared" si="3"/>
        <v>-3649</v>
      </c>
      <c r="AR82" s="9"/>
      <c r="AV82" s="8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8"/>
      <c r="CD82" s="8"/>
    </row>
    <row r="83" spans="1:82" ht="33.75" customHeight="1" x14ac:dyDescent="0.25">
      <c r="A83" s="58" t="s">
        <v>349</v>
      </c>
      <c r="B83" s="236" t="s">
        <v>127</v>
      </c>
      <c r="C83" s="237"/>
      <c r="D83" s="237"/>
      <c r="E83" s="238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89"/>
      <c r="AD83" s="31">
        <f>1845000-95000</f>
        <v>1750000</v>
      </c>
      <c r="AE83" s="31"/>
      <c r="AF83" s="31">
        <f t="shared" si="0"/>
        <v>1750000</v>
      </c>
      <c r="AG83" s="207"/>
      <c r="AH83" s="208"/>
      <c r="AI83" s="151">
        <v>1749999</v>
      </c>
      <c r="AJ83" s="152"/>
      <c r="AK83" s="114"/>
      <c r="AL83" s="99">
        <f t="shared" si="1"/>
        <v>1749999</v>
      </c>
      <c r="AM83" s="31"/>
      <c r="AN83" s="31">
        <f t="shared" si="2"/>
        <v>-1</v>
      </c>
      <c r="AO83" s="31"/>
      <c r="AP83" s="31"/>
      <c r="AQ83" s="31">
        <f t="shared" si="3"/>
        <v>-1</v>
      </c>
      <c r="AR83" s="9"/>
      <c r="AV83" s="8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8"/>
      <c r="CD83" s="8"/>
    </row>
    <row r="84" spans="1:82" ht="18" customHeight="1" x14ac:dyDescent="0.25">
      <c r="A84" s="58" t="s">
        <v>350</v>
      </c>
      <c r="B84" s="242" t="s">
        <v>128</v>
      </c>
      <c r="C84" s="243"/>
      <c r="D84" s="243"/>
      <c r="E84" s="244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89"/>
      <c r="AD84" s="31">
        <v>258000</v>
      </c>
      <c r="AE84" s="31"/>
      <c r="AF84" s="31">
        <f t="shared" si="0"/>
        <v>258000</v>
      </c>
      <c r="AG84" s="207"/>
      <c r="AH84" s="208"/>
      <c r="AI84" s="151">
        <v>0</v>
      </c>
      <c r="AJ84" s="152"/>
      <c r="AK84" s="114"/>
      <c r="AL84" s="99">
        <f t="shared" si="1"/>
        <v>0</v>
      </c>
      <c r="AM84" s="31"/>
      <c r="AN84" s="31">
        <f t="shared" si="2"/>
        <v>-258000</v>
      </c>
      <c r="AO84" s="31"/>
      <c r="AP84" s="31"/>
      <c r="AQ84" s="31">
        <f t="shared" si="3"/>
        <v>-258000</v>
      </c>
      <c r="AR84" s="9"/>
      <c r="AV84" s="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8"/>
      <c r="CD84" s="8"/>
    </row>
    <row r="85" spans="1:82" ht="18" customHeight="1" x14ac:dyDescent="0.25">
      <c r="A85" s="58" t="s">
        <v>351</v>
      </c>
      <c r="B85" s="182" t="s">
        <v>129</v>
      </c>
      <c r="C85" s="183"/>
      <c r="D85" s="183"/>
      <c r="E85" s="184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89"/>
      <c r="AD85" s="31">
        <f>9114454</f>
        <v>9114454</v>
      </c>
      <c r="AE85" s="31"/>
      <c r="AF85" s="31">
        <f t="shared" si="0"/>
        <v>9114454</v>
      </c>
      <c r="AG85" s="207"/>
      <c r="AH85" s="208"/>
      <c r="AI85" s="151">
        <v>9106290</v>
      </c>
      <c r="AJ85" s="152"/>
      <c r="AK85" s="114"/>
      <c r="AL85" s="99">
        <f t="shared" si="1"/>
        <v>9106290</v>
      </c>
      <c r="AM85" s="31"/>
      <c r="AN85" s="31">
        <f t="shared" si="2"/>
        <v>-8164</v>
      </c>
      <c r="AO85" s="31"/>
      <c r="AP85" s="31"/>
      <c r="AQ85" s="31">
        <f t="shared" si="3"/>
        <v>-8164</v>
      </c>
      <c r="AR85" s="9"/>
      <c r="AV85" s="8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  <c r="CC85" s="8"/>
      <c r="CD85" s="8"/>
    </row>
    <row r="86" spans="1:82" ht="18" customHeight="1" x14ac:dyDescent="0.25">
      <c r="A86" s="58" t="s">
        <v>352</v>
      </c>
      <c r="B86" s="242" t="s">
        <v>130</v>
      </c>
      <c r="C86" s="243"/>
      <c r="D86" s="243"/>
      <c r="E86" s="244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89"/>
      <c r="AD86" s="31">
        <f>769554-55914</f>
        <v>713640</v>
      </c>
      <c r="AE86" s="31"/>
      <c r="AF86" s="31">
        <f t="shared" si="0"/>
        <v>713640</v>
      </c>
      <c r="AG86" s="207"/>
      <c r="AH86" s="208"/>
      <c r="AI86" s="151">
        <v>713640</v>
      </c>
      <c r="AJ86" s="152"/>
      <c r="AK86" s="114"/>
      <c r="AL86" s="99">
        <f t="shared" si="1"/>
        <v>713640</v>
      </c>
      <c r="AM86" s="31"/>
      <c r="AN86" s="31">
        <f t="shared" si="2"/>
        <v>0</v>
      </c>
      <c r="AO86" s="31"/>
      <c r="AP86" s="31"/>
      <c r="AQ86" s="31">
        <f t="shared" si="3"/>
        <v>0</v>
      </c>
      <c r="AR86" s="9"/>
      <c r="AV86" s="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8"/>
      <c r="CC86" s="8"/>
      <c r="CD86" s="8"/>
    </row>
    <row r="87" spans="1:82" ht="18" customHeight="1" x14ac:dyDescent="0.25">
      <c r="A87" s="58" t="s">
        <v>353</v>
      </c>
      <c r="B87" s="242" t="s">
        <v>131</v>
      </c>
      <c r="C87" s="243"/>
      <c r="D87" s="243"/>
      <c r="E87" s="244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89"/>
      <c r="AD87" s="31">
        <v>1624234</v>
      </c>
      <c r="AE87" s="31"/>
      <c r="AF87" s="31">
        <f t="shared" si="0"/>
        <v>1624234</v>
      </c>
      <c r="AG87" s="207"/>
      <c r="AH87" s="208"/>
      <c r="AI87" s="151">
        <v>1576236</v>
      </c>
      <c r="AJ87" s="152"/>
      <c r="AK87" s="114"/>
      <c r="AL87" s="99">
        <f t="shared" si="1"/>
        <v>1576236</v>
      </c>
      <c r="AM87" s="31"/>
      <c r="AN87" s="31">
        <f t="shared" si="2"/>
        <v>-47998</v>
      </c>
      <c r="AO87" s="31"/>
      <c r="AP87" s="31"/>
      <c r="AQ87" s="31">
        <f t="shared" si="3"/>
        <v>-47998</v>
      </c>
      <c r="AR87" s="9"/>
      <c r="AV87" s="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  <c r="BX87" s="148"/>
      <c r="BY87" s="148"/>
      <c r="BZ87" s="148"/>
      <c r="CA87" s="148"/>
      <c r="CB87" s="148"/>
      <c r="CC87" s="8"/>
      <c r="CD87" s="8"/>
    </row>
    <row r="88" spans="1:82" ht="18" customHeight="1" x14ac:dyDescent="0.25">
      <c r="A88" s="58" t="s">
        <v>354</v>
      </c>
      <c r="B88" s="236" t="s">
        <v>132</v>
      </c>
      <c r="C88" s="237"/>
      <c r="D88" s="237"/>
      <c r="E88" s="238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89"/>
      <c r="AD88" s="31">
        <f>1165972</f>
        <v>1165972</v>
      </c>
      <c r="AE88" s="31"/>
      <c r="AF88" s="31">
        <f t="shared" si="0"/>
        <v>1165972</v>
      </c>
      <c r="AG88" s="207"/>
      <c r="AH88" s="208"/>
      <c r="AI88" s="151">
        <v>1165500</v>
      </c>
      <c r="AJ88" s="152"/>
      <c r="AK88" s="114"/>
      <c r="AL88" s="99">
        <f t="shared" si="1"/>
        <v>1165500</v>
      </c>
      <c r="AM88" s="31"/>
      <c r="AN88" s="31">
        <f t="shared" si="2"/>
        <v>-472</v>
      </c>
      <c r="AO88" s="31"/>
      <c r="AP88" s="31"/>
      <c r="AQ88" s="31">
        <f t="shared" si="3"/>
        <v>-472</v>
      </c>
      <c r="AR88" s="9"/>
      <c r="AV88" s="8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8"/>
      <c r="CD88" s="8"/>
    </row>
    <row r="89" spans="1:82" ht="18" customHeight="1" x14ac:dyDescent="0.25">
      <c r="A89" s="58" t="s">
        <v>355</v>
      </c>
      <c r="B89" s="236" t="s">
        <v>133</v>
      </c>
      <c r="C89" s="237"/>
      <c r="D89" s="237"/>
      <c r="E89" s="238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89"/>
      <c r="AD89" s="31">
        <v>1305352</v>
      </c>
      <c r="AE89" s="31"/>
      <c r="AF89" s="31">
        <f t="shared" si="0"/>
        <v>1305352</v>
      </c>
      <c r="AG89" s="207"/>
      <c r="AH89" s="208"/>
      <c r="AI89" s="151">
        <v>1305351.6000000001</v>
      </c>
      <c r="AJ89" s="152"/>
      <c r="AK89" s="114"/>
      <c r="AL89" s="99">
        <f t="shared" si="1"/>
        <v>1305351.6000000001</v>
      </c>
      <c r="AM89" s="31"/>
      <c r="AN89" s="31">
        <f t="shared" si="2"/>
        <v>-0.39999999990686774</v>
      </c>
      <c r="AO89" s="31"/>
      <c r="AP89" s="31"/>
      <c r="AQ89" s="31">
        <f t="shared" si="3"/>
        <v>-0.39999999990686774</v>
      </c>
      <c r="AR89" s="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8"/>
      <c r="CD89" s="8"/>
    </row>
    <row r="90" spans="1:82" ht="18" customHeight="1" x14ac:dyDescent="0.25">
      <c r="A90" s="58" t="s">
        <v>356</v>
      </c>
      <c r="B90" s="236" t="s">
        <v>134</v>
      </c>
      <c r="C90" s="237"/>
      <c r="D90" s="237"/>
      <c r="E90" s="238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89"/>
      <c r="AD90" s="31">
        <v>550000</v>
      </c>
      <c r="AE90" s="31"/>
      <c r="AF90" s="31">
        <f t="shared" si="0"/>
        <v>550000</v>
      </c>
      <c r="AG90" s="207"/>
      <c r="AH90" s="208"/>
      <c r="AI90" s="151">
        <v>533578</v>
      </c>
      <c r="AJ90" s="152"/>
      <c r="AK90" s="114"/>
      <c r="AL90" s="99">
        <f t="shared" si="1"/>
        <v>533578</v>
      </c>
      <c r="AM90" s="31"/>
      <c r="AN90" s="31">
        <f t="shared" si="2"/>
        <v>-16422</v>
      </c>
      <c r="AO90" s="31"/>
      <c r="AP90" s="31"/>
      <c r="AQ90" s="31">
        <f t="shared" si="3"/>
        <v>-16422</v>
      </c>
      <c r="AR90" s="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8"/>
      <c r="CD90" s="8"/>
    </row>
    <row r="91" spans="1:82" ht="18.75" customHeight="1" x14ac:dyDescent="0.25">
      <c r="A91" s="25"/>
      <c r="B91" s="239" t="s">
        <v>135</v>
      </c>
      <c r="C91" s="240"/>
      <c r="D91" s="240"/>
      <c r="E91" s="24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89"/>
      <c r="AD91" s="105">
        <f>SUM(AD92:AD96)</f>
        <v>30532200</v>
      </c>
      <c r="AE91" s="105"/>
      <c r="AF91" s="105">
        <f t="shared" si="0"/>
        <v>30532200</v>
      </c>
      <c r="AG91" s="207"/>
      <c r="AH91" s="208"/>
      <c r="AI91" s="159">
        <f>SUM(AI92:AI96)</f>
        <v>30532200</v>
      </c>
      <c r="AJ91" s="160">
        <f>SUM(AJ92:AJ96)</f>
        <v>0</v>
      </c>
      <c r="AK91" s="117"/>
      <c r="AL91" s="116">
        <f t="shared" si="1"/>
        <v>30532200</v>
      </c>
      <c r="AM91" s="31"/>
      <c r="AN91" s="105">
        <f t="shared" si="2"/>
        <v>0</v>
      </c>
      <c r="AO91" s="105"/>
      <c r="AP91" s="105"/>
      <c r="AQ91" s="105">
        <f t="shared" si="3"/>
        <v>0</v>
      </c>
      <c r="AR91" s="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8"/>
      <c r="CD91" s="8"/>
    </row>
    <row r="92" spans="1:82" ht="18" customHeight="1" x14ac:dyDescent="0.25">
      <c r="A92" s="58" t="s">
        <v>357</v>
      </c>
      <c r="B92" s="236" t="s">
        <v>136</v>
      </c>
      <c r="C92" s="237"/>
      <c r="D92" s="237"/>
      <c r="E92" s="238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89"/>
      <c r="AD92" s="31">
        <f>5100000-228000</f>
        <v>4872000</v>
      </c>
      <c r="AE92" s="31"/>
      <c r="AF92" s="31">
        <f t="shared" si="0"/>
        <v>4872000</v>
      </c>
      <c r="AG92" s="207"/>
      <c r="AH92" s="208"/>
      <c r="AI92" s="151">
        <v>4872000</v>
      </c>
      <c r="AJ92" s="152"/>
      <c r="AK92" s="114"/>
      <c r="AL92" s="99">
        <f t="shared" si="1"/>
        <v>4872000</v>
      </c>
      <c r="AM92" s="31"/>
      <c r="AN92" s="31">
        <f t="shared" si="2"/>
        <v>0</v>
      </c>
      <c r="AO92" s="31"/>
      <c r="AP92" s="31"/>
      <c r="AQ92" s="31">
        <f t="shared" si="3"/>
        <v>0</v>
      </c>
      <c r="AR92" s="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8"/>
      <c r="CD92" s="8"/>
    </row>
    <row r="93" spans="1:82" ht="18.75" customHeight="1" x14ac:dyDescent="0.25">
      <c r="A93" s="58" t="s">
        <v>358</v>
      </c>
      <c r="B93" s="236" t="s">
        <v>137</v>
      </c>
      <c r="C93" s="237"/>
      <c r="D93" s="237"/>
      <c r="E93" s="238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89"/>
      <c r="AD93" s="31">
        <f>12300000-1999800</f>
        <v>10300200</v>
      </c>
      <c r="AE93" s="31"/>
      <c r="AF93" s="31">
        <f t="shared" si="0"/>
        <v>10300200</v>
      </c>
      <c r="AG93" s="207"/>
      <c r="AH93" s="208"/>
      <c r="AI93" s="151">
        <v>10300200</v>
      </c>
      <c r="AJ93" s="152"/>
      <c r="AK93" s="114"/>
      <c r="AL93" s="99">
        <f t="shared" si="1"/>
        <v>10300200</v>
      </c>
      <c r="AM93" s="31"/>
      <c r="AN93" s="31">
        <f t="shared" si="2"/>
        <v>0</v>
      </c>
      <c r="AO93" s="31"/>
      <c r="AP93" s="31"/>
      <c r="AQ93" s="31">
        <f t="shared" si="3"/>
        <v>0</v>
      </c>
      <c r="AR93" s="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8"/>
      <c r="CD93" s="8"/>
    </row>
    <row r="94" spans="1:82" ht="33" customHeight="1" x14ac:dyDescent="0.25">
      <c r="A94" s="58" t="s">
        <v>359</v>
      </c>
      <c r="B94" s="236" t="s">
        <v>138</v>
      </c>
      <c r="C94" s="237"/>
      <c r="D94" s="237"/>
      <c r="E94" s="238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89"/>
      <c r="AD94" s="31">
        <f>10455000-285000</f>
        <v>10170000</v>
      </c>
      <c r="AE94" s="31"/>
      <c r="AF94" s="31">
        <f t="shared" si="0"/>
        <v>10170000</v>
      </c>
      <c r="AG94" s="207"/>
      <c r="AH94" s="208"/>
      <c r="AI94" s="151">
        <v>10170000</v>
      </c>
      <c r="AJ94" s="152"/>
      <c r="AK94" s="114"/>
      <c r="AL94" s="99">
        <f t="shared" si="1"/>
        <v>10170000</v>
      </c>
      <c r="AM94" s="31"/>
      <c r="AN94" s="31">
        <f t="shared" si="2"/>
        <v>0</v>
      </c>
      <c r="AO94" s="31"/>
      <c r="AP94" s="31"/>
      <c r="AQ94" s="31">
        <f t="shared" si="3"/>
        <v>0</v>
      </c>
      <c r="AR94" s="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8"/>
      <c r="CD94" s="8"/>
    </row>
    <row r="95" spans="1:82" ht="33" customHeight="1" x14ac:dyDescent="0.25">
      <c r="A95" s="58" t="s">
        <v>360</v>
      </c>
      <c r="B95" s="236" t="s">
        <v>139</v>
      </c>
      <c r="C95" s="237"/>
      <c r="D95" s="237"/>
      <c r="E95" s="238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89"/>
      <c r="AD95" s="31">
        <f>4480000-1180000-560000</f>
        <v>2740000</v>
      </c>
      <c r="AE95" s="31"/>
      <c r="AF95" s="31">
        <f t="shared" si="0"/>
        <v>2740000</v>
      </c>
      <c r="AG95" s="207"/>
      <c r="AH95" s="208"/>
      <c r="AI95" s="151">
        <v>2740000</v>
      </c>
      <c r="AJ95" s="152"/>
      <c r="AK95" s="114"/>
      <c r="AL95" s="99">
        <f t="shared" si="1"/>
        <v>2740000</v>
      </c>
      <c r="AM95" s="31"/>
      <c r="AN95" s="31">
        <f t="shared" si="2"/>
        <v>0</v>
      </c>
      <c r="AO95" s="31"/>
      <c r="AP95" s="31"/>
      <c r="AQ95" s="31">
        <f t="shared" si="3"/>
        <v>0</v>
      </c>
      <c r="AR95" s="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8"/>
      <c r="CD95" s="8"/>
    </row>
    <row r="96" spans="1:82" ht="18" customHeight="1" x14ac:dyDescent="0.25">
      <c r="A96" s="58" t="s">
        <v>361</v>
      </c>
      <c r="B96" s="236" t="s">
        <v>140</v>
      </c>
      <c r="C96" s="237"/>
      <c r="D96" s="237"/>
      <c r="E96" s="238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89"/>
      <c r="AD96" s="31">
        <f>2900000-450000</f>
        <v>2450000</v>
      </c>
      <c r="AE96" s="31"/>
      <c r="AF96" s="31">
        <f t="shared" si="0"/>
        <v>2450000</v>
      </c>
      <c r="AG96" s="207"/>
      <c r="AH96" s="208"/>
      <c r="AI96" s="151">
        <v>2450000</v>
      </c>
      <c r="AJ96" s="152"/>
      <c r="AK96" s="114"/>
      <c r="AL96" s="99">
        <f t="shared" si="1"/>
        <v>2450000</v>
      </c>
      <c r="AM96" s="31"/>
      <c r="AN96" s="31">
        <f t="shared" si="2"/>
        <v>0</v>
      </c>
      <c r="AO96" s="31"/>
      <c r="AP96" s="31"/>
      <c r="AQ96" s="31">
        <f t="shared" si="3"/>
        <v>0</v>
      </c>
      <c r="AR96" s="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8"/>
      <c r="CD96" s="8"/>
    </row>
    <row r="97" spans="1:82" ht="33.75" customHeight="1" x14ac:dyDescent="0.25">
      <c r="A97" s="25"/>
      <c r="B97" s="239" t="s">
        <v>141</v>
      </c>
      <c r="C97" s="240"/>
      <c r="D97" s="240"/>
      <c r="E97" s="24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89"/>
      <c r="AD97" s="105">
        <f>362316.88+1165856.81+1215634.87+214251.04</f>
        <v>2958059.6</v>
      </c>
      <c r="AE97" s="105"/>
      <c r="AF97" s="105">
        <f t="shared" si="0"/>
        <v>2958059.6</v>
      </c>
      <c r="AG97" s="207"/>
      <c r="AH97" s="208"/>
      <c r="AI97" s="159">
        <v>2958059.6</v>
      </c>
      <c r="AJ97" s="160"/>
      <c r="AK97" s="117"/>
      <c r="AL97" s="116">
        <f t="shared" si="1"/>
        <v>2958059.6</v>
      </c>
      <c r="AM97" s="105"/>
      <c r="AN97" s="105">
        <f t="shared" si="2"/>
        <v>0</v>
      </c>
      <c r="AO97" s="105"/>
      <c r="AP97" s="105"/>
      <c r="AQ97" s="105">
        <f t="shared" si="3"/>
        <v>0</v>
      </c>
      <c r="AR97" s="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8"/>
      <c r="CD97" s="8"/>
    </row>
    <row r="98" spans="1:82" ht="53.25" customHeight="1" x14ac:dyDescent="0.25">
      <c r="A98" s="57">
        <v>2</v>
      </c>
      <c r="B98" s="224" t="s">
        <v>70</v>
      </c>
      <c r="C98" s="225"/>
      <c r="D98" s="225"/>
      <c r="E98" s="226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89"/>
      <c r="AD98" s="30">
        <f>SUM(AD99:AD110)+AD111+AD118</f>
        <v>81260262</v>
      </c>
      <c r="AE98" s="31"/>
      <c r="AF98" s="30">
        <f t="shared" si="0"/>
        <v>81260262</v>
      </c>
      <c r="AG98" s="207"/>
      <c r="AH98" s="208"/>
      <c r="AI98" s="161">
        <f>SUM(AI99:AI110)+AI111+AI118</f>
        <v>80978634.710000008</v>
      </c>
      <c r="AJ98" s="162">
        <f>SUM(AJ99:AJ110)+AJ111+AJ118</f>
        <v>0</v>
      </c>
      <c r="AK98" s="114"/>
      <c r="AL98" s="107">
        <f t="shared" si="1"/>
        <v>80978634.710000008</v>
      </c>
      <c r="AM98" s="31"/>
      <c r="AN98" s="30">
        <f t="shared" si="2"/>
        <v>-281627.28999999166</v>
      </c>
      <c r="AO98" s="30"/>
      <c r="AP98" s="30"/>
      <c r="AQ98" s="30">
        <f t="shared" si="3"/>
        <v>-281627.28999999166</v>
      </c>
      <c r="AR98" s="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8"/>
      <c r="CD98" s="8"/>
    </row>
    <row r="99" spans="1:82" ht="69" customHeight="1" x14ac:dyDescent="0.25">
      <c r="A99" s="58" t="s">
        <v>57</v>
      </c>
      <c r="B99" s="218" t="s">
        <v>142</v>
      </c>
      <c r="C99" s="219"/>
      <c r="D99" s="219"/>
      <c r="E99" s="220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89"/>
      <c r="AD99" s="31">
        <v>1412000</v>
      </c>
      <c r="AE99" s="31"/>
      <c r="AF99" s="31">
        <f t="shared" si="0"/>
        <v>1412000</v>
      </c>
      <c r="AG99" s="207"/>
      <c r="AH99" s="208"/>
      <c r="AI99" s="151">
        <v>1411328.13</v>
      </c>
      <c r="AJ99" s="152"/>
      <c r="AK99" s="114"/>
      <c r="AL99" s="99">
        <f t="shared" si="1"/>
        <v>1411328.13</v>
      </c>
      <c r="AM99" s="31"/>
      <c r="AN99" s="31">
        <f t="shared" si="2"/>
        <v>-671.87000000011176</v>
      </c>
      <c r="AO99" s="31"/>
      <c r="AP99" s="31"/>
      <c r="AQ99" s="31">
        <f t="shared" si="3"/>
        <v>-671.87000000011176</v>
      </c>
      <c r="AR99" s="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8"/>
      <c r="CD99" s="8"/>
    </row>
    <row r="100" spans="1:82" ht="66" customHeight="1" x14ac:dyDescent="0.25">
      <c r="A100" s="58" t="s">
        <v>58</v>
      </c>
      <c r="B100" s="218" t="s">
        <v>143</v>
      </c>
      <c r="C100" s="219"/>
      <c r="D100" s="219"/>
      <c r="E100" s="220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89"/>
      <c r="AD100" s="31">
        <v>1412000</v>
      </c>
      <c r="AE100" s="31"/>
      <c r="AF100" s="31">
        <f t="shared" si="0"/>
        <v>1412000</v>
      </c>
      <c r="AG100" s="207"/>
      <c r="AH100" s="208"/>
      <c r="AI100" s="151">
        <v>1411328.13</v>
      </c>
      <c r="AJ100" s="152"/>
      <c r="AK100" s="114"/>
      <c r="AL100" s="99">
        <f t="shared" si="1"/>
        <v>1411328.13</v>
      </c>
      <c r="AM100" s="31"/>
      <c r="AN100" s="31">
        <f t="shared" si="2"/>
        <v>-671.87000000011176</v>
      </c>
      <c r="AO100" s="31"/>
      <c r="AP100" s="31"/>
      <c r="AQ100" s="31">
        <f t="shared" si="3"/>
        <v>-671.87000000011176</v>
      </c>
      <c r="AR100" s="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8"/>
      <c r="CD100" s="8"/>
    </row>
    <row r="101" spans="1:82" ht="66" customHeight="1" x14ac:dyDescent="0.25">
      <c r="A101" s="58" t="s">
        <v>82</v>
      </c>
      <c r="B101" s="218" t="s">
        <v>144</v>
      </c>
      <c r="C101" s="219"/>
      <c r="D101" s="219"/>
      <c r="E101" s="220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89"/>
      <c r="AD101" s="31">
        <v>1431000</v>
      </c>
      <c r="AE101" s="31"/>
      <c r="AF101" s="31">
        <f t="shared" si="0"/>
        <v>1431000</v>
      </c>
      <c r="AG101" s="207"/>
      <c r="AH101" s="208"/>
      <c r="AI101" s="151">
        <v>1429887.93</v>
      </c>
      <c r="AJ101" s="152"/>
      <c r="AK101" s="114"/>
      <c r="AL101" s="99">
        <f t="shared" si="1"/>
        <v>1429887.93</v>
      </c>
      <c r="AM101" s="31"/>
      <c r="AN101" s="31">
        <f t="shared" si="2"/>
        <v>-1112.0700000000652</v>
      </c>
      <c r="AO101" s="31"/>
      <c r="AP101" s="31"/>
      <c r="AQ101" s="31">
        <f t="shared" si="3"/>
        <v>-1112.0700000000652</v>
      </c>
      <c r="AR101" s="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8"/>
      <c r="CD101" s="8"/>
    </row>
    <row r="102" spans="1:82" ht="50.1" customHeight="1" x14ac:dyDescent="0.25">
      <c r="A102" s="58" t="s">
        <v>362</v>
      </c>
      <c r="B102" s="218" t="s">
        <v>145</v>
      </c>
      <c r="C102" s="219"/>
      <c r="D102" s="219"/>
      <c r="E102" s="220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89"/>
      <c r="AD102" s="31">
        <v>5391470</v>
      </c>
      <c r="AE102" s="31"/>
      <c r="AF102" s="31">
        <f t="shared" si="0"/>
        <v>5391470</v>
      </c>
      <c r="AG102" s="207"/>
      <c r="AH102" s="208"/>
      <c r="AI102" s="151">
        <v>5391468.96</v>
      </c>
      <c r="AJ102" s="152"/>
      <c r="AK102" s="114"/>
      <c r="AL102" s="99">
        <f t="shared" si="1"/>
        <v>5391468.96</v>
      </c>
      <c r="AM102" s="31"/>
      <c r="AN102" s="31">
        <f t="shared" si="2"/>
        <v>-1.0400000000372529</v>
      </c>
      <c r="AO102" s="31"/>
      <c r="AP102" s="31"/>
      <c r="AQ102" s="31">
        <f t="shared" si="3"/>
        <v>-1.0400000000372529</v>
      </c>
      <c r="AR102" s="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8"/>
      <c r="CD102" s="8"/>
    </row>
    <row r="103" spans="1:82" ht="50.1" customHeight="1" x14ac:dyDescent="0.25">
      <c r="A103" s="58" t="s">
        <v>363</v>
      </c>
      <c r="B103" s="218" t="s">
        <v>146</v>
      </c>
      <c r="C103" s="219"/>
      <c r="D103" s="219"/>
      <c r="E103" s="220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89"/>
      <c r="AD103" s="31">
        <v>1456932</v>
      </c>
      <c r="AE103" s="31"/>
      <c r="AF103" s="31">
        <f t="shared" si="0"/>
        <v>1456932</v>
      </c>
      <c r="AG103" s="207"/>
      <c r="AH103" s="208"/>
      <c r="AI103" s="151">
        <v>1442620.32</v>
      </c>
      <c r="AJ103" s="152"/>
      <c r="AK103" s="114"/>
      <c r="AL103" s="99">
        <f t="shared" si="1"/>
        <v>1442620.32</v>
      </c>
      <c r="AM103" s="31"/>
      <c r="AN103" s="31">
        <f t="shared" si="2"/>
        <v>-14311.679999999935</v>
      </c>
      <c r="AO103" s="31"/>
      <c r="AP103" s="31"/>
      <c r="AQ103" s="31">
        <f t="shared" si="3"/>
        <v>-14311.679999999935</v>
      </c>
      <c r="AR103" s="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8"/>
      <c r="CD103" s="8"/>
    </row>
    <row r="104" spans="1:82" ht="37.5" customHeight="1" x14ac:dyDescent="0.25">
      <c r="A104" s="58" t="s">
        <v>364</v>
      </c>
      <c r="B104" s="218" t="s">
        <v>147</v>
      </c>
      <c r="C104" s="219"/>
      <c r="D104" s="219"/>
      <c r="E104" s="220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89"/>
      <c r="AD104" s="31">
        <v>4375800</v>
      </c>
      <c r="AE104" s="31"/>
      <c r="AF104" s="31">
        <f t="shared" si="0"/>
        <v>4375800</v>
      </c>
      <c r="AG104" s="207"/>
      <c r="AH104" s="208"/>
      <c r="AI104" s="151">
        <v>4306506.87</v>
      </c>
      <c r="AJ104" s="152"/>
      <c r="AK104" s="114"/>
      <c r="AL104" s="99">
        <f t="shared" si="1"/>
        <v>4306506.87</v>
      </c>
      <c r="AM104" s="31"/>
      <c r="AN104" s="31">
        <f t="shared" si="2"/>
        <v>-69293.129999999888</v>
      </c>
      <c r="AO104" s="31"/>
      <c r="AP104" s="31"/>
      <c r="AQ104" s="31">
        <f t="shared" si="3"/>
        <v>-69293.129999999888</v>
      </c>
      <c r="AR104" s="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8"/>
      <c r="CD104" s="8"/>
    </row>
    <row r="105" spans="1:82" ht="37.5" customHeight="1" x14ac:dyDescent="0.25">
      <c r="A105" s="58" t="s">
        <v>365</v>
      </c>
      <c r="B105" s="218" t="s">
        <v>148</v>
      </c>
      <c r="C105" s="219"/>
      <c r="D105" s="219"/>
      <c r="E105" s="220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89"/>
      <c r="AD105" s="31">
        <v>3700000</v>
      </c>
      <c r="AE105" s="31"/>
      <c r="AF105" s="31">
        <f t="shared" si="0"/>
        <v>3700000</v>
      </c>
      <c r="AG105" s="207"/>
      <c r="AH105" s="208"/>
      <c r="AI105" s="151">
        <v>3634163.21</v>
      </c>
      <c r="AJ105" s="152"/>
      <c r="AK105" s="114"/>
      <c r="AL105" s="99">
        <f t="shared" si="1"/>
        <v>3634163.21</v>
      </c>
      <c r="AM105" s="31"/>
      <c r="AN105" s="31">
        <f t="shared" si="2"/>
        <v>-65836.790000000037</v>
      </c>
      <c r="AO105" s="31"/>
      <c r="AP105" s="31"/>
      <c r="AQ105" s="31">
        <f t="shared" si="3"/>
        <v>-65836.790000000037</v>
      </c>
      <c r="AR105" s="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8"/>
      <c r="CD105" s="8"/>
    </row>
    <row r="106" spans="1:82" ht="50.1" customHeight="1" x14ac:dyDescent="0.25">
      <c r="A106" s="58" t="s">
        <v>366</v>
      </c>
      <c r="B106" s="218" t="s">
        <v>149</v>
      </c>
      <c r="C106" s="219"/>
      <c r="D106" s="219"/>
      <c r="E106" s="220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89"/>
      <c r="AD106" s="31">
        <v>1000314</v>
      </c>
      <c r="AE106" s="31"/>
      <c r="AF106" s="31">
        <f t="shared" si="0"/>
        <v>1000314</v>
      </c>
      <c r="AG106" s="207"/>
      <c r="AH106" s="208"/>
      <c r="AI106" s="151">
        <v>1000241.92</v>
      </c>
      <c r="AJ106" s="152"/>
      <c r="AK106" s="114"/>
      <c r="AL106" s="99">
        <f t="shared" si="1"/>
        <v>1000241.92</v>
      </c>
      <c r="AM106" s="31"/>
      <c r="AN106" s="31">
        <f t="shared" si="2"/>
        <v>-72.07999999995809</v>
      </c>
      <c r="AO106" s="31"/>
      <c r="AP106" s="31"/>
      <c r="AQ106" s="31">
        <f t="shared" si="3"/>
        <v>-72.07999999995809</v>
      </c>
      <c r="AR106" s="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8"/>
      <c r="CD106" s="8"/>
    </row>
    <row r="107" spans="1:82" ht="36.75" customHeight="1" x14ac:dyDescent="0.25">
      <c r="A107" s="58" t="s">
        <v>367</v>
      </c>
      <c r="B107" s="218" t="s">
        <v>150</v>
      </c>
      <c r="C107" s="219"/>
      <c r="D107" s="219"/>
      <c r="E107" s="220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89"/>
      <c r="AD107" s="31">
        <v>3281000</v>
      </c>
      <c r="AE107" s="31"/>
      <c r="AF107" s="31">
        <f t="shared" si="0"/>
        <v>3281000</v>
      </c>
      <c r="AG107" s="207"/>
      <c r="AH107" s="208"/>
      <c r="AI107" s="151">
        <v>3277171.34</v>
      </c>
      <c r="AJ107" s="152"/>
      <c r="AK107" s="114"/>
      <c r="AL107" s="99">
        <f t="shared" si="1"/>
        <v>3277171.34</v>
      </c>
      <c r="AM107" s="31"/>
      <c r="AN107" s="31">
        <f t="shared" si="2"/>
        <v>-3828.660000000149</v>
      </c>
      <c r="AO107" s="31"/>
      <c r="AP107" s="31"/>
      <c r="AQ107" s="31">
        <f t="shared" si="3"/>
        <v>-3828.660000000149</v>
      </c>
      <c r="AR107" s="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8"/>
      <c r="CD107" s="8"/>
    </row>
    <row r="108" spans="1:82" ht="50.1" customHeight="1" x14ac:dyDescent="0.25">
      <c r="A108" s="58" t="s">
        <v>368</v>
      </c>
      <c r="B108" s="218" t="s">
        <v>151</v>
      </c>
      <c r="C108" s="219"/>
      <c r="D108" s="219"/>
      <c r="E108" s="220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89"/>
      <c r="AD108" s="31">
        <v>1184862</v>
      </c>
      <c r="AE108" s="31"/>
      <c r="AF108" s="31">
        <f t="shared" si="0"/>
        <v>1184862</v>
      </c>
      <c r="AG108" s="207"/>
      <c r="AH108" s="208"/>
      <c r="AI108" s="151">
        <v>1184792.6000000001</v>
      </c>
      <c r="AJ108" s="152"/>
      <c r="AK108" s="114"/>
      <c r="AL108" s="99">
        <f t="shared" si="1"/>
        <v>1184792.6000000001</v>
      </c>
      <c r="AM108" s="31"/>
      <c r="AN108" s="31">
        <f t="shared" si="2"/>
        <v>-69.399999999906868</v>
      </c>
      <c r="AO108" s="31"/>
      <c r="AP108" s="31"/>
      <c r="AQ108" s="31">
        <f t="shared" si="3"/>
        <v>-69.399999999906868</v>
      </c>
      <c r="AR108" s="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8"/>
      <c r="CD108" s="8"/>
    </row>
    <row r="109" spans="1:82" ht="50.1" customHeight="1" x14ac:dyDescent="0.25">
      <c r="A109" s="58" t="s">
        <v>369</v>
      </c>
      <c r="B109" s="218" t="s">
        <v>152</v>
      </c>
      <c r="C109" s="219"/>
      <c r="D109" s="219"/>
      <c r="E109" s="220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89"/>
      <c r="AD109" s="31">
        <v>823508</v>
      </c>
      <c r="AE109" s="31"/>
      <c r="AF109" s="31">
        <f t="shared" si="0"/>
        <v>823508</v>
      </c>
      <c r="AG109" s="207"/>
      <c r="AH109" s="208"/>
      <c r="AI109" s="151">
        <v>823507.54</v>
      </c>
      <c r="AJ109" s="152"/>
      <c r="AK109" s="114"/>
      <c r="AL109" s="99">
        <f t="shared" si="1"/>
        <v>823507.54</v>
      </c>
      <c r="AM109" s="31"/>
      <c r="AN109" s="31">
        <f t="shared" si="2"/>
        <v>-0.4599999999627471</v>
      </c>
      <c r="AO109" s="31"/>
      <c r="AP109" s="31"/>
      <c r="AQ109" s="31">
        <f t="shared" si="3"/>
        <v>-0.4599999999627471</v>
      </c>
      <c r="AR109" s="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8"/>
      <c r="CD109" s="8"/>
    </row>
    <row r="110" spans="1:82" ht="50.1" customHeight="1" x14ac:dyDescent="0.25">
      <c r="A110" s="58" t="s">
        <v>370</v>
      </c>
      <c r="B110" s="218" t="s">
        <v>153</v>
      </c>
      <c r="C110" s="219"/>
      <c r="D110" s="219"/>
      <c r="E110" s="220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89"/>
      <c r="AD110" s="31">
        <v>1458637</v>
      </c>
      <c r="AE110" s="31"/>
      <c r="AF110" s="31">
        <f t="shared" si="0"/>
        <v>1458637</v>
      </c>
      <c r="AG110" s="207"/>
      <c r="AH110" s="208"/>
      <c r="AI110" s="151">
        <v>1333487.8999999999</v>
      </c>
      <c r="AJ110" s="152"/>
      <c r="AK110" s="114"/>
      <c r="AL110" s="99">
        <f t="shared" si="1"/>
        <v>1333487.8999999999</v>
      </c>
      <c r="AM110" s="31"/>
      <c r="AN110" s="31">
        <f t="shared" si="2"/>
        <v>-125149.10000000009</v>
      </c>
      <c r="AO110" s="31"/>
      <c r="AP110" s="31"/>
      <c r="AQ110" s="31">
        <f t="shared" si="3"/>
        <v>-125149.10000000009</v>
      </c>
      <c r="AR110" s="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8"/>
      <c r="CD110" s="8"/>
    </row>
    <row r="111" spans="1:82" ht="33" customHeight="1" x14ac:dyDescent="0.25">
      <c r="A111" s="25"/>
      <c r="B111" s="224" t="s">
        <v>122</v>
      </c>
      <c r="C111" s="225"/>
      <c r="D111" s="225"/>
      <c r="E111" s="22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18"/>
      <c r="AD111" s="30">
        <f>SUM(AD112:AD117)</f>
        <v>37489539</v>
      </c>
      <c r="AE111" s="30"/>
      <c r="AF111" s="30">
        <f t="shared" ref="AF111:AF162" si="4">AD111</f>
        <v>37489539</v>
      </c>
      <c r="AG111" s="207"/>
      <c r="AH111" s="208"/>
      <c r="AI111" s="161">
        <f>SUM(AI112:AI117)</f>
        <v>37488929.859999999</v>
      </c>
      <c r="AJ111" s="162">
        <f>SUM(AJ112:AJ117)</f>
        <v>0</v>
      </c>
      <c r="AK111" s="119"/>
      <c r="AL111" s="107">
        <f t="shared" ref="AL111:AL162" si="5">AI111</f>
        <v>37488929.859999999</v>
      </c>
      <c r="AM111" s="30"/>
      <c r="AN111" s="30">
        <f t="shared" ref="AN111:AN162" si="6">AI111-AF111</f>
        <v>-609.14000000059605</v>
      </c>
      <c r="AO111" s="30"/>
      <c r="AP111" s="30"/>
      <c r="AQ111" s="30">
        <f t="shared" ref="AQ111:AQ162" si="7">AN111</f>
        <v>-609.14000000059605</v>
      </c>
      <c r="AR111" s="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8"/>
      <c r="CD111" s="8"/>
    </row>
    <row r="112" spans="1:82" ht="18" customHeight="1" x14ac:dyDescent="0.25">
      <c r="A112" s="58" t="s">
        <v>371</v>
      </c>
      <c r="B112" s="218" t="s">
        <v>154</v>
      </c>
      <c r="C112" s="219"/>
      <c r="D112" s="219"/>
      <c r="E112" s="220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89"/>
      <c r="AD112" s="31">
        <v>1606244</v>
      </c>
      <c r="AE112" s="31"/>
      <c r="AF112" s="31">
        <f t="shared" si="4"/>
        <v>1606244</v>
      </c>
      <c r="AG112" s="207"/>
      <c r="AH112" s="208"/>
      <c r="AI112" s="151">
        <v>1606244</v>
      </c>
      <c r="AJ112" s="152"/>
      <c r="AK112" s="114"/>
      <c r="AL112" s="99">
        <f t="shared" si="5"/>
        <v>1606244</v>
      </c>
      <c r="AM112" s="31"/>
      <c r="AN112" s="31">
        <f t="shared" si="6"/>
        <v>0</v>
      </c>
      <c r="AO112" s="31"/>
      <c r="AP112" s="31"/>
      <c r="AQ112" s="31">
        <f t="shared" si="7"/>
        <v>0</v>
      </c>
      <c r="AR112" s="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8"/>
      <c r="CD112" s="8"/>
    </row>
    <row r="113" spans="1:82" ht="35.1" customHeight="1" x14ac:dyDescent="0.25">
      <c r="A113" s="58" t="s">
        <v>372</v>
      </c>
      <c r="B113" s="218" t="s">
        <v>155</v>
      </c>
      <c r="C113" s="219"/>
      <c r="D113" s="219"/>
      <c r="E113" s="220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89"/>
      <c r="AD113" s="31">
        <v>500000</v>
      </c>
      <c r="AE113" s="31"/>
      <c r="AF113" s="31">
        <f t="shared" si="4"/>
        <v>500000</v>
      </c>
      <c r="AG113" s="207"/>
      <c r="AH113" s="208"/>
      <c r="AI113" s="151">
        <v>499394.8</v>
      </c>
      <c r="AJ113" s="152"/>
      <c r="AK113" s="114"/>
      <c r="AL113" s="99">
        <f t="shared" si="5"/>
        <v>499394.8</v>
      </c>
      <c r="AM113" s="31"/>
      <c r="AN113" s="31">
        <f t="shared" si="6"/>
        <v>-605.20000000001164</v>
      </c>
      <c r="AO113" s="31"/>
      <c r="AP113" s="31"/>
      <c r="AQ113" s="31">
        <f t="shared" si="7"/>
        <v>-605.20000000001164</v>
      </c>
      <c r="AR113" s="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8"/>
      <c r="CD113" s="8"/>
    </row>
    <row r="114" spans="1:82" ht="21.75" customHeight="1" x14ac:dyDescent="0.25">
      <c r="A114" s="58" t="s">
        <v>373</v>
      </c>
      <c r="B114" s="218" t="s">
        <v>156</v>
      </c>
      <c r="C114" s="219"/>
      <c r="D114" s="219"/>
      <c r="E114" s="220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89"/>
      <c r="AD114" s="31">
        <v>6330010</v>
      </c>
      <c r="AE114" s="31"/>
      <c r="AF114" s="31">
        <f t="shared" si="4"/>
        <v>6330010</v>
      </c>
      <c r="AG114" s="207"/>
      <c r="AH114" s="208"/>
      <c r="AI114" s="151">
        <v>6330010</v>
      </c>
      <c r="AJ114" s="152"/>
      <c r="AK114" s="114"/>
      <c r="AL114" s="99">
        <f t="shared" si="5"/>
        <v>6330010</v>
      </c>
      <c r="AM114" s="31"/>
      <c r="AN114" s="31">
        <f t="shared" si="6"/>
        <v>0</v>
      </c>
      <c r="AO114" s="31"/>
      <c r="AP114" s="31"/>
      <c r="AQ114" s="31">
        <f t="shared" si="7"/>
        <v>0</v>
      </c>
      <c r="AR114" s="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8"/>
      <c r="CD114" s="8"/>
    </row>
    <row r="115" spans="1:82" ht="18" customHeight="1" x14ac:dyDescent="0.25">
      <c r="A115" s="58" t="s">
        <v>374</v>
      </c>
      <c r="B115" s="218" t="s">
        <v>157</v>
      </c>
      <c r="C115" s="219"/>
      <c r="D115" s="219"/>
      <c r="E115" s="220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89"/>
      <c r="AD115" s="31">
        <v>4990540</v>
      </c>
      <c r="AE115" s="31"/>
      <c r="AF115" s="31">
        <f t="shared" si="4"/>
        <v>4990540</v>
      </c>
      <c r="AG115" s="207"/>
      <c r="AH115" s="208"/>
      <c r="AI115" s="151">
        <v>4990536.0599999996</v>
      </c>
      <c r="AJ115" s="152"/>
      <c r="AK115" s="114"/>
      <c r="AL115" s="99">
        <f t="shared" si="5"/>
        <v>4990536.0599999996</v>
      </c>
      <c r="AM115" s="31"/>
      <c r="AN115" s="31">
        <f t="shared" si="6"/>
        <v>-3.9400000004097819</v>
      </c>
      <c r="AO115" s="31"/>
      <c r="AP115" s="31"/>
      <c r="AQ115" s="31">
        <f t="shared" si="7"/>
        <v>-3.9400000004097819</v>
      </c>
      <c r="AR115" s="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8"/>
      <c r="CD115" s="8"/>
    </row>
    <row r="116" spans="1:82" ht="21" customHeight="1" x14ac:dyDescent="0.25">
      <c r="A116" s="58" t="s">
        <v>375</v>
      </c>
      <c r="B116" s="218" t="s">
        <v>158</v>
      </c>
      <c r="C116" s="219"/>
      <c r="D116" s="219"/>
      <c r="E116" s="220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89"/>
      <c r="AD116" s="31">
        <v>122745</v>
      </c>
      <c r="AE116" s="31"/>
      <c r="AF116" s="31">
        <f t="shared" si="4"/>
        <v>122745</v>
      </c>
      <c r="AG116" s="207"/>
      <c r="AH116" s="208"/>
      <c r="AI116" s="151">
        <v>122745</v>
      </c>
      <c r="AJ116" s="152"/>
      <c r="AK116" s="114"/>
      <c r="AL116" s="99">
        <f t="shared" si="5"/>
        <v>122745</v>
      </c>
      <c r="AM116" s="31"/>
      <c r="AN116" s="31">
        <f t="shared" si="6"/>
        <v>0</v>
      </c>
      <c r="AO116" s="31"/>
      <c r="AP116" s="31"/>
      <c r="AQ116" s="31">
        <f t="shared" si="7"/>
        <v>0</v>
      </c>
      <c r="AR116" s="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8"/>
      <c r="CD116" s="8"/>
    </row>
    <row r="117" spans="1:82" ht="35.1" customHeight="1" x14ac:dyDescent="0.25">
      <c r="A117" s="58" t="s">
        <v>376</v>
      </c>
      <c r="B117" s="218" t="s">
        <v>159</v>
      </c>
      <c r="C117" s="219"/>
      <c r="D117" s="219"/>
      <c r="E117" s="220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89"/>
      <c r="AD117" s="31">
        <v>23940000</v>
      </c>
      <c r="AE117" s="31"/>
      <c r="AF117" s="31">
        <f t="shared" si="4"/>
        <v>23940000</v>
      </c>
      <c r="AG117" s="207"/>
      <c r="AH117" s="208"/>
      <c r="AI117" s="151">
        <v>23940000</v>
      </c>
      <c r="AJ117" s="152"/>
      <c r="AK117" s="114"/>
      <c r="AL117" s="99">
        <f t="shared" si="5"/>
        <v>23940000</v>
      </c>
      <c r="AM117" s="31"/>
      <c r="AN117" s="31">
        <f t="shared" si="6"/>
        <v>0</v>
      </c>
      <c r="AO117" s="31"/>
      <c r="AP117" s="31"/>
      <c r="AQ117" s="31">
        <f t="shared" si="7"/>
        <v>0</v>
      </c>
      <c r="AR117" s="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8"/>
      <c r="CD117" s="8"/>
    </row>
    <row r="118" spans="1:82" ht="19.5" customHeight="1" x14ac:dyDescent="0.25">
      <c r="A118" s="25"/>
      <c r="B118" s="224" t="s">
        <v>135</v>
      </c>
      <c r="C118" s="225"/>
      <c r="D118" s="225"/>
      <c r="E118" s="226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89"/>
      <c r="AD118" s="30">
        <f>AD119+AD120</f>
        <v>16843200</v>
      </c>
      <c r="AE118" s="30"/>
      <c r="AF118" s="30">
        <f t="shared" si="4"/>
        <v>16843200</v>
      </c>
      <c r="AG118" s="210"/>
      <c r="AH118" s="211"/>
      <c r="AI118" s="161">
        <f>AI119+AI120</f>
        <v>16843200</v>
      </c>
      <c r="AJ118" s="162"/>
      <c r="AK118" s="119"/>
      <c r="AL118" s="107">
        <f t="shared" si="5"/>
        <v>16843200</v>
      </c>
      <c r="AM118" s="30"/>
      <c r="AN118" s="30">
        <f t="shared" si="6"/>
        <v>0</v>
      </c>
      <c r="AO118" s="30"/>
      <c r="AP118" s="30"/>
      <c r="AQ118" s="30">
        <f t="shared" si="7"/>
        <v>0</v>
      </c>
      <c r="AR118" s="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8"/>
      <c r="CD118" s="8"/>
    </row>
    <row r="119" spans="1:82" ht="35.1" customHeight="1" x14ac:dyDescent="0.25">
      <c r="A119" s="58" t="s">
        <v>377</v>
      </c>
      <c r="B119" s="218" t="s">
        <v>160</v>
      </c>
      <c r="C119" s="219"/>
      <c r="D119" s="219"/>
      <c r="E119" s="220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89"/>
      <c r="AD119" s="31">
        <v>8560200</v>
      </c>
      <c r="AE119" s="31"/>
      <c r="AF119" s="31">
        <f t="shared" si="4"/>
        <v>8560200</v>
      </c>
      <c r="AG119" s="207"/>
      <c r="AH119" s="208"/>
      <c r="AI119" s="151">
        <v>8560200</v>
      </c>
      <c r="AJ119" s="152"/>
      <c r="AK119" s="114"/>
      <c r="AL119" s="99">
        <f t="shared" si="5"/>
        <v>8560200</v>
      </c>
      <c r="AM119" s="31"/>
      <c r="AN119" s="31">
        <f t="shared" si="6"/>
        <v>0</v>
      </c>
      <c r="AO119" s="31"/>
      <c r="AP119" s="31"/>
      <c r="AQ119" s="31">
        <f t="shared" si="7"/>
        <v>0</v>
      </c>
      <c r="AR119" s="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8"/>
      <c r="CD119" s="8"/>
    </row>
    <row r="120" spans="1:82" ht="35.1" customHeight="1" x14ac:dyDescent="0.25">
      <c r="A120" s="58" t="s">
        <v>378</v>
      </c>
      <c r="B120" s="218" t="s">
        <v>302</v>
      </c>
      <c r="C120" s="219"/>
      <c r="D120" s="219"/>
      <c r="E120" s="220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89"/>
      <c r="AD120" s="31">
        <v>8283000</v>
      </c>
      <c r="AE120" s="31"/>
      <c r="AF120" s="31">
        <f t="shared" si="4"/>
        <v>8283000</v>
      </c>
      <c r="AG120" s="207"/>
      <c r="AH120" s="208"/>
      <c r="AI120" s="151">
        <v>8283000</v>
      </c>
      <c r="AJ120" s="152"/>
      <c r="AK120" s="114"/>
      <c r="AL120" s="99">
        <f t="shared" si="5"/>
        <v>8283000</v>
      </c>
      <c r="AM120" s="31"/>
      <c r="AN120" s="31">
        <f t="shared" si="6"/>
        <v>0</v>
      </c>
      <c r="AO120" s="31"/>
      <c r="AP120" s="31"/>
      <c r="AQ120" s="31">
        <f t="shared" si="7"/>
        <v>0</v>
      </c>
      <c r="AR120" s="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8"/>
      <c r="CD120" s="8"/>
    </row>
    <row r="121" spans="1:82" ht="47.25" customHeight="1" x14ac:dyDescent="0.25">
      <c r="A121" s="57">
        <v>3</v>
      </c>
      <c r="B121" s="230" t="s">
        <v>161</v>
      </c>
      <c r="C121" s="231"/>
      <c r="D121" s="231"/>
      <c r="E121" s="232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89"/>
      <c r="AD121" s="30">
        <f>AD122+AD131+AD132</f>
        <v>64779328</v>
      </c>
      <c r="AE121" s="31"/>
      <c r="AF121" s="30">
        <f>AD121</f>
        <v>64779328</v>
      </c>
      <c r="AG121" s="207"/>
      <c r="AH121" s="208"/>
      <c r="AI121" s="161">
        <f>AI122+AI131+AI132</f>
        <v>64654056.399999999</v>
      </c>
      <c r="AJ121" s="162">
        <f>AJ122+AJ131+AJ132</f>
        <v>0</v>
      </c>
      <c r="AK121" s="119"/>
      <c r="AL121" s="107">
        <f t="shared" si="5"/>
        <v>64654056.399999999</v>
      </c>
      <c r="AM121" s="30"/>
      <c r="AN121" s="30">
        <f t="shared" si="6"/>
        <v>-125271.60000000149</v>
      </c>
      <c r="AO121" s="30"/>
      <c r="AP121" s="30"/>
      <c r="AQ121" s="30">
        <f t="shared" si="7"/>
        <v>-125271.60000000149</v>
      </c>
      <c r="AR121" s="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8"/>
      <c r="CD121" s="8"/>
    </row>
    <row r="122" spans="1:82" ht="20.100000000000001" customHeight="1" x14ac:dyDescent="0.25">
      <c r="A122" s="25"/>
      <c r="B122" s="248" t="s">
        <v>135</v>
      </c>
      <c r="C122" s="249"/>
      <c r="D122" s="249"/>
      <c r="E122" s="25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15"/>
      <c r="AD122" s="105">
        <f>SUM(AD123:AD130)</f>
        <v>61304675</v>
      </c>
      <c r="AE122" s="105"/>
      <c r="AF122" s="105">
        <f t="shared" si="4"/>
        <v>61304675</v>
      </c>
      <c r="AG122" s="216"/>
      <c r="AH122" s="217"/>
      <c r="AI122" s="159">
        <f>SUM(AI123:AJ130)</f>
        <v>61217972.399999999</v>
      </c>
      <c r="AJ122" s="160">
        <f>SUM(AJ123:AJ130)</f>
        <v>0</v>
      </c>
      <c r="AK122" s="117"/>
      <c r="AL122" s="116">
        <f t="shared" si="5"/>
        <v>61217972.399999999</v>
      </c>
      <c r="AM122" s="105"/>
      <c r="AN122" s="105">
        <f t="shared" si="6"/>
        <v>-86702.60000000149</v>
      </c>
      <c r="AO122" s="105"/>
      <c r="AP122" s="105"/>
      <c r="AQ122" s="105">
        <f t="shared" si="7"/>
        <v>-86702.60000000149</v>
      </c>
      <c r="AR122" s="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8"/>
      <c r="CD122" s="8"/>
    </row>
    <row r="123" spans="1:82" ht="50.1" customHeight="1" x14ac:dyDescent="0.25">
      <c r="A123" s="58" t="s">
        <v>379</v>
      </c>
      <c r="B123" s="221" t="s">
        <v>162</v>
      </c>
      <c r="C123" s="222"/>
      <c r="D123" s="222"/>
      <c r="E123" s="223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89"/>
      <c r="AD123" s="31">
        <v>2170000</v>
      </c>
      <c r="AE123" s="31"/>
      <c r="AF123" s="31">
        <f t="shared" si="4"/>
        <v>2170000</v>
      </c>
      <c r="AG123" s="207"/>
      <c r="AH123" s="208"/>
      <c r="AI123" s="151">
        <v>2170000</v>
      </c>
      <c r="AJ123" s="152"/>
      <c r="AK123" s="114"/>
      <c r="AL123" s="99">
        <f t="shared" si="5"/>
        <v>2170000</v>
      </c>
      <c r="AM123" s="31"/>
      <c r="AN123" s="31">
        <f t="shared" si="6"/>
        <v>0</v>
      </c>
      <c r="AO123" s="31"/>
      <c r="AP123" s="31"/>
      <c r="AQ123" s="31">
        <f t="shared" si="7"/>
        <v>0</v>
      </c>
      <c r="AR123" s="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8"/>
      <c r="CD123" s="8"/>
    </row>
    <row r="124" spans="1:82" ht="33.75" customHeight="1" x14ac:dyDescent="0.25">
      <c r="A124" s="58" t="s">
        <v>380</v>
      </c>
      <c r="B124" s="221" t="s">
        <v>163</v>
      </c>
      <c r="C124" s="222"/>
      <c r="D124" s="222"/>
      <c r="E124" s="223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89"/>
      <c r="AD124" s="31">
        <v>2871975</v>
      </c>
      <c r="AE124" s="31"/>
      <c r="AF124" s="31">
        <f t="shared" si="4"/>
        <v>2871975</v>
      </c>
      <c r="AG124" s="207"/>
      <c r="AH124" s="208"/>
      <c r="AI124" s="151">
        <v>2871974.4</v>
      </c>
      <c r="AJ124" s="152"/>
      <c r="AK124" s="114"/>
      <c r="AL124" s="99">
        <f t="shared" si="5"/>
        <v>2871974.4</v>
      </c>
      <c r="AM124" s="31"/>
      <c r="AN124" s="31">
        <f t="shared" si="6"/>
        <v>-0.60000000009313226</v>
      </c>
      <c r="AO124" s="31"/>
      <c r="AP124" s="31"/>
      <c r="AQ124" s="31">
        <f t="shared" si="7"/>
        <v>-0.60000000009313226</v>
      </c>
      <c r="AR124" s="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8"/>
      <c r="CD124" s="8"/>
    </row>
    <row r="125" spans="1:82" ht="50.1" customHeight="1" x14ac:dyDescent="0.25">
      <c r="A125" s="58" t="s">
        <v>381</v>
      </c>
      <c r="B125" s="221" t="s">
        <v>164</v>
      </c>
      <c r="C125" s="222"/>
      <c r="D125" s="222"/>
      <c r="E125" s="223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89"/>
      <c r="AD125" s="31">
        <v>2655000</v>
      </c>
      <c r="AE125" s="31"/>
      <c r="AF125" s="31">
        <f t="shared" si="4"/>
        <v>2655000</v>
      </c>
      <c r="AG125" s="207"/>
      <c r="AH125" s="208"/>
      <c r="AI125" s="151">
        <v>2574500</v>
      </c>
      <c r="AJ125" s="152"/>
      <c r="AK125" s="114"/>
      <c r="AL125" s="99">
        <f t="shared" si="5"/>
        <v>2574500</v>
      </c>
      <c r="AM125" s="31"/>
      <c r="AN125" s="31">
        <f t="shared" si="6"/>
        <v>-80500</v>
      </c>
      <c r="AO125" s="31"/>
      <c r="AP125" s="31"/>
      <c r="AQ125" s="31">
        <f t="shared" si="7"/>
        <v>-80500</v>
      </c>
      <c r="AR125" s="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8"/>
      <c r="CD125" s="8"/>
    </row>
    <row r="126" spans="1:82" ht="33.75" customHeight="1" x14ac:dyDescent="0.25">
      <c r="A126" s="58" t="s">
        <v>382</v>
      </c>
      <c r="B126" s="221" t="s">
        <v>165</v>
      </c>
      <c r="C126" s="222"/>
      <c r="D126" s="222"/>
      <c r="E126" s="223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89"/>
      <c r="AD126" s="31">
        <v>3654300</v>
      </c>
      <c r="AE126" s="31"/>
      <c r="AF126" s="31">
        <f t="shared" si="4"/>
        <v>3654300</v>
      </c>
      <c r="AG126" s="207"/>
      <c r="AH126" s="208"/>
      <c r="AI126" s="151">
        <v>3654300</v>
      </c>
      <c r="AJ126" s="152"/>
      <c r="AK126" s="114"/>
      <c r="AL126" s="99">
        <f t="shared" si="5"/>
        <v>3654300</v>
      </c>
      <c r="AM126" s="31"/>
      <c r="AN126" s="31">
        <f t="shared" si="6"/>
        <v>0</v>
      </c>
      <c r="AO126" s="31"/>
      <c r="AP126" s="31"/>
      <c r="AQ126" s="31">
        <f t="shared" si="7"/>
        <v>0</v>
      </c>
      <c r="AR126" s="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8"/>
      <c r="CD126" s="8"/>
    </row>
    <row r="127" spans="1:82" ht="50.1" customHeight="1" x14ac:dyDescent="0.25">
      <c r="A127" s="58" t="s">
        <v>383</v>
      </c>
      <c r="B127" s="221" t="s">
        <v>166</v>
      </c>
      <c r="C127" s="222"/>
      <c r="D127" s="222"/>
      <c r="E127" s="223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89"/>
      <c r="AD127" s="31">
        <v>28990800</v>
      </c>
      <c r="AE127" s="31"/>
      <c r="AF127" s="31">
        <f t="shared" si="4"/>
        <v>28990800</v>
      </c>
      <c r="AG127" s="207"/>
      <c r="AH127" s="208"/>
      <c r="AI127" s="151">
        <v>28990800</v>
      </c>
      <c r="AJ127" s="152"/>
      <c r="AK127" s="114"/>
      <c r="AL127" s="99">
        <f t="shared" si="5"/>
        <v>28990800</v>
      </c>
      <c r="AM127" s="31"/>
      <c r="AN127" s="31">
        <f t="shared" si="6"/>
        <v>0</v>
      </c>
      <c r="AO127" s="31"/>
      <c r="AP127" s="31"/>
      <c r="AQ127" s="31">
        <f t="shared" si="7"/>
        <v>0</v>
      </c>
      <c r="AR127" s="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8"/>
      <c r="CD127" s="8"/>
    </row>
    <row r="128" spans="1:82" ht="50.1" customHeight="1" x14ac:dyDescent="0.25">
      <c r="A128" s="58" t="s">
        <v>384</v>
      </c>
      <c r="B128" s="221" t="s">
        <v>167</v>
      </c>
      <c r="C128" s="222"/>
      <c r="D128" s="222"/>
      <c r="E128" s="223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89"/>
      <c r="AD128" s="31">
        <v>16532600</v>
      </c>
      <c r="AE128" s="31"/>
      <c r="AF128" s="31">
        <f t="shared" si="4"/>
        <v>16532600</v>
      </c>
      <c r="AG128" s="207"/>
      <c r="AH128" s="208"/>
      <c r="AI128" s="151">
        <v>16532598</v>
      </c>
      <c r="AJ128" s="152"/>
      <c r="AK128" s="114"/>
      <c r="AL128" s="99">
        <f t="shared" si="5"/>
        <v>16532598</v>
      </c>
      <c r="AM128" s="31"/>
      <c r="AN128" s="31">
        <f t="shared" si="6"/>
        <v>-2</v>
      </c>
      <c r="AO128" s="31"/>
      <c r="AP128" s="31"/>
      <c r="AQ128" s="31">
        <f t="shared" si="7"/>
        <v>-2</v>
      </c>
      <c r="AR128" s="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8"/>
      <c r="CD128" s="8"/>
    </row>
    <row r="129" spans="1:82" ht="50.1" customHeight="1" x14ac:dyDescent="0.25">
      <c r="A129" s="58" t="s">
        <v>385</v>
      </c>
      <c r="B129" s="221" t="s">
        <v>168</v>
      </c>
      <c r="C129" s="222"/>
      <c r="D129" s="222"/>
      <c r="E129" s="223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89"/>
      <c r="AD129" s="31">
        <v>2337500</v>
      </c>
      <c r="AE129" s="31"/>
      <c r="AF129" s="31">
        <f t="shared" si="4"/>
        <v>2337500</v>
      </c>
      <c r="AG129" s="207"/>
      <c r="AH129" s="208"/>
      <c r="AI129" s="151">
        <v>2332800</v>
      </c>
      <c r="AJ129" s="152"/>
      <c r="AK129" s="114"/>
      <c r="AL129" s="99">
        <f t="shared" si="5"/>
        <v>2332800</v>
      </c>
      <c r="AM129" s="31"/>
      <c r="AN129" s="31">
        <f t="shared" si="6"/>
        <v>-4700</v>
      </c>
      <c r="AO129" s="31"/>
      <c r="AP129" s="31"/>
      <c r="AQ129" s="31">
        <f t="shared" si="7"/>
        <v>-4700</v>
      </c>
      <c r="AR129" s="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8"/>
      <c r="CD129" s="8"/>
    </row>
    <row r="130" spans="1:82" ht="50.1" customHeight="1" x14ac:dyDescent="0.25">
      <c r="A130" s="58" t="s">
        <v>386</v>
      </c>
      <c r="B130" s="221" t="s">
        <v>169</v>
      </c>
      <c r="C130" s="222"/>
      <c r="D130" s="222"/>
      <c r="E130" s="223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89"/>
      <c r="AD130" s="31">
        <v>2092500</v>
      </c>
      <c r="AE130" s="31"/>
      <c r="AF130" s="31">
        <f t="shared" si="4"/>
        <v>2092500</v>
      </c>
      <c r="AG130" s="207"/>
      <c r="AH130" s="208"/>
      <c r="AI130" s="151">
        <v>2091000</v>
      </c>
      <c r="AJ130" s="152"/>
      <c r="AK130" s="114"/>
      <c r="AL130" s="99">
        <f t="shared" si="5"/>
        <v>2091000</v>
      </c>
      <c r="AM130" s="31"/>
      <c r="AN130" s="31">
        <f t="shared" si="6"/>
        <v>-1500</v>
      </c>
      <c r="AO130" s="31"/>
      <c r="AP130" s="31"/>
      <c r="AQ130" s="31">
        <f t="shared" si="7"/>
        <v>-1500</v>
      </c>
      <c r="AR130" s="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8"/>
      <c r="CD130" s="8"/>
    </row>
    <row r="131" spans="1:82" ht="75" customHeight="1" x14ac:dyDescent="0.25">
      <c r="A131" s="58" t="s">
        <v>387</v>
      </c>
      <c r="B131" s="221" t="s">
        <v>170</v>
      </c>
      <c r="C131" s="222"/>
      <c r="D131" s="222"/>
      <c r="E131" s="223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89"/>
      <c r="AD131" s="31">
        <f>330000+108523</f>
        <v>438523</v>
      </c>
      <c r="AE131" s="31"/>
      <c r="AF131" s="31">
        <f t="shared" si="4"/>
        <v>438523</v>
      </c>
      <c r="AG131" s="207"/>
      <c r="AH131" s="208"/>
      <c r="AI131" s="151">
        <f>294647+108523</f>
        <v>403170</v>
      </c>
      <c r="AJ131" s="152"/>
      <c r="AK131" s="114"/>
      <c r="AL131" s="99">
        <f t="shared" si="5"/>
        <v>403170</v>
      </c>
      <c r="AM131" s="31"/>
      <c r="AN131" s="31">
        <f t="shared" si="6"/>
        <v>-35353</v>
      </c>
      <c r="AO131" s="31"/>
      <c r="AP131" s="31"/>
      <c r="AQ131" s="31">
        <f t="shared" si="7"/>
        <v>-35353</v>
      </c>
      <c r="AR131" s="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8"/>
      <c r="CD131" s="8"/>
    </row>
    <row r="132" spans="1:82" ht="30" customHeight="1" x14ac:dyDescent="0.25">
      <c r="A132" s="25"/>
      <c r="B132" s="248" t="s">
        <v>171</v>
      </c>
      <c r="C132" s="249"/>
      <c r="D132" s="249"/>
      <c r="E132" s="250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4"/>
      <c r="AD132" s="105">
        <f>SUM(AD133:AD136)</f>
        <v>3036130</v>
      </c>
      <c r="AE132" s="105"/>
      <c r="AF132" s="105">
        <f t="shared" si="4"/>
        <v>3036130</v>
      </c>
      <c r="AG132" s="216"/>
      <c r="AH132" s="217"/>
      <c r="AI132" s="159">
        <f>SUM(AI133:AI136)</f>
        <v>3032914</v>
      </c>
      <c r="AJ132" s="160">
        <f>SUM(AJ133:AJ136)</f>
        <v>0</v>
      </c>
      <c r="AK132" s="117"/>
      <c r="AL132" s="116">
        <f t="shared" si="5"/>
        <v>3032914</v>
      </c>
      <c r="AM132" s="105"/>
      <c r="AN132" s="105">
        <f t="shared" si="6"/>
        <v>-3216</v>
      </c>
      <c r="AO132" s="105"/>
      <c r="AP132" s="105"/>
      <c r="AQ132" s="105">
        <f t="shared" si="7"/>
        <v>-3216</v>
      </c>
      <c r="AR132" s="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8"/>
      <c r="CD132" s="8"/>
    </row>
    <row r="133" spans="1:82" ht="33.75" customHeight="1" x14ac:dyDescent="0.25">
      <c r="A133" s="58" t="s">
        <v>388</v>
      </c>
      <c r="B133" s="221" t="s">
        <v>172</v>
      </c>
      <c r="C133" s="222"/>
      <c r="D133" s="222"/>
      <c r="E133" s="223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89"/>
      <c r="AD133" s="31">
        <v>947716</v>
      </c>
      <c r="AE133" s="31"/>
      <c r="AF133" s="31">
        <f t="shared" si="4"/>
        <v>947716</v>
      </c>
      <c r="AG133" s="207"/>
      <c r="AH133" s="208"/>
      <c r="AI133" s="151">
        <v>945000</v>
      </c>
      <c r="AJ133" s="152"/>
      <c r="AK133" s="114"/>
      <c r="AL133" s="99">
        <f t="shared" si="5"/>
        <v>945000</v>
      </c>
      <c r="AM133" s="31"/>
      <c r="AN133" s="31">
        <f t="shared" si="6"/>
        <v>-2716</v>
      </c>
      <c r="AO133" s="31"/>
      <c r="AP133" s="31"/>
      <c r="AQ133" s="31">
        <f t="shared" si="7"/>
        <v>-2716</v>
      </c>
      <c r="AR133" s="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8"/>
      <c r="CD133" s="8"/>
    </row>
    <row r="134" spans="1:82" ht="34.5" customHeight="1" x14ac:dyDescent="0.25">
      <c r="A134" s="58" t="s">
        <v>389</v>
      </c>
      <c r="B134" s="221" t="s">
        <v>173</v>
      </c>
      <c r="C134" s="222"/>
      <c r="D134" s="222"/>
      <c r="E134" s="223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89"/>
      <c r="AD134" s="31">
        <v>1489914</v>
      </c>
      <c r="AE134" s="31"/>
      <c r="AF134" s="31">
        <f t="shared" si="4"/>
        <v>1489914</v>
      </c>
      <c r="AG134" s="207"/>
      <c r="AH134" s="208"/>
      <c r="AI134" s="151">
        <v>1489914</v>
      </c>
      <c r="AJ134" s="152"/>
      <c r="AK134" s="114"/>
      <c r="AL134" s="99">
        <f t="shared" si="5"/>
        <v>1489914</v>
      </c>
      <c r="AM134" s="31"/>
      <c r="AN134" s="31">
        <f t="shared" si="6"/>
        <v>0</v>
      </c>
      <c r="AO134" s="31"/>
      <c r="AP134" s="31"/>
      <c r="AQ134" s="31">
        <f t="shared" si="7"/>
        <v>0</v>
      </c>
      <c r="AR134" s="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8"/>
      <c r="CD134" s="8"/>
    </row>
    <row r="135" spans="1:82" ht="31.5" customHeight="1" x14ac:dyDescent="0.25">
      <c r="A135" s="58" t="s">
        <v>390</v>
      </c>
      <c r="B135" s="221" t="s">
        <v>174</v>
      </c>
      <c r="C135" s="222"/>
      <c r="D135" s="222"/>
      <c r="E135" s="223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89"/>
      <c r="AD135" s="31">
        <v>450000</v>
      </c>
      <c r="AE135" s="31"/>
      <c r="AF135" s="31">
        <f t="shared" si="4"/>
        <v>450000</v>
      </c>
      <c r="AG135" s="207"/>
      <c r="AH135" s="208"/>
      <c r="AI135" s="151">
        <v>450000</v>
      </c>
      <c r="AJ135" s="152"/>
      <c r="AK135" s="114"/>
      <c r="AL135" s="99">
        <f t="shared" si="5"/>
        <v>450000</v>
      </c>
      <c r="AM135" s="31"/>
      <c r="AN135" s="31">
        <f t="shared" si="6"/>
        <v>0</v>
      </c>
      <c r="AO135" s="31"/>
      <c r="AP135" s="31"/>
      <c r="AQ135" s="31">
        <f t="shared" si="7"/>
        <v>0</v>
      </c>
      <c r="AR135" s="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8"/>
      <c r="CD135" s="8"/>
    </row>
    <row r="136" spans="1:82" ht="31.5" customHeight="1" x14ac:dyDescent="0.25">
      <c r="A136" s="58" t="s">
        <v>391</v>
      </c>
      <c r="B136" s="221" t="s">
        <v>175</v>
      </c>
      <c r="C136" s="222"/>
      <c r="D136" s="222"/>
      <c r="E136" s="223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89"/>
      <c r="AD136" s="31">
        <v>148500</v>
      </c>
      <c r="AE136" s="31"/>
      <c r="AF136" s="31">
        <f t="shared" si="4"/>
        <v>148500</v>
      </c>
      <c r="AG136" s="207"/>
      <c r="AH136" s="208"/>
      <c r="AI136" s="151">
        <v>148000</v>
      </c>
      <c r="AJ136" s="152"/>
      <c r="AK136" s="114"/>
      <c r="AL136" s="99">
        <f t="shared" si="5"/>
        <v>148000</v>
      </c>
      <c r="AM136" s="31"/>
      <c r="AN136" s="31">
        <f t="shared" si="6"/>
        <v>-500</v>
      </c>
      <c r="AO136" s="31"/>
      <c r="AP136" s="31"/>
      <c r="AQ136" s="31">
        <f t="shared" si="7"/>
        <v>-500</v>
      </c>
      <c r="AR136" s="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8"/>
      <c r="CD136" s="8"/>
    </row>
    <row r="137" spans="1:82" ht="45.75" customHeight="1" x14ac:dyDescent="0.25">
      <c r="A137" s="57">
        <v>4</v>
      </c>
      <c r="B137" s="233" t="s">
        <v>176</v>
      </c>
      <c r="C137" s="234"/>
      <c r="D137" s="234"/>
      <c r="E137" s="235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89"/>
      <c r="AD137" s="30">
        <f>SUM(AD138:AD146)</f>
        <v>11355280</v>
      </c>
      <c r="AE137" s="30"/>
      <c r="AF137" s="30">
        <f t="shared" si="4"/>
        <v>11355280</v>
      </c>
      <c r="AG137" s="207"/>
      <c r="AH137" s="208"/>
      <c r="AI137" s="161">
        <f>SUM(AI138:AI146)</f>
        <v>11311747.140000001</v>
      </c>
      <c r="AJ137" s="162"/>
      <c r="AK137" s="119"/>
      <c r="AL137" s="107">
        <f t="shared" si="5"/>
        <v>11311747.140000001</v>
      </c>
      <c r="AM137" s="30"/>
      <c r="AN137" s="30">
        <f t="shared" si="6"/>
        <v>-43532.859999999404</v>
      </c>
      <c r="AO137" s="30"/>
      <c r="AP137" s="30"/>
      <c r="AQ137" s="30">
        <f t="shared" si="7"/>
        <v>-43532.859999999404</v>
      </c>
      <c r="AR137" s="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8"/>
      <c r="CD137" s="8"/>
    </row>
    <row r="138" spans="1:82" ht="30.75" customHeight="1" x14ac:dyDescent="0.25">
      <c r="A138" s="58" t="s">
        <v>392</v>
      </c>
      <c r="B138" s="227" t="s">
        <v>177</v>
      </c>
      <c r="C138" s="228"/>
      <c r="D138" s="228"/>
      <c r="E138" s="229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89"/>
      <c r="AD138" s="31">
        <v>3156000</v>
      </c>
      <c r="AE138" s="31"/>
      <c r="AF138" s="31">
        <f t="shared" si="4"/>
        <v>3156000</v>
      </c>
      <c r="AG138" s="207"/>
      <c r="AH138" s="208"/>
      <c r="AI138" s="151">
        <v>3154200</v>
      </c>
      <c r="AJ138" s="152"/>
      <c r="AK138" s="114"/>
      <c r="AL138" s="99">
        <f t="shared" si="5"/>
        <v>3154200</v>
      </c>
      <c r="AM138" s="31"/>
      <c r="AN138" s="31">
        <f t="shared" si="6"/>
        <v>-1800</v>
      </c>
      <c r="AO138" s="31"/>
      <c r="AP138" s="31"/>
      <c r="AQ138" s="31">
        <f t="shared" si="7"/>
        <v>-1800</v>
      </c>
      <c r="AR138" s="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8"/>
      <c r="CD138" s="8"/>
    </row>
    <row r="139" spans="1:82" ht="31.5" customHeight="1" x14ac:dyDescent="0.25">
      <c r="A139" s="58" t="s">
        <v>393</v>
      </c>
      <c r="B139" s="227" t="s">
        <v>178</v>
      </c>
      <c r="C139" s="228"/>
      <c r="D139" s="228"/>
      <c r="E139" s="229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89"/>
      <c r="AD139" s="31">
        <v>2684000</v>
      </c>
      <c r="AE139" s="31"/>
      <c r="AF139" s="31">
        <f t="shared" si="4"/>
        <v>2684000</v>
      </c>
      <c r="AG139" s="207"/>
      <c r="AH139" s="208"/>
      <c r="AI139" s="151">
        <v>2683338</v>
      </c>
      <c r="AJ139" s="152"/>
      <c r="AK139" s="114"/>
      <c r="AL139" s="99">
        <f t="shared" si="5"/>
        <v>2683338</v>
      </c>
      <c r="AM139" s="31"/>
      <c r="AN139" s="31">
        <f t="shared" si="6"/>
        <v>-662</v>
      </c>
      <c r="AO139" s="31"/>
      <c r="AP139" s="31"/>
      <c r="AQ139" s="31">
        <f t="shared" si="7"/>
        <v>-662</v>
      </c>
      <c r="AR139" s="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8"/>
      <c r="CD139" s="8"/>
    </row>
    <row r="140" spans="1:82" ht="31.5" customHeight="1" x14ac:dyDescent="0.25">
      <c r="A140" s="58" t="s">
        <v>394</v>
      </c>
      <c r="B140" s="227" t="s">
        <v>179</v>
      </c>
      <c r="C140" s="228"/>
      <c r="D140" s="228"/>
      <c r="E140" s="229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89"/>
      <c r="AD140" s="31">
        <v>240000</v>
      </c>
      <c r="AE140" s="31"/>
      <c r="AF140" s="31">
        <f t="shared" si="4"/>
        <v>240000</v>
      </c>
      <c r="AG140" s="207"/>
      <c r="AH140" s="208"/>
      <c r="AI140" s="151">
        <v>240000</v>
      </c>
      <c r="AJ140" s="152"/>
      <c r="AK140" s="114"/>
      <c r="AL140" s="99">
        <f t="shared" si="5"/>
        <v>240000</v>
      </c>
      <c r="AM140" s="31"/>
      <c r="AN140" s="31">
        <f t="shared" si="6"/>
        <v>0</v>
      </c>
      <c r="AO140" s="31"/>
      <c r="AP140" s="31"/>
      <c r="AQ140" s="31">
        <f t="shared" si="7"/>
        <v>0</v>
      </c>
      <c r="AR140" s="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8"/>
      <c r="CD140" s="8"/>
    </row>
    <row r="141" spans="1:82" ht="31.5" customHeight="1" x14ac:dyDescent="0.25">
      <c r="A141" s="58" t="s">
        <v>395</v>
      </c>
      <c r="B141" s="227" t="s">
        <v>180</v>
      </c>
      <c r="C141" s="228"/>
      <c r="D141" s="228"/>
      <c r="E141" s="229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89"/>
      <c r="AD141" s="31">
        <v>441000</v>
      </c>
      <c r="AE141" s="31"/>
      <c r="AF141" s="31">
        <f t="shared" si="4"/>
        <v>441000</v>
      </c>
      <c r="AG141" s="207"/>
      <c r="AH141" s="208"/>
      <c r="AI141" s="151">
        <v>441000</v>
      </c>
      <c r="AJ141" s="152"/>
      <c r="AK141" s="114"/>
      <c r="AL141" s="99">
        <f t="shared" si="5"/>
        <v>441000</v>
      </c>
      <c r="AM141" s="31"/>
      <c r="AN141" s="31">
        <f t="shared" si="6"/>
        <v>0</v>
      </c>
      <c r="AO141" s="31"/>
      <c r="AP141" s="31"/>
      <c r="AQ141" s="31">
        <f t="shared" si="7"/>
        <v>0</v>
      </c>
      <c r="AR141" s="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8"/>
      <c r="CD141" s="8"/>
    </row>
    <row r="142" spans="1:82" ht="46.5" customHeight="1" x14ac:dyDescent="0.25">
      <c r="A142" s="58" t="s">
        <v>396</v>
      </c>
      <c r="B142" s="227" t="s">
        <v>181</v>
      </c>
      <c r="C142" s="228"/>
      <c r="D142" s="228"/>
      <c r="E142" s="229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89"/>
      <c r="AD142" s="31">
        <v>1812000</v>
      </c>
      <c r="AE142" s="31"/>
      <c r="AF142" s="31">
        <f t="shared" si="4"/>
        <v>1812000</v>
      </c>
      <c r="AG142" s="207"/>
      <c r="AH142" s="208"/>
      <c r="AI142" s="151">
        <v>1782420</v>
      </c>
      <c r="AJ142" s="152"/>
      <c r="AK142" s="114"/>
      <c r="AL142" s="99">
        <f t="shared" si="5"/>
        <v>1782420</v>
      </c>
      <c r="AM142" s="31"/>
      <c r="AN142" s="31">
        <f t="shared" si="6"/>
        <v>-29580</v>
      </c>
      <c r="AO142" s="31"/>
      <c r="AP142" s="31"/>
      <c r="AQ142" s="31">
        <f t="shared" si="7"/>
        <v>-29580</v>
      </c>
      <c r="AR142" s="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8"/>
      <c r="CD142" s="8"/>
    </row>
    <row r="143" spans="1:82" ht="21" customHeight="1" x14ac:dyDescent="0.25">
      <c r="A143" s="58" t="s">
        <v>397</v>
      </c>
      <c r="B143" s="227" t="s">
        <v>182</v>
      </c>
      <c r="C143" s="228"/>
      <c r="D143" s="228"/>
      <c r="E143" s="229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89"/>
      <c r="AD143" s="31">
        <v>1140000</v>
      </c>
      <c r="AE143" s="31"/>
      <c r="AF143" s="31">
        <f t="shared" si="4"/>
        <v>1140000</v>
      </c>
      <c r="AG143" s="207"/>
      <c r="AH143" s="208"/>
      <c r="AI143" s="151">
        <v>1140000</v>
      </c>
      <c r="AJ143" s="152"/>
      <c r="AK143" s="114"/>
      <c r="AL143" s="99">
        <f t="shared" si="5"/>
        <v>1140000</v>
      </c>
      <c r="AM143" s="31"/>
      <c r="AN143" s="31">
        <f t="shared" si="6"/>
        <v>0</v>
      </c>
      <c r="AO143" s="31"/>
      <c r="AP143" s="31"/>
      <c r="AQ143" s="31">
        <f t="shared" si="7"/>
        <v>0</v>
      </c>
      <c r="AR143" s="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8"/>
      <c r="CD143" s="8"/>
    </row>
    <row r="144" spans="1:82" ht="31.5" customHeight="1" x14ac:dyDescent="0.25">
      <c r="A144" s="58" t="s">
        <v>398</v>
      </c>
      <c r="B144" s="227" t="s">
        <v>183</v>
      </c>
      <c r="C144" s="228"/>
      <c r="D144" s="228"/>
      <c r="E144" s="229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89"/>
      <c r="AD144" s="31">
        <v>122280</v>
      </c>
      <c r="AE144" s="31"/>
      <c r="AF144" s="31">
        <f t="shared" si="4"/>
        <v>122280</v>
      </c>
      <c r="AG144" s="207"/>
      <c r="AH144" s="208"/>
      <c r="AI144" s="151">
        <v>122280</v>
      </c>
      <c r="AJ144" s="152"/>
      <c r="AK144" s="114"/>
      <c r="AL144" s="99">
        <f t="shared" si="5"/>
        <v>122280</v>
      </c>
      <c r="AM144" s="31"/>
      <c r="AN144" s="31">
        <f t="shared" si="6"/>
        <v>0</v>
      </c>
      <c r="AO144" s="31"/>
      <c r="AP144" s="31"/>
      <c r="AQ144" s="31">
        <f t="shared" si="7"/>
        <v>0</v>
      </c>
      <c r="AR144" s="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8"/>
      <c r="CD144" s="8"/>
    </row>
    <row r="145" spans="1:82" ht="31.5" customHeight="1" x14ac:dyDescent="0.25">
      <c r="A145" s="58" t="s">
        <v>399</v>
      </c>
      <c r="B145" s="227" t="s">
        <v>184</v>
      </c>
      <c r="C145" s="228"/>
      <c r="D145" s="228"/>
      <c r="E145" s="229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89"/>
      <c r="AD145" s="31">
        <v>1380000</v>
      </c>
      <c r="AE145" s="31"/>
      <c r="AF145" s="31">
        <f t="shared" si="4"/>
        <v>1380000</v>
      </c>
      <c r="AG145" s="207"/>
      <c r="AH145" s="208"/>
      <c r="AI145" s="151">
        <v>1380000</v>
      </c>
      <c r="AJ145" s="152"/>
      <c r="AK145" s="114"/>
      <c r="AL145" s="99">
        <f t="shared" si="5"/>
        <v>1380000</v>
      </c>
      <c r="AM145" s="31"/>
      <c r="AN145" s="31">
        <f t="shared" si="6"/>
        <v>0</v>
      </c>
      <c r="AO145" s="31"/>
      <c r="AP145" s="31"/>
      <c r="AQ145" s="31">
        <f t="shared" si="7"/>
        <v>0</v>
      </c>
      <c r="AR145" s="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8"/>
      <c r="CD145" s="8"/>
    </row>
    <row r="146" spans="1:82" ht="34.5" customHeight="1" x14ac:dyDescent="0.25">
      <c r="A146" s="58" t="s">
        <v>400</v>
      </c>
      <c r="B146" s="227" t="s">
        <v>185</v>
      </c>
      <c r="C146" s="228"/>
      <c r="D146" s="228"/>
      <c r="E146" s="229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89"/>
      <c r="AD146" s="31">
        <v>380000</v>
      </c>
      <c r="AE146" s="31"/>
      <c r="AF146" s="31">
        <f t="shared" si="4"/>
        <v>380000</v>
      </c>
      <c r="AG146" s="207"/>
      <c r="AH146" s="208"/>
      <c r="AI146" s="151">
        <v>368509.14</v>
      </c>
      <c r="AJ146" s="152"/>
      <c r="AK146" s="114"/>
      <c r="AL146" s="99">
        <f t="shared" si="5"/>
        <v>368509.14</v>
      </c>
      <c r="AM146" s="31"/>
      <c r="AN146" s="31">
        <f t="shared" si="6"/>
        <v>-11490.859999999986</v>
      </c>
      <c r="AO146" s="31"/>
      <c r="AP146" s="31"/>
      <c r="AQ146" s="31">
        <f t="shared" si="7"/>
        <v>-11490.859999999986</v>
      </c>
      <c r="AR146" s="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8"/>
      <c r="CD146" s="8"/>
    </row>
    <row r="147" spans="1:82" ht="60" customHeight="1" x14ac:dyDescent="0.25">
      <c r="A147" s="57">
        <v>5</v>
      </c>
      <c r="B147" s="233" t="s">
        <v>186</v>
      </c>
      <c r="C147" s="234"/>
      <c r="D147" s="234"/>
      <c r="E147" s="235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89"/>
      <c r="AD147" s="30">
        <f>SUM(AD148:AD152)</f>
        <v>4442375</v>
      </c>
      <c r="AE147" s="30"/>
      <c r="AF147" s="30">
        <f t="shared" si="4"/>
        <v>4442375</v>
      </c>
      <c r="AG147" s="210"/>
      <c r="AH147" s="211"/>
      <c r="AI147" s="161">
        <f>SUM(AI148:AI152)</f>
        <v>4366942.75</v>
      </c>
      <c r="AJ147" s="162"/>
      <c r="AK147" s="119"/>
      <c r="AL147" s="107">
        <f t="shared" si="5"/>
        <v>4366942.75</v>
      </c>
      <c r="AM147" s="30"/>
      <c r="AN147" s="30">
        <f t="shared" si="6"/>
        <v>-75432.25</v>
      </c>
      <c r="AO147" s="30"/>
      <c r="AP147" s="30"/>
      <c r="AQ147" s="30">
        <f t="shared" si="7"/>
        <v>-75432.25</v>
      </c>
      <c r="AR147" s="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8"/>
      <c r="CD147" s="8"/>
    </row>
    <row r="148" spans="1:82" ht="46.5" customHeight="1" x14ac:dyDescent="0.25">
      <c r="A148" s="58" t="s">
        <v>401</v>
      </c>
      <c r="B148" s="227" t="s">
        <v>187</v>
      </c>
      <c r="C148" s="228"/>
      <c r="D148" s="228"/>
      <c r="E148" s="229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89"/>
      <c r="AD148" s="31">
        <v>1230000</v>
      </c>
      <c r="AE148" s="31"/>
      <c r="AF148" s="31">
        <f t="shared" si="4"/>
        <v>1230000</v>
      </c>
      <c r="AG148" s="207"/>
      <c r="AH148" s="208"/>
      <c r="AI148" s="151">
        <v>1164567.75</v>
      </c>
      <c r="AJ148" s="152"/>
      <c r="AK148" s="114"/>
      <c r="AL148" s="99">
        <f t="shared" si="5"/>
        <v>1164567.75</v>
      </c>
      <c r="AM148" s="31"/>
      <c r="AN148" s="31">
        <f t="shared" si="6"/>
        <v>-65432.25</v>
      </c>
      <c r="AO148" s="31"/>
      <c r="AP148" s="31"/>
      <c r="AQ148" s="31">
        <f t="shared" si="7"/>
        <v>-65432.25</v>
      </c>
      <c r="AR148" s="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8"/>
      <c r="CD148" s="8"/>
    </row>
    <row r="149" spans="1:82" ht="31.5" customHeight="1" x14ac:dyDescent="0.25">
      <c r="A149" s="58" t="s">
        <v>402</v>
      </c>
      <c r="B149" s="227" t="s">
        <v>188</v>
      </c>
      <c r="C149" s="228"/>
      <c r="D149" s="228"/>
      <c r="E149" s="229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89"/>
      <c r="AD149" s="31">
        <v>249375</v>
      </c>
      <c r="AE149" s="31"/>
      <c r="AF149" s="31">
        <f t="shared" si="4"/>
        <v>249375</v>
      </c>
      <c r="AG149" s="207"/>
      <c r="AH149" s="208"/>
      <c r="AI149" s="151">
        <v>249375</v>
      </c>
      <c r="AJ149" s="152"/>
      <c r="AK149" s="114"/>
      <c r="AL149" s="99">
        <f t="shared" si="5"/>
        <v>249375</v>
      </c>
      <c r="AM149" s="31"/>
      <c r="AN149" s="31">
        <f t="shared" si="6"/>
        <v>0</v>
      </c>
      <c r="AO149" s="31"/>
      <c r="AP149" s="31"/>
      <c r="AQ149" s="31">
        <f t="shared" si="7"/>
        <v>0</v>
      </c>
      <c r="AR149" s="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59"/>
      <c r="CB149" s="59"/>
      <c r="CC149" s="8"/>
      <c r="CD149" s="8"/>
    </row>
    <row r="150" spans="1:82" ht="32.25" customHeight="1" x14ac:dyDescent="0.25">
      <c r="A150" s="58" t="s">
        <v>403</v>
      </c>
      <c r="B150" s="227" t="s">
        <v>189</v>
      </c>
      <c r="C150" s="228"/>
      <c r="D150" s="228"/>
      <c r="E150" s="229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89"/>
      <c r="AD150" s="31">
        <v>49000</v>
      </c>
      <c r="AE150" s="31"/>
      <c r="AF150" s="31">
        <f t="shared" si="4"/>
        <v>49000</v>
      </c>
      <c r="AG150" s="207"/>
      <c r="AH150" s="208"/>
      <c r="AI150" s="151">
        <v>49000</v>
      </c>
      <c r="AJ150" s="152"/>
      <c r="AK150" s="114"/>
      <c r="AL150" s="99">
        <f t="shared" si="5"/>
        <v>49000</v>
      </c>
      <c r="AM150" s="31"/>
      <c r="AN150" s="31">
        <f t="shared" si="6"/>
        <v>0</v>
      </c>
      <c r="AO150" s="31"/>
      <c r="AP150" s="31"/>
      <c r="AQ150" s="31">
        <f t="shared" si="7"/>
        <v>0</v>
      </c>
      <c r="AR150" s="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59"/>
      <c r="CB150" s="59"/>
      <c r="CC150" s="8"/>
      <c r="CD150" s="8"/>
    </row>
    <row r="151" spans="1:82" ht="20.25" customHeight="1" x14ac:dyDescent="0.25">
      <c r="A151" s="58" t="s">
        <v>404</v>
      </c>
      <c r="B151" s="227" t="s">
        <v>190</v>
      </c>
      <c r="C151" s="228"/>
      <c r="D151" s="228"/>
      <c r="E151" s="229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89"/>
      <c r="AD151" s="31">
        <v>314000</v>
      </c>
      <c r="AE151" s="31"/>
      <c r="AF151" s="31">
        <f t="shared" si="4"/>
        <v>314000</v>
      </c>
      <c r="AG151" s="207"/>
      <c r="AH151" s="208"/>
      <c r="AI151" s="151">
        <v>314000</v>
      </c>
      <c r="AJ151" s="152"/>
      <c r="AK151" s="114"/>
      <c r="AL151" s="99">
        <f t="shared" si="5"/>
        <v>314000</v>
      </c>
      <c r="AM151" s="31"/>
      <c r="AN151" s="31">
        <f t="shared" si="6"/>
        <v>0</v>
      </c>
      <c r="AO151" s="31"/>
      <c r="AP151" s="31"/>
      <c r="AQ151" s="31">
        <f t="shared" si="7"/>
        <v>0</v>
      </c>
      <c r="AR151" s="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59"/>
      <c r="CB151" s="59"/>
      <c r="CC151" s="8"/>
      <c r="CD151" s="8"/>
    </row>
    <row r="152" spans="1:82" ht="31.5" customHeight="1" x14ac:dyDescent="0.25">
      <c r="A152" s="58" t="s">
        <v>405</v>
      </c>
      <c r="B152" s="227" t="s">
        <v>191</v>
      </c>
      <c r="C152" s="228"/>
      <c r="D152" s="228"/>
      <c r="E152" s="229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89"/>
      <c r="AD152" s="31">
        <v>2600000</v>
      </c>
      <c r="AE152" s="31"/>
      <c r="AF152" s="31">
        <f t="shared" si="4"/>
        <v>2600000</v>
      </c>
      <c r="AG152" s="207"/>
      <c r="AH152" s="208"/>
      <c r="AI152" s="151">
        <v>2590000</v>
      </c>
      <c r="AJ152" s="152"/>
      <c r="AK152" s="114"/>
      <c r="AL152" s="99">
        <f t="shared" si="5"/>
        <v>2590000</v>
      </c>
      <c r="AM152" s="31"/>
      <c r="AN152" s="31">
        <f t="shared" si="6"/>
        <v>-10000</v>
      </c>
      <c r="AO152" s="31"/>
      <c r="AP152" s="31"/>
      <c r="AQ152" s="31">
        <f t="shared" si="7"/>
        <v>-10000</v>
      </c>
      <c r="AR152" s="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8"/>
      <c r="CD152" s="8"/>
    </row>
    <row r="153" spans="1:82" ht="31.5" customHeight="1" x14ac:dyDescent="0.25">
      <c r="A153" s="57">
        <v>6</v>
      </c>
      <c r="B153" s="230" t="s">
        <v>192</v>
      </c>
      <c r="C153" s="231"/>
      <c r="D153" s="231"/>
      <c r="E153" s="232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89"/>
      <c r="AD153" s="30">
        <f>SUM(AD154:AD158)</f>
        <v>2365985</v>
      </c>
      <c r="AE153" s="30"/>
      <c r="AF153" s="30">
        <f t="shared" si="4"/>
        <v>2365985</v>
      </c>
      <c r="AG153" s="207"/>
      <c r="AH153" s="208"/>
      <c r="AI153" s="161">
        <f>SUM(AI154:AI158)</f>
        <v>2313581.5</v>
      </c>
      <c r="AJ153" s="162"/>
      <c r="AK153" s="119"/>
      <c r="AL153" s="107">
        <f t="shared" si="5"/>
        <v>2313581.5</v>
      </c>
      <c r="AM153" s="30"/>
      <c r="AN153" s="30">
        <f t="shared" si="6"/>
        <v>-52403.5</v>
      </c>
      <c r="AO153" s="30"/>
      <c r="AP153" s="30"/>
      <c r="AQ153" s="30">
        <f t="shared" si="7"/>
        <v>-52403.5</v>
      </c>
      <c r="AR153" s="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8"/>
      <c r="CD153" s="8"/>
    </row>
    <row r="154" spans="1:82" ht="75.75" customHeight="1" x14ac:dyDescent="0.25">
      <c r="A154" s="58" t="s">
        <v>406</v>
      </c>
      <c r="B154" s="221" t="s">
        <v>193</v>
      </c>
      <c r="C154" s="222"/>
      <c r="D154" s="222"/>
      <c r="E154" s="223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89"/>
      <c r="AD154" s="31">
        <v>1814685</v>
      </c>
      <c r="AE154" s="31"/>
      <c r="AF154" s="31">
        <f t="shared" si="4"/>
        <v>1814685</v>
      </c>
      <c r="AG154" s="207"/>
      <c r="AH154" s="208"/>
      <c r="AI154" s="151">
        <v>1763281.5</v>
      </c>
      <c r="AJ154" s="152"/>
      <c r="AK154" s="114"/>
      <c r="AL154" s="99">
        <f t="shared" si="5"/>
        <v>1763281.5</v>
      </c>
      <c r="AM154" s="31"/>
      <c r="AN154" s="31">
        <f t="shared" si="6"/>
        <v>-51403.5</v>
      </c>
      <c r="AO154" s="31"/>
      <c r="AP154" s="31"/>
      <c r="AQ154" s="31">
        <f t="shared" si="7"/>
        <v>-51403.5</v>
      </c>
      <c r="AR154" s="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8"/>
      <c r="CD154" s="8"/>
    </row>
    <row r="155" spans="1:82" ht="31.5" customHeight="1" x14ac:dyDescent="0.25">
      <c r="A155" s="58" t="s">
        <v>407</v>
      </c>
      <c r="B155" s="221" t="s">
        <v>194</v>
      </c>
      <c r="C155" s="222"/>
      <c r="D155" s="222"/>
      <c r="E155" s="223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89"/>
      <c r="AD155" s="31">
        <v>62300</v>
      </c>
      <c r="AE155" s="31"/>
      <c r="AF155" s="31">
        <f t="shared" si="4"/>
        <v>62300</v>
      </c>
      <c r="AG155" s="207"/>
      <c r="AH155" s="208"/>
      <c r="AI155" s="151">
        <v>62300</v>
      </c>
      <c r="AJ155" s="152"/>
      <c r="AK155" s="114"/>
      <c r="AL155" s="99">
        <f t="shared" si="5"/>
        <v>62300</v>
      </c>
      <c r="AM155" s="31"/>
      <c r="AN155" s="31">
        <f t="shared" si="6"/>
        <v>0</v>
      </c>
      <c r="AO155" s="31"/>
      <c r="AP155" s="31"/>
      <c r="AQ155" s="31">
        <f t="shared" si="7"/>
        <v>0</v>
      </c>
      <c r="AR155" s="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8"/>
      <c r="CD155" s="8"/>
    </row>
    <row r="156" spans="1:82" ht="63.75" customHeight="1" x14ac:dyDescent="0.25">
      <c r="A156" s="58" t="s">
        <v>408</v>
      </c>
      <c r="B156" s="221" t="s">
        <v>195</v>
      </c>
      <c r="C156" s="222"/>
      <c r="D156" s="222"/>
      <c r="E156" s="223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89"/>
      <c r="AD156" s="31">
        <v>205000</v>
      </c>
      <c r="AE156" s="31"/>
      <c r="AF156" s="31">
        <f t="shared" si="4"/>
        <v>205000</v>
      </c>
      <c r="AG156" s="207"/>
      <c r="AH156" s="208"/>
      <c r="AI156" s="151">
        <v>204000</v>
      </c>
      <c r="AJ156" s="152"/>
      <c r="AK156" s="114"/>
      <c r="AL156" s="99">
        <f t="shared" si="5"/>
        <v>204000</v>
      </c>
      <c r="AM156" s="31"/>
      <c r="AN156" s="31">
        <f t="shared" si="6"/>
        <v>-1000</v>
      </c>
      <c r="AO156" s="31"/>
      <c r="AP156" s="31"/>
      <c r="AQ156" s="31">
        <f t="shared" si="7"/>
        <v>-1000</v>
      </c>
      <c r="AR156" s="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8"/>
      <c r="CD156" s="8"/>
    </row>
    <row r="157" spans="1:82" ht="33" customHeight="1" x14ac:dyDescent="0.25">
      <c r="A157" s="58" t="s">
        <v>409</v>
      </c>
      <c r="B157" s="221" t="s">
        <v>196</v>
      </c>
      <c r="C157" s="222"/>
      <c r="D157" s="222"/>
      <c r="E157" s="223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89"/>
      <c r="AD157" s="31">
        <v>250000</v>
      </c>
      <c r="AE157" s="31"/>
      <c r="AF157" s="31">
        <f t="shared" si="4"/>
        <v>250000</v>
      </c>
      <c r="AG157" s="207"/>
      <c r="AH157" s="208"/>
      <c r="AI157" s="151">
        <v>250000</v>
      </c>
      <c r="AJ157" s="152"/>
      <c r="AK157" s="114"/>
      <c r="AL157" s="99">
        <f t="shared" si="5"/>
        <v>250000</v>
      </c>
      <c r="AM157" s="31"/>
      <c r="AN157" s="31">
        <f t="shared" si="6"/>
        <v>0</v>
      </c>
      <c r="AO157" s="31"/>
      <c r="AP157" s="31"/>
      <c r="AQ157" s="31">
        <f t="shared" si="7"/>
        <v>0</v>
      </c>
      <c r="AR157" s="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8"/>
      <c r="CD157" s="8"/>
    </row>
    <row r="158" spans="1:82" ht="33.75" customHeight="1" x14ac:dyDescent="0.25">
      <c r="A158" s="58" t="s">
        <v>410</v>
      </c>
      <c r="B158" s="218" t="s">
        <v>197</v>
      </c>
      <c r="C158" s="219"/>
      <c r="D158" s="219"/>
      <c r="E158" s="220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89"/>
      <c r="AD158" s="31">
        <v>34000</v>
      </c>
      <c r="AE158" s="31"/>
      <c r="AF158" s="31">
        <f t="shared" si="4"/>
        <v>34000</v>
      </c>
      <c r="AG158" s="207"/>
      <c r="AH158" s="208"/>
      <c r="AI158" s="151">
        <v>34000</v>
      </c>
      <c r="AJ158" s="152"/>
      <c r="AK158" s="114"/>
      <c r="AL158" s="99">
        <f t="shared" si="5"/>
        <v>34000</v>
      </c>
      <c r="AM158" s="31"/>
      <c r="AN158" s="31">
        <f t="shared" si="6"/>
        <v>0</v>
      </c>
      <c r="AO158" s="31"/>
      <c r="AP158" s="31"/>
      <c r="AQ158" s="31">
        <f t="shared" si="7"/>
        <v>0</v>
      </c>
      <c r="AR158" s="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8"/>
      <c r="CD158" s="8"/>
    </row>
    <row r="159" spans="1:82" ht="52.5" customHeight="1" x14ac:dyDescent="0.25">
      <c r="A159" s="57">
        <v>7</v>
      </c>
      <c r="B159" s="224" t="s">
        <v>198</v>
      </c>
      <c r="C159" s="225"/>
      <c r="D159" s="225"/>
      <c r="E159" s="226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89"/>
      <c r="AD159" s="30">
        <f>SUM(AD160:AD162)</f>
        <v>3256678</v>
      </c>
      <c r="AE159" s="30"/>
      <c r="AF159" s="30">
        <f t="shared" si="4"/>
        <v>3256678</v>
      </c>
      <c r="AG159" s="210"/>
      <c r="AH159" s="211"/>
      <c r="AI159" s="161">
        <f>SUM(AI160:AI162)</f>
        <v>3254340</v>
      </c>
      <c r="AJ159" s="162"/>
      <c r="AK159" s="119"/>
      <c r="AL159" s="107">
        <f t="shared" si="5"/>
        <v>3254340</v>
      </c>
      <c r="AM159" s="30"/>
      <c r="AN159" s="30">
        <f t="shared" si="6"/>
        <v>-2338</v>
      </c>
      <c r="AO159" s="30"/>
      <c r="AP159" s="30"/>
      <c r="AQ159" s="30">
        <f t="shared" si="7"/>
        <v>-2338</v>
      </c>
      <c r="AR159" s="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8"/>
      <c r="CD159" s="8"/>
    </row>
    <row r="160" spans="1:82" ht="33.75" customHeight="1" x14ac:dyDescent="0.25">
      <c r="A160" s="58" t="s">
        <v>411</v>
      </c>
      <c r="B160" s="218" t="s">
        <v>199</v>
      </c>
      <c r="C160" s="219"/>
      <c r="D160" s="219"/>
      <c r="E160" s="220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89"/>
      <c r="AD160" s="31">
        <v>435000</v>
      </c>
      <c r="AE160" s="31"/>
      <c r="AF160" s="31">
        <f t="shared" si="4"/>
        <v>435000</v>
      </c>
      <c r="AG160" s="207"/>
      <c r="AH160" s="208"/>
      <c r="AI160" s="151">
        <v>435000</v>
      </c>
      <c r="AJ160" s="152"/>
      <c r="AK160" s="114"/>
      <c r="AL160" s="99">
        <f t="shared" si="5"/>
        <v>435000</v>
      </c>
      <c r="AM160" s="31"/>
      <c r="AN160" s="31">
        <f t="shared" si="6"/>
        <v>0</v>
      </c>
      <c r="AO160" s="31"/>
      <c r="AP160" s="31"/>
      <c r="AQ160" s="31">
        <f t="shared" si="7"/>
        <v>0</v>
      </c>
      <c r="AR160" s="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8"/>
      <c r="CD160" s="8"/>
    </row>
    <row r="161" spans="1:82" ht="35.1" customHeight="1" x14ac:dyDescent="0.25">
      <c r="A161" s="58" t="s">
        <v>412</v>
      </c>
      <c r="B161" s="218" t="s">
        <v>182</v>
      </c>
      <c r="C161" s="219"/>
      <c r="D161" s="219"/>
      <c r="E161" s="220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89"/>
      <c r="AD161" s="31">
        <v>1523340</v>
      </c>
      <c r="AE161" s="31"/>
      <c r="AF161" s="31">
        <f t="shared" si="4"/>
        <v>1523340</v>
      </c>
      <c r="AG161" s="207"/>
      <c r="AH161" s="208"/>
      <c r="AI161" s="151">
        <v>1523340</v>
      </c>
      <c r="AJ161" s="152"/>
      <c r="AK161" s="114"/>
      <c r="AL161" s="99">
        <f t="shared" si="5"/>
        <v>1523340</v>
      </c>
      <c r="AM161" s="31"/>
      <c r="AN161" s="31">
        <f t="shared" si="6"/>
        <v>0</v>
      </c>
      <c r="AO161" s="31"/>
      <c r="AP161" s="31"/>
      <c r="AQ161" s="31">
        <f t="shared" si="7"/>
        <v>0</v>
      </c>
      <c r="AR161" s="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8"/>
      <c r="CD161" s="8"/>
    </row>
    <row r="162" spans="1:82" ht="35.1" customHeight="1" x14ac:dyDescent="0.25">
      <c r="A162" s="58" t="s">
        <v>413</v>
      </c>
      <c r="B162" s="218" t="s">
        <v>200</v>
      </c>
      <c r="C162" s="219"/>
      <c r="D162" s="219"/>
      <c r="E162" s="220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89"/>
      <c r="AD162" s="31">
        <v>1298338</v>
      </c>
      <c r="AE162" s="31"/>
      <c r="AF162" s="31">
        <f t="shared" si="4"/>
        <v>1298338</v>
      </c>
      <c r="AG162" s="207"/>
      <c r="AH162" s="208"/>
      <c r="AI162" s="151">
        <v>1296000</v>
      </c>
      <c r="AJ162" s="152"/>
      <c r="AK162" s="114"/>
      <c r="AL162" s="99">
        <f t="shared" si="5"/>
        <v>1296000</v>
      </c>
      <c r="AM162" s="31"/>
      <c r="AN162" s="31">
        <f t="shared" si="6"/>
        <v>-2338</v>
      </c>
      <c r="AO162" s="31"/>
      <c r="AP162" s="31"/>
      <c r="AQ162" s="31">
        <f t="shared" si="7"/>
        <v>-2338</v>
      </c>
      <c r="AR162" s="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8"/>
      <c r="CD162" s="8"/>
    </row>
    <row r="163" spans="1:82" s="17" customFormat="1" ht="54.75" customHeight="1" x14ac:dyDescent="0.2">
      <c r="A163" s="57">
        <v>8</v>
      </c>
      <c r="B163" s="306" t="s">
        <v>64</v>
      </c>
      <c r="C163" s="307"/>
      <c r="D163" s="307"/>
      <c r="E163" s="308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30"/>
      <c r="AD163" s="30">
        <f>SUM(AD164:AE168)</f>
        <v>25157745</v>
      </c>
      <c r="AE163" s="30"/>
      <c r="AF163" s="30">
        <f t="shared" ref="AF163:AF168" si="8">AD163</f>
        <v>25157745</v>
      </c>
      <c r="AG163" s="301"/>
      <c r="AH163" s="301"/>
      <c r="AI163" s="300">
        <f>SUM(AI164:AJ168)</f>
        <v>24999959.690000001</v>
      </c>
      <c r="AJ163" s="300"/>
      <c r="AK163" s="30"/>
      <c r="AL163" s="30">
        <f t="shared" ref="AL163:AL172" si="9">AG163+AI163</f>
        <v>24999959.690000001</v>
      </c>
      <c r="AM163" s="30"/>
      <c r="AN163" s="30">
        <f t="shared" ref="AN163:AN172" si="10">AI163-AD163</f>
        <v>-157785.30999999866</v>
      </c>
      <c r="AO163" s="30"/>
      <c r="AP163" s="30"/>
      <c r="AQ163" s="30">
        <f t="shared" ref="AQ163:AQ172" si="11">AM163+AN163</f>
        <v>-157785.30999999866</v>
      </c>
      <c r="AR163" s="18"/>
      <c r="AS163" s="18"/>
      <c r="AT163" s="18"/>
      <c r="AU163" s="18"/>
      <c r="AV163" s="18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18"/>
      <c r="CD163" s="18"/>
    </row>
    <row r="164" spans="1:82" ht="49.5" customHeight="1" x14ac:dyDescent="0.25">
      <c r="A164" s="58" t="s">
        <v>313</v>
      </c>
      <c r="B164" s="187" t="s">
        <v>201</v>
      </c>
      <c r="C164" s="201"/>
      <c r="D164" s="201"/>
      <c r="E164" s="202"/>
      <c r="F164" s="85" t="s">
        <v>68</v>
      </c>
      <c r="G164" s="85" t="s">
        <v>68</v>
      </c>
      <c r="H164" s="85" t="s">
        <v>68</v>
      </c>
      <c r="I164" s="85" t="s">
        <v>68</v>
      </c>
      <c r="J164" s="85" t="s">
        <v>68</v>
      </c>
      <c r="K164" s="85" t="s">
        <v>68</v>
      </c>
      <c r="L164" s="85" t="s">
        <v>68</v>
      </c>
      <c r="M164" s="85" t="s">
        <v>68</v>
      </c>
      <c r="N164" s="85" t="s">
        <v>68</v>
      </c>
      <c r="O164" s="85" t="s">
        <v>68</v>
      </c>
      <c r="P164" s="85" t="s">
        <v>68</v>
      </c>
      <c r="Q164" s="85" t="s">
        <v>68</v>
      </c>
      <c r="R164" s="85" t="s">
        <v>68</v>
      </c>
      <c r="S164" s="85" t="s">
        <v>68</v>
      </c>
      <c r="T164" s="85" t="s">
        <v>68</v>
      </c>
      <c r="U164" s="85" t="s">
        <v>68</v>
      </c>
      <c r="V164" s="85" t="s">
        <v>68</v>
      </c>
      <c r="W164" s="85" t="s">
        <v>68</v>
      </c>
      <c r="X164" s="85" t="s">
        <v>68</v>
      </c>
      <c r="Y164" s="85" t="s">
        <v>68</v>
      </c>
      <c r="Z164" s="85" t="s">
        <v>68</v>
      </c>
      <c r="AA164" s="85" t="s">
        <v>68</v>
      </c>
      <c r="AB164" s="85" t="s">
        <v>68</v>
      </c>
      <c r="AC164" s="31"/>
      <c r="AD164" s="284">
        <v>4500000</v>
      </c>
      <c r="AE164" s="285"/>
      <c r="AF164" s="31">
        <f t="shared" si="8"/>
        <v>4500000</v>
      </c>
      <c r="AG164" s="209"/>
      <c r="AH164" s="209"/>
      <c r="AI164" s="212">
        <v>4498589.6900000004</v>
      </c>
      <c r="AJ164" s="212"/>
      <c r="AK164" s="79"/>
      <c r="AL164" s="31">
        <f t="shared" si="9"/>
        <v>4498589.6900000004</v>
      </c>
      <c r="AM164" s="31"/>
      <c r="AN164" s="31">
        <f t="shared" si="10"/>
        <v>-1410.3099999995902</v>
      </c>
      <c r="AO164" s="31"/>
      <c r="AP164" s="31"/>
      <c r="AQ164" s="31">
        <f t="shared" si="11"/>
        <v>-1410.3099999995902</v>
      </c>
      <c r="AR164" s="8"/>
      <c r="AS164" s="8"/>
      <c r="AT164" s="27"/>
      <c r="AU164" s="8"/>
      <c r="AV164" s="8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8"/>
      <c r="CD164" s="8"/>
    </row>
    <row r="165" spans="1:82" ht="32.25" customHeight="1" x14ac:dyDescent="0.25">
      <c r="A165" s="58" t="s">
        <v>314</v>
      </c>
      <c r="B165" s="187" t="s">
        <v>202</v>
      </c>
      <c r="C165" s="201"/>
      <c r="D165" s="201"/>
      <c r="E165" s="202"/>
      <c r="F165" s="85" t="s">
        <v>69</v>
      </c>
      <c r="G165" s="85" t="s">
        <v>69</v>
      </c>
      <c r="H165" s="85" t="s">
        <v>69</v>
      </c>
      <c r="I165" s="85" t="s">
        <v>69</v>
      </c>
      <c r="J165" s="85" t="s">
        <v>69</v>
      </c>
      <c r="K165" s="85" t="s">
        <v>69</v>
      </c>
      <c r="L165" s="85" t="s">
        <v>69</v>
      </c>
      <c r="M165" s="85" t="s">
        <v>69</v>
      </c>
      <c r="N165" s="85" t="s">
        <v>69</v>
      </c>
      <c r="O165" s="85" t="s">
        <v>69</v>
      </c>
      <c r="P165" s="85" t="s">
        <v>69</v>
      </c>
      <c r="Q165" s="85" t="s">
        <v>69</v>
      </c>
      <c r="R165" s="85" t="s">
        <v>69</v>
      </c>
      <c r="S165" s="85" t="s">
        <v>69</v>
      </c>
      <c r="T165" s="85" t="s">
        <v>69</v>
      </c>
      <c r="U165" s="85" t="s">
        <v>69</v>
      </c>
      <c r="V165" s="85" t="s">
        <v>69</v>
      </c>
      <c r="W165" s="85" t="s">
        <v>69</v>
      </c>
      <c r="X165" s="85" t="s">
        <v>69</v>
      </c>
      <c r="Y165" s="85" t="s">
        <v>69</v>
      </c>
      <c r="Z165" s="85" t="s">
        <v>69</v>
      </c>
      <c r="AA165" s="85" t="s">
        <v>69</v>
      </c>
      <c r="AB165" s="85" t="s">
        <v>69</v>
      </c>
      <c r="AC165" s="31"/>
      <c r="AD165" s="151">
        <f>4800000+6210000</f>
        <v>11010000</v>
      </c>
      <c r="AE165" s="152"/>
      <c r="AF165" s="31">
        <f t="shared" si="8"/>
        <v>11010000</v>
      </c>
      <c r="AG165" s="209"/>
      <c r="AH165" s="209"/>
      <c r="AI165" s="212">
        <f>4800000+6210000</f>
        <v>11010000</v>
      </c>
      <c r="AJ165" s="212"/>
      <c r="AK165" s="31"/>
      <c r="AL165" s="31">
        <f>AG166+AI165</f>
        <v>11010000</v>
      </c>
      <c r="AM165" s="31"/>
      <c r="AN165" s="31">
        <f t="shared" si="10"/>
        <v>0</v>
      </c>
      <c r="AO165" s="31"/>
      <c r="AP165" s="31"/>
      <c r="AQ165" s="31">
        <f t="shared" si="11"/>
        <v>0</v>
      </c>
      <c r="AR165" s="8"/>
      <c r="AS165" s="8"/>
      <c r="AT165" s="28"/>
      <c r="AU165" s="8"/>
      <c r="AV165" s="8"/>
      <c r="AW165" s="146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  <c r="BI165" s="146"/>
      <c r="BJ165" s="146"/>
      <c r="BK165" s="146"/>
      <c r="BL165" s="146"/>
      <c r="BM165" s="146"/>
      <c r="BN165" s="146"/>
      <c r="BO165" s="146"/>
      <c r="BP165" s="146"/>
      <c r="BQ165" s="146"/>
      <c r="BR165" s="146"/>
      <c r="BS165" s="146"/>
      <c r="BT165" s="146"/>
      <c r="BU165" s="146"/>
      <c r="BV165" s="146"/>
      <c r="BW165" s="146"/>
      <c r="BX165" s="146"/>
      <c r="BY165" s="146"/>
      <c r="BZ165" s="146"/>
      <c r="CA165" s="146"/>
      <c r="CB165" s="146"/>
      <c r="CC165" s="8"/>
      <c r="CD165" s="8"/>
    </row>
    <row r="166" spans="1:82" ht="37.5" customHeight="1" x14ac:dyDescent="0.25">
      <c r="A166" s="58" t="s">
        <v>315</v>
      </c>
      <c r="B166" s="187" t="s">
        <v>203</v>
      </c>
      <c r="C166" s="201"/>
      <c r="D166" s="201"/>
      <c r="E166" s="202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31"/>
      <c r="AD166" s="100">
        <v>9159000</v>
      </c>
      <c r="AE166" s="101"/>
      <c r="AF166" s="31">
        <f t="shared" si="8"/>
        <v>9159000</v>
      </c>
      <c r="AG166" s="209"/>
      <c r="AH166" s="209"/>
      <c r="AI166" s="212">
        <v>9159000</v>
      </c>
      <c r="AJ166" s="212"/>
      <c r="AK166" s="31"/>
      <c r="AL166" s="31">
        <f>AG167+AI166</f>
        <v>9159000</v>
      </c>
      <c r="AM166" s="31"/>
      <c r="AN166" s="31">
        <f t="shared" si="10"/>
        <v>0</v>
      </c>
      <c r="AO166" s="31"/>
      <c r="AP166" s="31"/>
      <c r="AQ166" s="31">
        <f t="shared" si="11"/>
        <v>0</v>
      </c>
      <c r="AR166" s="8"/>
      <c r="AS166" s="8"/>
      <c r="AT166" s="28"/>
      <c r="AU166" s="8"/>
      <c r="AV166" s="8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6"/>
      <c r="BM166" s="146"/>
      <c r="BN166" s="146"/>
      <c r="BO166" s="146"/>
      <c r="BP166" s="146"/>
      <c r="BQ166" s="146"/>
      <c r="BR166" s="146"/>
      <c r="BS166" s="146"/>
      <c r="BT166" s="146"/>
      <c r="BU166" s="146"/>
      <c r="BV166" s="146"/>
      <c r="BW166" s="146"/>
      <c r="BX166" s="146"/>
      <c r="BY166" s="146"/>
      <c r="BZ166" s="146"/>
      <c r="CA166" s="146"/>
      <c r="CB166" s="146"/>
      <c r="CC166" s="8"/>
      <c r="CD166" s="8"/>
    </row>
    <row r="167" spans="1:82" ht="66.75" customHeight="1" x14ac:dyDescent="0.25">
      <c r="A167" s="58" t="s">
        <v>316</v>
      </c>
      <c r="B167" s="187" t="s">
        <v>204</v>
      </c>
      <c r="C167" s="201"/>
      <c r="D167" s="201"/>
      <c r="E167" s="202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31"/>
      <c r="AD167" s="100">
        <v>96120</v>
      </c>
      <c r="AE167" s="101"/>
      <c r="AF167" s="31">
        <f t="shared" si="8"/>
        <v>96120</v>
      </c>
      <c r="AG167" s="209"/>
      <c r="AH167" s="209"/>
      <c r="AI167" s="212">
        <v>0</v>
      </c>
      <c r="AJ167" s="212"/>
      <c r="AK167" s="31"/>
      <c r="AL167" s="31">
        <f>AG168+AI167</f>
        <v>0</v>
      </c>
      <c r="AM167" s="31"/>
      <c r="AN167" s="31">
        <f t="shared" si="10"/>
        <v>-96120</v>
      </c>
      <c r="AO167" s="31"/>
      <c r="AP167" s="31"/>
      <c r="AQ167" s="31">
        <f t="shared" si="11"/>
        <v>-96120</v>
      </c>
      <c r="AR167" s="8"/>
      <c r="AS167" s="8"/>
      <c r="AT167" s="28"/>
      <c r="AU167" s="8"/>
      <c r="AV167" s="8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6"/>
      <c r="BM167" s="146"/>
      <c r="BN167" s="146"/>
      <c r="BO167" s="146"/>
      <c r="BP167" s="146"/>
      <c r="BQ167" s="146"/>
      <c r="BR167" s="146"/>
      <c r="BS167" s="146"/>
      <c r="BT167" s="146"/>
      <c r="BU167" s="146"/>
      <c r="BV167" s="146"/>
      <c r="BW167" s="146"/>
      <c r="BX167" s="146"/>
      <c r="BY167" s="146"/>
      <c r="BZ167" s="146"/>
      <c r="CA167" s="146"/>
      <c r="CB167" s="146"/>
      <c r="CC167" s="8"/>
      <c r="CD167" s="8"/>
    </row>
    <row r="168" spans="1:82" ht="22.5" customHeight="1" x14ac:dyDescent="0.25">
      <c r="A168" s="58" t="s">
        <v>317</v>
      </c>
      <c r="B168" s="187" t="s">
        <v>205</v>
      </c>
      <c r="C168" s="201"/>
      <c r="D168" s="201"/>
      <c r="E168" s="202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31"/>
      <c r="AD168" s="100">
        <v>392625</v>
      </c>
      <c r="AE168" s="101"/>
      <c r="AF168" s="31">
        <f t="shared" si="8"/>
        <v>392625</v>
      </c>
      <c r="AG168" s="209"/>
      <c r="AH168" s="209"/>
      <c r="AI168" s="212">
        <v>332370</v>
      </c>
      <c r="AJ168" s="212"/>
      <c r="AK168" s="31"/>
      <c r="AL168" s="31">
        <f>AG169+AI168</f>
        <v>332370</v>
      </c>
      <c r="AM168" s="31"/>
      <c r="AN168" s="31">
        <f t="shared" si="10"/>
        <v>-60255</v>
      </c>
      <c r="AO168" s="31"/>
      <c r="AP168" s="31"/>
      <c r="AQ168" s="31">
        <f t="shared" si="11"/>
        <v>-60255</v>
      </c>
      <c r="AR168" s="8"/>
      <c r="AS168" s="8"/>
      <c r="AT168" s="28"/>
      <c r="AU168" s="8"/>
      <c r="AV168" s="8"/>
      <c r="AW168" s="146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6"/>
      <c r="BM168" s="146"/>
      <c r="BN168" s="146"/>
      <c r="BO168" s="146"/>
      <c r="BP168" s="146"/>
      <c r="BQ168" s="146"/>
      <c r="BR168" s="146"/>
      <c r="BS168" s="146"/>
      <c r="BT168" s="146"/>
      <c r="BU168" s="146"/>
      <c r="BV168" s="146"/>
      <c r="BW168" s="146"/>
      <c r="BX168" s="146"/>
      <c r="BY168" s="146"/>
      <c r="BZ168" s="146"/>
      <c r="CA168" s="146"/>
      <c r="CB168" s="146"/>
      <c r="CC168" s="8"/>
      <c r="CD168" s="8"/>
    </row>
    <row r="169" spans="1:82" s="17" customFormat="1" ht="53.25" customHeight="1" x14ac:dyDescent="0.2">
      <c r="A169" s="57">
        <v>9</v>
      </c>
      <c r="B169" s="306" t="s">
        <v>206</v>
      </c>
      <c r="C169" s="307"/>
      <c r="D169" s="307"/>
      <c r="E169" s="308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30"/>
      <c r="AD169" s="30">
        <f>AD170</f>
        <v>6112980</v>
      </c>
      <c r="AE169" s="30"/>
      <c r="AF169" s="30">
        <f>AC169+AD169</f>
        <v>6112980</v>
      </c>
      <c r="AG169" s="301"/>
      <c r="AH169" s="301"/>
      <c r="AI169" s="300">
        <f>AI170</f>
        <v>6112980</v>
      </c>
      <c r="AJ169" s="300">
        <f>SUM(AJ170:AJ172)</f>
        <v>0</v>
      </c>
      <c r="AK169" s="77"/>
      <c r="AL169" s="30">
        <f t="shared" si="9"/>
        <v>6112980</v>
      </c>
      <c r="AM169" s="30"/>
      <c r="AN169" s="30">
        <f t="shared" si="10"/>
        <v>0</v>
      </c>
      <c r="AO169" s="30"/>
      <c r="AP169" s="30"/>
      <c r="AQ169" s="30">
        <f>AM169+AN169</f>
        <v>0</v>
      </c>
      <c r="AR169" s="18"/>
      <c r="AS169" s="18"/>
      <c r="AT169" s="18"/>
      <c r="AU169" s="18"/>
      <c r="AV169" s="18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18"/>
      <c r="CD169" s="18"/>
    </row>
    <row r="170" spans="1:82" ht="38.25" customHeight="1" x14ac:dyDescent="0.25">
      <c r="A170" s="58" t="s">
        <v>318</v>
      </c>
      <c r="B170" s="187" t="s">
        <v>207</v>
      </c>
      <c r="C170" s="201" t="s">
        <v>81</v>
      </c>
      <c r="D170" s="201" t="s">
        <v>81</v>
      </c>
      <c r="E170" s="201" t="s">
        <v>81</v>
      </c>
      <c r="F170" s="201" t="s">
        <v>81</v>
      </c>
      <c r="G170" s="201" t="s">
        <v>81</v>
      </c>
      <c r="H170" s="201" t="s">
        <v>81</v>
      </c>
      <c r="I170" s="201" t="s">
        <v>81</v>
      </c>
      <c r="J170" s="201" t="s">
        <v>81</v>
      </c>
      <c r="K170" s="201" t="s">
        <v>81</v>
      </c>
      <c r="L170" s="201" t="s">
        <v>81</v>
      </c>
      <c r="M170" s="201" t="s">
        <v>81</v>
      </c>
      <c r="N170" s="201" t="s">
        <v>81</v>
      </c>
      <c r="O170" s="201" t="s">
        <v>81</v>
      </c>
      <c r="P170" s="201" t="s">
        <v>81</v>
      </c>
      <c r="Q170" s="201" t="s">
        <v>81</v>
      </c>
      <c r="R170" s="201" t="s">
        <v>81</v>
      </c>
      <c r="S170" s="201" t="s">
        <v>81</v>
      </c>
      <c r="T170" s="201" t="s">
        <v>81</v>
      </c>
      <c r="U170" s="201" t="s">
        <v>81</v>
      </c>
      <c r="V170" s="201" t="s">
        <v>81</v>
      </c>
      <c r="W170" s="201" t="s">
        <v>81</v>
      </c>
      <c r="X170" s="201" t="s">
        <v>81</v>
      </c>
      <c r="Y170" s="201" t="s">
        <v>81</v>
      </c>
      <c r="Z170" s="202" t="s">
        <v>81</v>
      </c>
      <c r="AA170" s="83"/>
      <c r="AB170" s="84"/>
      <c r="AC170" s="31"/>
      <c r="AD170" s="268">
        <v>6112980</v>
      </c>
      <c r="AE170" s="269"/>
      <c r="AF170" s="31">
        <f>AC170+AD170</f>
        <v>6112980</v>
      </c>
      <c r="AG170" s="209"/>
      <c r="AH170" s="209"/>
      <c r="AI170" s="151">
        <v>6112980</v>
      </c>
      <c r="AJ170" s="152"/>
      <c r="AK170" s="76"/>
      <c r="AL170" s="31">
        <f t="shared" si="9"/>
        <v>6112980</v>
      </c>
      <c r="AM170" s="31"/>
      <c r="AN170" s="31">
        <f t="shared" si="10"/>
        <v>0</v>
      </c>
      <c r="AO170" s="31"/>
      <c r="AP170" s="31"/>
      <c r="AQ170" s="31">
        <f t="shared" si="11"/>
        <v>0</v>
      </c>
      <c r="AR170" s="8"/>
      <c r="AS170" s="29"/>
      <c r="AT170" s="29"/>
      <c r="AU170" s="8"/>
      <c r="AV170" s="8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8"/>
      <c r="CD170" s="8"/>
    </row>
    <row r="171" spans="1:82" ht="33.75" customHeight="1" x14ac:dyDescent="0.25">
      <c r="A171" s="123" t="s">
        <v>311</v>
      </c>
      <c r="B171" s="196" t="s">
        <v>208</v>
      </c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8"/>
      <c r="AA171" s="83"/>
      <c r="AB171" s="84"/>
      <c r="AC171" s="31"/>
      <c r="AD171" s="263">
        <f>AD172</f>
        <v>481000</v>
      </c>
      <c r="AE171" s="264"/>
      <c r="AF171" s="30">
        <f>AC171+AD171</f>
        <v>481000</v>
      </c>
      <c r="AG171" s="209"/>
      <c r="AH171" s="209"/>
      <c r="AI171" s="161">
        <f>AI172</f>
        <v>408200</v>
      </c>
      <c r="AJ171" s="162"/>
      <c r="AK171" s="108"/>
      <c r="AL171" s="30">
        <f t="shared" si="9"/>
        <v>408200</v>
      </c>
      <c r="AM171" s="30"/>
      <c r="AN171" s="30">
        <f t="shared" si="10"/>
        <v>-72800</v>
      </c>
      <c r="AO171" s="30"/>
      <c r="AP171" s="30"/>
      <c r="AQ171" s="30">
        <f t="shared" si="11"/>
        <v>-72800</v>
      </c>
      <c r="AR171" s="8"/>
      <c r="AS171" s="26"/>
      <c r="AT171" s="26"/>
      <c r="AU171" s="8"/>
      <c r="AV171" s="8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8"/>
      <c r="CD171" s="8"/>
    </row>
    <row r="172" spans="1:82" ht="24.75" customHeight="1" x14ac:dyDescent="0.25">
      <c r="A172" s="58" t="s">
        <v>319</v>
      </c>
      <c r="B172" s="187" t="s">
        <v>209</v>
      </c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2"/>
      <c r="AA172" s="83"/>
      <c r="AB172" s="84"/>
      <c r="AC172" s="31"/>
      <c r="AD172" s="268">
        <v>481000</v>
      </c>
      <c r="AE172" s="269"/>
      <c r="AF172" s="31">
        <f>AC172+AD172</f>
        <v>481000</v>
      </c>
      <c r="AG172" s="209"/>
      <c r="AH172" s="209"/>
      <c r="AI172" s="151">
        <v>408200</v>
      </c>
      <c r="AJ172" s="152"/>
      <c r="AK172" s="76"/>
      <c r="AL172" s="31">
        <f t="shared" si="9"/>
        <v>408200</v>
      </c>
      <c r="AM172" s="31"/>
      <c r="AN172" s="31">
        <f t="shared" si="10"/>
        <v>-72800</v>
      </c>
      <c r="AO172" s="31"/>
      <c r="AP172" s="31"/>
      <c r="AQ172" s="31">
        <f t="shared" si="11"/>
        <v>-72800</v>
      </c>
      <c r="AR172" s="8"/>
      <c r="AS172" s="26"/>
      <c r="AT172" s="26"/>
      <c r="AU172" s="8"/>
      <c r="AV172" s="8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8"/>
      <c r="CD172" s="8"/>
    </row>
    <row r="173" spans="1:82" s="17" customFormat="1" ht="22.5" customHeight="1" x14ac:dyDescent="0.2">
      <c r="A173" s="57"/>
      <c r="B173" s="302" t="s">
        <v>12</v>
      </c>
      <c r="C173" s="303"/>
      <c r="D173" s="303"/>
      <c r="E173" s="30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30">
        <f>SUM(AC163:AC172)</f>
        <v>0</v>
      </c>
      <c r="AD173" s="30">
        <f>AD49+AD98+AD121+AD137+AD147+AD153+AD159+AD163+AD169+AD171</f>
        <v>321573606.60000002</v>
      </c>
      <c r="AE173" s="30"/>
      <c r="AF173" s="30">
        <f>AC173+AD173</f>
        <v>321573606.60000002</v>
      </c>
      <c r="AG173" s="301">
        <f>SUM(AG163:AH172)</f>
        <v>0</v>
      </c>
      <c r="AH173" s="301"/>
      <c r="AI173" s="300">
        <f>AI49+AI98+AI121+AI137+AI147+AI153+AI159+AI163+AI169+AI171</f>
        <v>310986606.43000001</v>
      </c>
      <c r="AJ173" s="300">
        <f>AJ49+AJ98+AJ121+AJ137+AJ147+AJ153+AJ159+AJ163+AJ169+AJ171</f>
        <v>0</v>
      </c>
      <c r="AK173" s="30"/>
      <c r="AL173" s="30">
        <f>AI173</f>
        <v>310986606.43000001</v>
      </c>
      <c r="AM173" s="30"/>
      <c r="AN173" s="30">
        <f>AN49+AN98+AN121+AN137+AN147+AN153+AN159+AN163+AN169+AN171</f>
        <v>-10587000.170000006</v>
      </c>
      <c r="AO173" s="30" t="e">
        <f>AO163+AO169+#REF!+#REF!+#REF!</f>
        <v>#REF!</v>
      </c>
      <c r="AP173" s="30"/>
      <c r="AQ173" s="30">
        <f>AM173+AN173</f>
        <v>-10587000.170000006</v>
      </c>
      <c r="AU173" s="18"/>
      <c r="AV173" s="18"/>
      <c r="AW173" s="87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</row>
    <row r="174" spans="1:82" ht="14.25" hidden="1" customHeight="1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41"/>
      <c r="AJ174" s="141"/>
      <c r="AK174" s="10"/>
      <c r="AL174" s="10"/>
      <c r="AM174" s="10"/>
      <c r="AN174" s="10"/>
      <c r="AO174" s="10"/>
      <c r="AP174" s="10"/>
      <c r="AQ174" s="112"/>
      <c r="AR174" s="10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</row>
    <row r="175" spans="1:82" ht="14.25" customHeight="1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41"/>
      <c r="AJ175" s="141"/>
      <c r="AK175" s="10"/>
      <c r="AL175" s="10"/>
      <c r="AM175" s="10"/>
      <c r="AN175" s="10"/>
      <c r="AO175" s="10"/>
      <c r="AP175" s="10"/>
      <c r="AQ175" s="112"/>
      <c r="AR175" s="10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</row>
    <row r="176" spans="1:82" ht="14.25" customHeight="1" x14ac:dyDescent="0.25">
      <c r="A176" s="90" t="s">
        <v>79</v>
      </c>
      <c r="B176" s="8"/>
      <c r="C176" s="91"/>
      <c r="D176" s="91"/>
      <c r="E176" s="91"/>
      <c r="F176" s="91"/>
      <c r="G176" s="91"/>
      <c r="H176" s="91"/>
      <c r="I176" s="92"/>
      <c r="J176" s="92"/>
      <c r="K176" s="92"/>
      <c r="L176" s="92"/>
      <c r="M176" s="92"/>
      <c r="N176" s="92"/>
      <c r="O176" s="92"/>
      <c r="P176" s="92"/>
      <c r="Q176" s="92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41"/>
      <c r="AJ176" s="141"/>
      <c r="AK176" s="10"/>
      <c r="AL176" s="10"/>
      <c r="AM176" s="10"/>
      <c r="AN176" s="10"/>
      <c r="AO176" s="10"/>
      <c r="AP176" s="10"/>
      <c r="AQ176" s="112"/>
      <c r="AR176" s="10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</row>
    <row r="177" spans="1:82" ht="14.25" customHeight="1" x14ac:dyDescent="0.25">
      <c r="B177" s="8"/>
      <c r="C177" s="91"/>
      <c r="D177" s="91"/>
      <c r="E177" s="91"/>
      <c r="F177" s="91"/>
      <c r="G177" s="91"/>
      <c r="H177" s="91"/>
      <c r="I177" s="92"/>
      <c r="J177" s="92"/>
      <c r="K177" s="92"/>
      <c r="L177" s="92"/>
      <c r="M177" s="92"/>
      <c r="N177" s="92"/>
      <c r="O177" s="92"/>
      <c r="P177" s="92"/>
      <c r="Q177" s="92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41"/>
      <c r="AJ177" s="141"/>
      <c r="AK177" s="10"/>
      <c r="AL177" s="10"/>
      <c r="AM177" s="10"/>
      <c r="AN177" s="10"/>
      <c r="AO177" s="10"/>
      <c r="AP177" s="10"/>
      <c r="AQ177" s="112"/>
      <c r="AR177" s="10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</row>
    <row r="178" spans="1:82" ht="18.95" customHeight="1" x14ac:dyDescent="0.25">
      <c r="B178" s="89" t="s">
        <v>13</v>
      </c>
      <c r="C178" s="265" t="s">
        <v>80</v>
      </c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265"/>
      <c r="AH178" s="265"/>
      <c r="AI178" s="265"/>
      <c r="AJ178" s="265"/>
      <c r="AK178" s="265"/>
      <c r="AL178" s="265"/>
      <c r="AM178" s="265"/>
      <c r="AN178" s="265"/>
      <c r="AO178" s="265"/>
      <c r="AP178" s="265"/>
      <c r="AQ178" s="265"/>
      <c r="AR178" s="265"/>
      <c r="AS178" s="265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</row>
    <row r="179" spans="1:82" ht="18.95" customHeight="1" x14ac:dyDescent="0.25">
      <c r="B179" s="89">
        <v>1</v>
      </c>
      <c r="C179" s="265">
        <v>2</v>
      </c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265"/>
      <c r="AH179" s="265"/>
      <c r="AI179" s="265"/>
      <c r="AJ179" s="265"/>
      <c r="AK179" s="265"/>
      <c r="AL179" s="265"/>
      <c r="AM179" s="265"/>
      <c r="AN179" s="265"/>
      <c r="AO179" s="265"/>
      <c r="AP179" s="265"/>
      <c r="AQ179" s="265"/>
      <c r="AR179" s="265"/>
      <c r="AS179" s="265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</row>
    <row r="180" spans="1:82" ht="81.75" customHeight="1" x14ac:dyDescent="0.25">
      <c r="B180" s="25">
        <v>1</v>
      </c>
      <c r="C180" s="266" t="s">
        <v>440</v>
      </c>
      <c r="D180" s="266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  <c r="R180" s="266"/>
      <c r="S180" s="266"/>
      <c r="T180" s="266"/>
      <c r="U180" s="266"/>
      <c r="V180" s="266"/>
      <c r="W180" s="266"/>
      <c r="X180" s="266"/>
      <c r="Y180" s="266"/>
      <c r="Z180" s="266"/>
      <c r="AA180" s="266"/>
      <c r="AB180" s="266"/>
      <c r="AC180" s="266"/>
      <c r="AD180" s="266"/>
      <c r="AE180" s="266"/>
      <c r="AF180" s="266"/>
      <c r="AG180" s="266"/>
      <c r="AH180" s="266"/>
      <c r="AI180" s="266"/>
      <c r="AJ180" s="266"/>
      <c r="AK180" s="266"/>
      <c r="AL180" s="266"/>
      <c r="AM180" s="266"/>
      <c r="AN180" s="266"/>
      <c r="AO180" s="266"/>
      <c r="AP180" s="266"/>
      <c r="AQ180" s="266"/>
      <c r="AR180" s="266"/>
      <c r="AS180" s="266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</row>
    <row r="181" spans="1:82" ht="18.95" customHeight="1" x14ac:dyDescent="0.25">
      <c r="B181" s="25">
        <v>2</v>
      </c>
      <c r="C181" s="203" t="s">
        <v>310</v>
      </c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</row>
    <row r="182" spans="1:82" ht="18.95" customHeight="1" x14ac:dyDescent="0.25">
      <c r="B182" s="25">
        <v>3</v>
      </c>
      <c r="C182" s="203" t="s">
        <v>310</v>
      </c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</row>
    <row r="183" spans="1:82" ht="18.95" customHeight="1" x14ac:dyDescent="0.25">
      <c r="B183" s="25">
        <v>4</v>
      </c>
      <c r="C183" s="203" t="s">
        <v>310</v>
      </c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</row>
    <row r="184" spans="1:82" ht="18.95" customHeight="1" x14ac:dyDescent="0.25">
      <c r="B184" s="25">
        <v>5</v>
      </c>
      <c r="C184" s="203" t="s">
        <v>310</v>
      </c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</row>
    <row r="185" spans="1:82" ht="18.95" customHeight="1" x14ac:dyDescent="0.25">
      <c r="B185" s="25">
        <v>6</v>
      </c>
      <c r="C185" s="203" t="s">
        <v>310</v>
      </c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</row>
    <row r="186" spans="1:82" ht="18.95" customHeight="1" x14ac:dyDescent="0.25">
      <c r="B186" s="25">
        <v>7</v>
      </c>
      <c r="C186" s="203" t="s">
        <v>310</v>
      </c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</row>
    <row r="187" spans="1:82" ht="18.95" customHeight="1" x14ac:dyDescent="0.25">
      <c r="B187" s="25">
        <v>8</v>
      </c>
      <c r="C187" s="203" t="s">
        <v>438</v>
      </c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</row>
    <row r="188" spans="1:82" ht="18.95" customHeight="1" x14ac:dyDescent="0.25">
      <c r="B188" s="25">
        <v>9</v>
      </c>
      <c r="C188" s="203" t="s">
        <v>312</v>
      </c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</row>
    <row r="189" spans="1:82" ht="18.95" customHeight="1" x14ac:dyDescent="0.25">
      <c r="B189" s="25">
        <v>10</v>
      </c>
      <c r="C189" s="203" t="s">
        <v>310</v>
      </c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</row>
    <row r="190" spans="1:82" ht="9.75" customHeight="1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41"/>
      <c r="AJ190" s="141"/>
      <c r="AK190" s="10"/>
      <c r="AL190" s="10"/>
      <c r="AM190" s="10"/>
      <c r="AN190" s="10"/>
      <c r="AO190" s="10"/>
      <c r="AP190" s="10"/>
      <c r="AQ190" s="112"/>
      <c r="AR190" s="10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</row>
    <row r="191" spans="1:82" ht="18" customHeight="1" x14ac:dyDescent="0.25">
      <c r="A191" s="56" t="s">
        <v>60</v>
      </c>
      <c r="B191" s="3" t="s">
        <v>62</v>
      </c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</row>
    <row r="192" spans="1:82" ht="15" customHeight="1" x14ac:dyDescent="0.25">
      <c r="A192" s="56"/>
      <c r="B192" s="3"/>
      <c r="AS192" s="4" t="s">
        <v>61</v>
      </c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</row>
    <row r="193" spans="1:73" ht="30.75" customHeight="1" x14ac:dyDescent="0.25">
      <c r="A193" s="253" t="s">
        <v>13</v>
      </c>
      <c r="B193" s="253" t="s">
        <v>16</v>
      </c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Y193" s="253"/>
      <c r="Z193" s="253"/>
      <c r="AA193" s="253"/>
      <c r="AB193" s="253"/>
      <c r="AC193" s="253"/>
      <c r="AD193" s="253"/>
      <c r="AE193" s="253"/>
      <c r="AF193" s="253"/>
      <c r="AG193" s="253" t="s">
        <v>9</v>
      </c>
      <c r="AH193" s="253"/>
      <c r="AI193" s="253"/>
      <c r="AJ193" s="253"/>
      <c r="AK193" s="253"/>
      <c r="AL193" s="253"/>
      <c r="AM193" s="305" t="s">
        <v>54</v>
      </c>
      <c r="AN193" s="305"/>
      <c r="AO193" s="305"/>
      <c r="AP193" s="305"/>
      <c r="AQ193" s="305"/>
      <c r="AR193" s="253" t="s">
        <v>10</v>
      </c>
      <c r="AS193" s="253"/>
      <c r="AT193" s="253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</row>
    <row r="194" spans="1:73" ht="33" customHeight="1" x14ac:dyDescent="0.2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253"/>
      <c r="W194" s="253"/>
      <c r="X194" s="253"/>
      <c r="Y194" s="253"/>
      <c r="Z194" s="253"/>
      <c r="AA194" s="253"/>
      <c r="AB194" s="253"/>
      <c r="AC194" s="253"/>
      <c r="AD194" s="253"/>
      <c r="AE194" s="253"/>
      <c r="AF194" s="253"/>
      <c r="AG194" s="253" t="s">
        <v>6</v>
      </c>
      <c r="AH194" s="253"/>
      <c r="AI194" s="267" t="s">
        <v>7</v>
      </c>
      <c r="AJ194" s="267"/>
      <c r="AK194" s="6"/>
      <c r="AL194" s="6" t="s">
        <v>8</v>
      </c>
      <c r="AM194" s="6" t="s">
        <v>6</v>
      </c>
      <c r="AN194" s="6" t="s">
        <v>7</v>
      </c>
      <c r="AO194" s="6"/>
      <c r="AP194" s="6"/>
      <c r="AQ194" s="6" t="s">
        <v>8</v>
      </c>
      <c r="AR194" s="6" t="s">
        <v>6</v>
      </c>
      <c r="AS194" s="6" t="s">
        <v>7</v>
      </c>
      <c r="AT194" s="6" t="s">
        <v>8</v>
      </c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</row>
    <row r="195" spans="1:73" ht="18" customHeight="1" x14ac:dyDescent="0.25">
      <c r="A195" s="60">
        <v>1</v>
      </c>
      <c r="B195" s="253">
        <v>2</v>
      </c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  <c r="P195" s="253"/>
      <c r="Q195" s="253"/>
      <c r="R195" s="253"/>
      <c r="S195" s="253"/>
      <c r="T195" s="253"/>
      <c r="U195" s="253"/>
      <c r="V195" s="253"/>
      <c r="W195" s="253"/>
      <c r="X195" s="253"/>
      <c r="Y195" s="253"/>
      <c r="Z195" s="253"/>
      <c r="AA195" s="253"/>
      <c r="AB195" s="253"/>
      <c r="AC195" s="253"/>
      <c r="AD195" s="253"/>
      <c r="AE195" s="253"/>
      <c r="AF195" s="253"/>
      <c r="AG195" s="253">
        <v>3</v>
      </c>
      <c r="AH195" s="253"/>
      <c r="AI195" s="267">
        <v>4</v>
      </c>
      <c r="AJ195" s="267"/>
      <c r="AK195" s="6"/>
      <c r="AL195" s="6">
        <v>5</v>
      </c>
      <c r="AM195" s="12">
        <v>6</v>
      </c>
      <c r="AN195" s="12">
        <v>7</v>
      </c>
      <c r="AO195" s="12"/>
      <c r="AP195" s="12"/>
      <c r="AQ195" s="12">
        <v>8</v>
      </c>
      <c r="AR195" s="6">
        <v>9</v>
      </c>
      <c r="AS195" s="6">
        <v>10</v>
      </c>
      <c r="AT195" s="6">
        <v>11</v>
      </c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</row>
    <row r="196" spans="1:73" ht="37.5" customHeight="1" x14ac:dyDescent="0.25">
      <c r="A196" s="61">
        <v>1</v>
      </c>
      <c r="B196" s="320" t="s">
        <v>426</v>
      </c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9"/>
      <c r="AG196" s="173"/>
      <c r="AH196" s="175"/>
      <c r="AI196" s="268">
        <f>AD131</f>
        <v>438523</v>
      </c>
      <c r="AJ196" s="269"/>
      <c r="AK196" s="129"/>
      <c r="AL196" s="103">
        <f>AI196</f>
        <v>438523</v>
      </c>
      <c r="AM196" s="103"/>
      <c r="AN196" s="129">
        <f>AI131</f>
        <v>403170</v>
      </c>
      <c r="AO196" s="129"/>
      <c r="AP196" s="129"/>
      <c r="AQ196" s="129">
        <f>AN196</f>
        <v>403170</v>
      </c>
      <c r="AR196" s="129"/>
      <c r="AS196" s="129">
        <f>AN196-AI196</f>
        <v>-35353</v>
      </c>
      <c r="AT196" s="129">
        <f>AS196</f>
        <v>-35353</v>
      </c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</row>
    <row r="197" spans="1:73" ht="37.5" customHeight="1" x14ac:dyDescent="0.25">
      <c r="A197" s="61">
        <f>A196+1</f>
        <v>2</v>
      </c>
      <c r="B197" s="236" t="s">
        <v>427</v>
      </c>
      <c r="C197" s="237" t="s">
        <v>427</v>
      </c>
      <c r="D197" s="237" t="s">
        <v>427</v>
      </c>
      <c r="E197" s="237" t="s">
        <v>427</v>
      </c>
      <c r="F197" s="237" t="s">
        <v>427</v>
      </c>
      <c r="G197" s="237" t="s">
        <v>427</v>
      </c>
      <c r="H197" s="237" t="s">
        <v>427</v>
      </c>
      <c r="I197" s="237" t="s">
        <v>427</v>
      </c>
      <c r="J197" s="237" t="s">
        <v>427</v>
      </c>
      <c r="K197" s="237" t="s">
        <v>427</v>
      </c>
      <c r="L197" s="237" t="s">
        <v>427</v>
      </c>
      <c r="M197" s="237" t="s">
        <v>427</v>
      </c>
      <c r="N197" s="237" t="s">
        <v>427</v>
      </c>
      <c r="O197" s="237" t="s">
        <v>427</v>
      </c>
      <c r="P197" s="237" t="s">
        <v>427</v>
      </c>
      <c r="Q197" s="237" t="s">
        <v>427</v>
      </c>
      <c r="R197" s="237" t="s">
        <v>427</v>
      </c>
      <c r="S197" s="237" t="s">
        <v>427</v>
      </c>
      <c r="T197" s="237" t="s">
        <v>427</v>
      </c>
      <c r="U197" s="237" t="s">
        <v>427</v>
      </c>
      <c r="V197" s="237" t="s">
        <v>427</v>
      </c>
      <c r="W197" s="237" t="s">
        <v>427</v>
      </c>
      <c r="X197" s="237" t="s">
        <v>427</v>
      </c>
      <c r="Y197" s="237" t="s">
        <v>427</v>
      </c>
      <c r="Z197" s="237" t="s">
        <v>427</v>
      </c>
      <c r="AA197" s="237" t="s">
        <v>427</v>
      </c>
      <c r="AB197" s="237" t="s">
        <v>427</v>
      </c>
      <c r="AC197" s="237" t="s">
        <v>427</v>
      </c>
      <c r="AD197" s="237" t="s">
        <v>427</v>
      </c>
      <c r="AE197" s="237" t="s">
        <v>427</v>
      </c>
      <c r="AF197" s="238" t="s">
        <v>427</v>
      </c>
      <c r="AG197" s="254"/>
      <c r="AH197" s="255"/>
      <c r="AI197" s="333">
        <f>AD49</f>
        <v>122361973.59999999</v>
      </c>
      <c r="AJ197" s="334"/>
      <c r="AK197" s="129"/>
      <c r="AL197" s="103">
        <f>AI197</f>
        <v>122361973.59999999</v>
      </c>
      <c r="AM197" s="129"/>
      <c r="AN197" s="129">
        <f>AI49</f>
        <v>112586164.23999998</v>
      </c>
      <c r="AO197" s="129"/>
      <c r="AP197" s="129"/>
      <c r="AQ197" s="129">
        <f t="shared" ref="AQ197:AQ207" si="12">AN197</f>
        <v>112586164.23999998</v>
      </c>
      <c r="AR197" s="129"/>
      <c r="AS197" s="129">
        <f t="shared" ref="AS197:AS206" si="13">AN197-AI197</f>
        <v>-9775809.3600000143</v>
      </c>
      <c r="AT197" s="129">
        <f t="shared" ref="AT197:AT206" si="14">AS197</f>
        <v>-9775809.3600000143</v>
      </c>
      <c r="AU197" s="8"/>
      <c r="AV197" s="102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</row>
    <row r="198" spans="1:73" ht="37.5" customHeight="1" x14ac:dyDescent="0.25">
      <c r="A198" s="61">
        <f t="shared" ref="A198:A206" si="15">A197+1</f>
        <v>3</v>
      </c>
      <c r="B198" s="236" t="s">
        <v>428</v>
      </c>
      <c r="C198" s="237" t="s">
        <v>428</v>
      </c>
      <c r="D198" s="237" t="s">
        <v>428</v>
      </c>
      <c r="E198" s="237" t="s">
        <v>428</v>
      </c>
      <c r="F198" s="237" t="s">
        <v>428</v>
      </c>
      <c r="G198" s="237" t="s">
        <v>428</v>
      </c>
      <c r="H198" s="237" t="s">
        <v>428</v>
      </c>
      <c r="I198" s="237" t="s">
        <v>428</v>
      </c>
      <c r="J198" s="237" t="s">
        <v>428</v>
      </c>
      <c r="K198" s="237" t="s">
        <v>428</v>
      </c>
      <c r="L198" s="237" t="s">
        <v>428</v>
      </c>
      <c r="M198" s="237" t="s">
        <v>428</v>
      </c>
      <c r="N198" s="237" t="s">
        <v>428</v>
      </c>
      <c r="O198" s="237" t="s">
        <v>428</v>
      </c>
      <c r="P198" s="237" t="s">
        <v>428</v>
      </c>
      <c r="Q198" s="237" t="s">
        <v>428</v>
      </c>
      <c r="R198" s="237" t="s">
        <v>428</v>
      </c>
      <c r="S198" s="237" t="s">
        <v>428</v>
      </c>
      <c r="T198" s="237" t="s">
        <v>428</v>
      </c>
      <c r="U198" s="237" t="s">
        <v>428</v>
      </c>
      <c r="V198" s="237" t="s">
        <v>428</v>
      </c>
      <c r="W198" s="237" t="s">
        <v>428</v>
      </c>
      <c r="X198" s="237" t="s">
        <v>428</v>
      </c>
      <c r="Y198" s="237" t="s">
        <v>428</v>
      </c>
      <c r="Z198" s="237" t="s">
        <v>428</v>
      </c>
      <c r="AA198" s="237" t="s">
        <v>428</v>
      </c>
      <c r="AB198" s="237" t="s">
        <v>428</v>
      </c>
      <c r="AC198" s="237" t="s">
        <v>428</v>
      </c>
      <c r="AD198" s="237" t="s">
        <v>428</v>
      </c>
      <c r="AE198" s="237" t="s">
        <v>428</v>
      </c>
      <c r="AF198" s="238" t="s">
        <v>428</v>
      </c>
      <c r="AG198" s="254"/>
      <c r="AH198" s="255"/>
      <c r="AI198" s="333">
        <f>AD98</f>
        <v>81260262</v>
      </c>
      <c r="AJ198" s="334"/>
      <c r="AK198" s="128"/>
      <c r="AL198" s="103">
        <f t="shared" ref="AL198:AL207" si="16">AI198</f>
        <v>81260262</v>
      </c>
      <c r="AM198" s="129"/>
      <c r="AN198" s="129">
        <f>AI98</f>
        <v>80978634.710000008</v>
      </c>
      <c r="AO198" s="129"/>
      <c r="AP198" s="129"/>
      <c r="AQ198" s="129">
        <f t="shared" si="12"/>
        <v>80978634.710000008</v>
      </c>
      <c r="AR198" s="129"/>
      <c r="AS198" s="129">
        <f t="shared" si="13"/>
        <v>-281627.28999999166</v>
      </c>
      <c r="AT198" s="129">
        <f t="shared" si="14"/>
        <v>-281627.28999999166</v>
      </c>
      <c r="AU198" s="8"/>
      <c r="AV198" s="102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</row>
    <row r="199" spans="1:73" ht="37.5" customHeight="1" x14ac:dyDescent="0.25">
      <c r="A199" s="61">
        <f t="shared" si="15"/>
        <v>4</v>
      </c>
      <c r="B199" s="236" t="s">
        <v>429</v>
      </c>
      <c r="C199" s="237" t="s">
        <v>429</v>
      </c>
      <c r="D199" s="237" t="s">
        <v>429</v>
      </c>
      <c r="E199" s="237" t="s">
        <v>429</v>
      </c>
      <c r="F199" s="237" t="s">
        <v>429</v>
      </c>
      <c r="G199" s="237" t="s">
        <v>429</v>
      </c>
      <c r="H199" s="237" t="s">
        <v>429</v>
      </c>
      <c r="I199" s="237" t="s">
        <v>429</v>
      </c>
      <c r="J199" s="237" t="s">
        <v>429</v>
      </c>
      <c r="K199" s="237" t="s">
        <v>429</v>
      </c>
      <c r="L199" s="237" t="s">
        <v>429</v>
      </c>
      <c r="M199" s="237" t="s">
        <v>429</v>
      </c>
      <c r="N199" s="237" t="s">
        <v>429</v>
      </c>
      <c r="O199" s="237" t="s">
        <v>429</v>
      </c>
      <c r="P199" s="237" t="s">
        <v>429</v>
      </c>
      <c r="Q199" s="237" t="s">
        <v>429</v>
      </c>
      <c r="R199" s="237" t="s">
        <v>429</v>
      </c>
      <c r="S199" s="237" t="s">
        <v>429</v>
      </c>
      <c r="T199" s="237" t="s">
        <v>429</v>
      </c>
      <c r="U199" s="237" t="s">
        <v>429</v>
      </c>
      <c r="V199" s="237" t="s">
        <v>429</v>
      </c>
      <c r="W199" s="237" t="s">
        <v>429</v>
      </c>
      <c r="X199" s="237" t="s">
        <v>429</v>
      </c>
      <c r="Y199" s="237" t="s">
        <v>429</v>
      </c>
      <c r="Z199" s="237" t="s">
        <v>429</v>
      </c>
      <c r="AA199" s="237" t="s">
        <v>429</v>
      </c>
      <c r="AB199" s="237" t="s">
        <v>429</v>
      </c>
      <c r="AC199" s="237" t="s">
        <v>429</v>
      </c>
      <c r="AD199" s="237" t="s">
        <v>429</v>
      </c>
      <c r="AE199" s="237" t="s">
        <v>429</v>
      </c>
      <c r="AF199" s="238" t="s">
        <v>429</v>
      </c>
      <c r="AG199" s="254"/>
      <c r="AH199" s="255"/>
      <c r="AI199" s="333">
        <f>AD121-AI196</f>
        <v>64340805</v>
      </c>
      <c r="AJ199" s="334"/>
      <c r="AK199" s="128"/>
      <c r="AL199" s="103">
        <f t="shared" si="16"/>
        <v>64340805</v>
      </c>
      <c r="AM199" s="129"/>
      <c r="AN199" s="129">
        <f>AI121-AN196</f>
        <v>64250886.399999999</v>
      </c>
      <c r="AO199" s="129"/>
      <c r="AP199" s="129"/>
      <c r="AQ199" s="129">
        <f t="shared" si="12"/>
        <v>64250886.399999999</v>
      </c>
      <c r="AR199" s="129"/>
      <c r="AS199" s="129">
        <f t="shared" si="13"/>
        <v>-89918.60000000149</v>
      </c>
      <c r="AT199" s="129">
        <f t="shared" si="14"/>
        <v>-89918.60000000149</v>
      </c>
      <c r="AU199" s="8"/>
      <c r="AV199" s="102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</row>
    <row r="200" spans="1:73" ht="48.75" customHeight="1" x14ac:dyDescent="0.25">
      <c r="A200" s="61">
        <f t="shared" si="15"/>
        <v>5</v>
      </c>
      <c r="B200" s="236" t="s">
        <v>430</v>
      </c>
      <c r="C200" s="237" t="s">
        <v>430</v>
      </c>
      <c r="D200" s="237" t="s">
        <v>430</v>
      </c>
      <c r="E200" s="237" t="s">
        <v>430</v>
      </c>
      <c r="F200" s="237" t="s">
        <v>430</v>
      </c>
      <c r="G200" s="237" t="s">
        <v>430</v>
      </c>
      <c r="H200" s="237" t="s">
        <v>430</v>
      </c>
      <c r="I200" s="237" t="s">
        <v>430</v>
      </c>
      <c r="J200" s="237" t="s">
        <v>430</v>
      </c>
      <c r="K200" s="237" t="s">
        <v>430</v>
      </c>
      <c r="L200" s="237" t="s">
        <v>430</v>
      </c>
      <c r="M200" s="237" t="s">
        <v>430</v>
      </c>
      <c r="N200" s="237" t="s">
        <v>430</v>
      </c>
      <c r="O200" s="237" t="s">
        <v>430</v>
      </c>
      <c r="P200" s="237" t="s">
        <v>430</v>
      </c>
      <c r="Q200" s="237" t="s">
        <v>430</v>
      </c>
      <c r="R200" s="237" t="s">
        <v>430</v>
      </c>
      <c r="S200" s="237" t="s">
        <v>430</v>
      </c>
      <c r="T200" s="237" t="s">
        <v>430</v>
      </c>
      <c r="U200" s="237" t="s">
        <v>430</v>
      </c>
      <c r="V200" s="237" t="s">
        <v>430</v>
      </c>
      <c r="W200" s="237" t="s">
        <v>430</v>
      </c>
      <c r="X200" s="237" t="s">
        <v>430</v>
      </c>
      <c r="Y200" s="237" t="s">
        <v>430</v>
      </c>
      <c r="Z200" s="237" t="s">
        <v>430</v>
      </c>
      <c r="AA200" s="237" t="s">
        <v>430</v>
      </c>
      <c r="AB200" s="237" t="s">
        <v>430</v>
      </c>
      <c r="AC200" s="237" t="s">
        <v>430</v>
      </c>
      <c r="AD200" s="237" t="s">
        <v>430</v>
      </c>
      <c r="AE200" s="237" t="s">
        <v>430</v>
      </c>
      <c r="AF200" s="238" t="s">
        <v>430</v>
      </c>
      <c r="AG200" s="254"/>
      <c r="AH200" s="255"/>
      <c r="AI200" s="333">
        <f>AD137</f>
        <v>11355280</v>
      </c>
      <c r="AJ200" s="334"/>
      <c r="AK200" s="128"/>
      <c r="AL200" s="103">
        <f t="shared" si="16"/>
        <v>11355280</v>
      </c>
      <c r="AM200" s="129"/>
      <c r="AN200" s="129">
        <f>AI137</f>
        <v>11311747.140000001</v>
      </c>
      <c r="AO200" s="129"/>
      <c r="AP200" s="129"/>
      <c r="AQ200" s="129">
        <f t="shared" si="12"/>
        <v>11311747.140000001</v>
      </c>
      <c r="AR200" s="129"/>
      <c r="AS200" s="129">
        <f t="shared" si="13"/>
        <v>-43532.859999999404</v>
      </c>
      <c r="AT200" s="129">
        <f t="shared" si="14"/>
        <v>-43532.859999999404</v>
      </c>
      <c r="AU200" s="8"/>
      <c r="AV200" s="102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</row>
    <row r="201" spans="1:73" ht="37.5" customHeight="1" x14ac:dyDescent="0.25">
      <c r="A201" s="61">
        <f t="shared" si="15"/>
        <v>6</v>
      </c>
      <c r="B201" s="236" t="s">
        <v>431</v>
      </c>
      <c r="C201" s="237" t="s">
        <v>431</v>
      </c>
      <c r="D201" s="237" t="s">
        <v>431</v>
      </c>
      <c r="E201" s="237" t="s">
        <v>431</v>
      </c>
      <c r="F201" s="237" t="s">
        <v>431</v>
      </c>
      <c r="G201" s="237" t="s">
        <v>431</v>
      </c>
      <c r="H201" s="237" t="s">
        <v>431</v>
      </c>
      <c r="I201" s="237" t="s">
        <v>431</v>
      </c>
      <c r="J201" s="237" t="s">
        <v>431</v>
      </c>
      <c r="K201" s="237" t="s">
        <v>431</v>
      </c>
      <c r="L201" s="237" t="s">
        <v>431</v>
      </c>
      <c r="M201" s="237" t="s">
        <v>431</v>
      </c>
      <c r="N201" s="237" t="s">
        <v>431</v>
      </c>
      <c r="O201" s="237" t="s">
        <v>431</v>
      </c>
      <c r="P201" s="237" t="s">
        <v>431</v>
      </c>
      <c r="Q201" s="237" t="s">
        <v>431</v>
      </c>
      <c r="R201" s="237" t="s">
        <v>431</v>
      </c>
      <c r="S201" s="237" t="s">
        <v>431</v>
      </c>
      <c r="T201" s="237" t="s">
        <v>431</v>
      </c>
      <c r="U201" s="237" t="s">
        <v>431</v>
      </c>
      <c r="V201" s="237" t="s">
        <v>431</v>
      </c>
      <c r="W201" s="237" t="s">
        <v>431</v>
      </c>
      <c r="X201" s="237" t="s">
        <v>431</v>
      </c>
      <c r="Y201" s="237" t="s">
        <v>431</v>
      </c>
      <c r="Z201" s="237" t="s">
        <v>431</v>
      </c>
      <c r="AA201" s="237" t="s">
        <v>431</v>
      </c>
      <c r="AB201" s="237" t="s">
        <v>431</v>
      </c>
      <c r="AC201" s="237" t="s">
        <v>431</v>
      </c>
      <c r="AD201" s="237" t="s">
        <v>431</v>
      </c>
      <c r="AE201" s="237" t="s">
        <v>431</v>
      </c>
      <c r="AF201" s="238" t="s">
        <v>431</v>
      </c>
      <c r="AG201" s="254"/>
      <c r="AH201" s="255"/>
      <c r="AI201" s="333">
        <f>AD147</f>
        <v>4442375</v>
      </c>
      <c r="AJ201" s="334"/>
      <c r="AK201" s="128"/>
      <c r="AL201" s="103">
        <f t="shared" si="16"/>
        <v>4442375</v>
      </c>
      <c r="AM201" s="129"/>
      <c r="AN201" s="129">
        <f>AI147</f>
        <v>4366942.75</v>
      </c>
      <c r="AO201" s="129"/>
      <c r="AP201" s="129"/>
      <c r="AQ201" s="129">
        <f t="shared" si="12"/>
        <v>4366942.75</v>
      </c>
      <c r="AR201" s="129"/>
      <c r="AS201" s="129">
        <f t="shared" si="13"/>
        <v>-75432.25</v>
      </c>
      <c r="AT201" s="129">
        <f t="shared" si="14"/>
        <v>-75432.25</v>
      </c>
      <c r="AU201" s="8"/>
      <c r="AV201" s="102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</row>
    <row r="202" spans="1:73" ht="37.5" customHeight="1" x14ac:dyDescent="0.25">
      <c r="A202" s="61">
        <f t="shared" si="15"/>
        <v>7</v>
      </c>
      <c r="B202" s="236" t="s">
        <v>432</v>
      </c>
      <c r="C202" s="237" t="s">
        <v>432</v>
      </c>
      <c r="D202" s="237" t="s">
        <v>432</v>
      </c>
      <c r="E202" s="237" t="s">
        <v>432</v>
      </c>
      <c r="F202" s="237" t="s">
        <v>432</v>
      </c>
      <c r="G202" s="237" t="s">
        <v>432</v>
      </c>
      <c r="H202" s="237" t="s">
        <v>432</v>
      </c>
      <c r="I202" s="237" t="s">
        <v>432</v>
      </c>
      <c r="J202" s="237" t="s">
        <v>432</v>
      </c>
      <c r="K202" s="237" t="s">
        <v>432</v>
      </c>
      <c r="L202" s="237" t="s">
        <v>432</v>
      </c>
      <c r="M202" s="237" t="s">
        <v>432</v>
      </c>
      <c r="N202" s="237" t="s">
        <v>432</v>
      </c>
      <c r="O202" s="237" t="s">
        <v>432</v>
      </c>
      <c r="P202" s="237" t="s">
        <v>432</v>
      </c>
      <c r="Q202" s="237" t="s">
        <v>432</v>
      </c>
      <c r="R202" s="237" t="s">
        <v>432</v>
      </c>
      <c r="S202" s="237" t="s">
        <v>432</v>
      </c>
      <c r="T202" s="237" t="s">
        <v>432</v>
      </c>
      <c r="U202" s="237" t="s">
        <v>432</v>
      </c>
      <c r="V202" s="237" t="s">
        <v>432</v>
      </c>
      <c r="W202" s="237" t="s">
        <v>432</v>
      </c>
      <c r="X202" s="237" t="s">
        <v>432</v>
      </c>
      <c r="Y202" s="237" t="s">
        <v>432</v>
      </c>
      <c r="Z202" s="237" t="s">
        <v>432</v>
      </c>
      <c r="AA202" s="237" t="s">
        <v>432</v>
      </c>
      <c r="AB202" s="237" t="s">
        <v>432</v>
      </c>
      <c r="AC202" s="237" t="s">
        <v>432</v>
      </c>
      <c r="AD202" s="237" t="s">
        <v>432</v>
      </c>
      <c r="AE202" s="237" t="s">
        <v>432</v>
      </c>
      <c r="AF202" s="238" t="s">
        <v>432</v>
      </c>
      <c r="AG202" s="254"/>
      <c r="AH202" s="255"/>
      <c r="AI202" s="333">
        <f>AD153</f>
        <v>2365985</v>
      </c>
      <c r="AJ202" s="334"/>
      <c r="AK202" s="128"/>
      <c r="AL202" s="103">
        <f t="shared" si="16"/>
        <v>2365985</v>
      </c>
      <c r="AM202" s="129"/>
      <c r="AN202" s="129">
        <f>AI153</f>
        <v>2313581.5</v>
      </c>
      <c r="AO202" s="129"/>
      <c r="AP202" s="129"/>
      <c r="AQ202" s="129">
        <f t="shared" si="12"/>
        <v>2313581.5</v>
      </c>
      <c r="AR202" s="129"/>
      <c r="AS202" s="129">
        <f t="shared" si="13"/>
        <v>-52403.5</v>
      </c>
      <c r="AT202" s="129">
        <f t="shared" si="14"/>
        <v>-52403.5</v>
      </c>
      <c r="AU202" s="8"/>
      <c r="AV202" s="102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</row>
    <row r="203" spans="1:73" ht="37.5" customHeight="1" x14ac:dyDescent="0.25">
      <c r="A203" s="61">
        <f t="shared" si="15"/>
        <v>8</v>
      </c>
      <c r="B203" s="236" t="s">
        <v>433</v>
      </c>
      <c r="C203" s="237" t="s">
        <v>433</v>
      </c>
      <c r="D203" s="237" t="s">
        <v>433</v>
      </c>
      <c r="E203" s="237" t="s">
        <v>433</v>
      </c>
      <c r="F203" s="237" t="s">
        <v>433</v>
      </c>
      <c r="G203" s="237" t="s">
        <v>433</v>
      </c>
      <c r="H203" s="237" t="s">
        <v>433</v>
      </c>
      <c r="I203" s="237" t="s">
        <v>433</v>
      </c>
      <c r="J203" s="237" t="s">
        <v>433</v>
      </c>
      <c r="K203" s="237" t="s">
        <v>433</v>
      </c>
      <c r="L203" s="237" t="s">
        <v>433</v>
      </c>
      <c r="M203" s="237" t="s">
        <v>433</v>
      </c>
      <c r="N203" s="237" t="s">
        <v>433</v>
      </c>
      <c r="O203" s="237" t="s">
        <v>433</v>
      </c>
      <c r="P203" s="237" t="s">
        <v>433</v>
      </c>
      <c r="Q203" s="237" t="s">
        <v>433</v>
      </c>
      <c r="R203" s="237" t="s">
        <v>433</v>
      </c>
      <c r="S203" s="237" t="s">
        <v>433</v>
      </c>
      <c r="T203" s="237" t="s">
        <v>433</v>
      </c>
      <c r="U203" s="237" t="s">
        <v>433</v>
      </c>
      <c r="V203" s="237" t="s">
        <v>433</v>
      </c>
      <c r="W203" s="237" t="s">
        <v>433</v>
      </c>
      <c r="X203" s="237" t="s">
        <v>433</v>
      </c>
      <c r="Y203" s="237" t="s">
        <v>433</v>
      </c>
      <c r="Z203" s="237" t="s">
        <v>433</v>
      </c>
      <c r="AA203" s="237" t="s">
        <v>433</v>
      </c>
      <c r="AB203" s="237" t="s">
        <v>433</v>
      </c>
      <c r="AC203" s="237" t="s">
        <v>433</v>
      </c>
      <c r="AD203" s="237" t="s">
        <v>433</v>
      </c>
      <c r="AE203" s="237" t="s">
        <v>433</v>
      </c>
      <c r="AF203" s="238" t="s">
        <v>433</v>
      </c>
      <c r="AG203" s="254"/>
      <c r="AH203" s="255"/>
      <c r="AI203" s="333">
        <f>AD159</f>
        <v>3256678</v>
      </c>
      <c r="AJ203" s="334"/>
      <c r="AK203" s="128"/>
      <c r="AL203" s="103">
        <f t="shared" si="16"/>
        <v>3256678</v>
      </c>
      <c r="AM203" s="129"/>
      <c r="AN203" s="129">
        <f>AI159</f>
        <v>3254340</v>
      </c>
      <c r="AO203" s="129"/>
      <c r="AP203" s="129"/>
      <c r="AQ203" s="129">
        <f t="shared" si="12"/>
        <v>3254340</v>
      </c>
      <c r="AR203" s="129"/>
      <c r="AS203" s="129">
        <f t="shared" si="13"/>
        <v>-2338</v>
      </c>
      <c r="AT203" s="129">
        <f t="shared" si="14"/>
        <v>-2338</v>
      </c>
      <c r="AU203" s="8"/>
      <c r="AV203" s="102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</row>
    <row r="204" spans="1:73" ht="34.5" customHeight="1" x14ac:dyDescent="0.25">
      <c r="A204" s="61">
        <f t="shared" si="15"/>
        <v>9</v>
      </c>
      <c r="B204" s="236" t="s">
        <v>434</v>
      </c>
      <c r="C204" s="237" t="s">
        <v>434</v>
      </c>
      <c r="D204" s="237" t="s">
        <v>434</v>
      </c>
      <c r="E204" s="237" t="s">
        <v>434</v>
      </c>
      <c r="F204" s="237" t="s">
        <v>434</v>
      </c>
      <c r="G204" s="237" t="s">
        <v>434</v>
      </c>
      <c r="H204" s="237" t="s">
        <v>434</v>
      </c>
      <c r="I204" s="237" t="s">
        <v>434</v>
      </c>
      <c r="J204" s="237" t="s">
        <v>434</v>
      </c>
      <c r="K204" s="237" t="s">
        <v>434</v>
      </c>
      <c r="L204" s="237" t="s">
        <v>434</v>
      </c>
      <c r="M204" s="237" t="s">
        <v>434</v>
      </c>
      <c r="N204" s="237" t="s">
        <v>434</v>
      </c>
      <c r="O204" s="237" t="s">
        <v>434</v>
      </c>
      <c r="P204" s="237" t="s">
        <v>434</v>
      </c>
      <c r="Q204" s="237" t="s">
        <v>434</v>
      </c>
      <c r="R204" s="237" t="s">
        <v>434</v>
      </c>
      <c r="S204" s="237" t="s">
        <v>434</v>
      </c>
      <c r="T204" s="237" t="s">
        <v>434</v>
      </c>
      <c r="U204" s="237" t="s">
        <v>434</v>
      </c>
      <c r="V204" s="237" t="s">
        <v>434</v>
      </c>
      <c r="W204" s="237" t="s">
        <v>434</v>
      </c>
      <c r="X204" s="237" t="s">
        <v>434</v>
      </c>
      <c r="Y204" s="237" t="s">
        <v>434</v>
      </c>
      <c r="Z204" s="237" t="s">
        <v>434</v>
      </c>
      <c r="AA204" s="237" t="s">
        <v>434</v>
      </c>
      <c r="AB204" s="237" t="s">
        <v>434</v>
      </c>
      <c r="AC204" s="237" t="s">
        <v>434</v>
      </c>
      <c r="AD204" s="237" t="s">
        <v>434</v>
      </c>
      <c r="AE204" s="237" t="s">
        <v>434</v>
      </c>
      <c r="AF204" s="238" t="s">
        <v>434</v>
      </c>
      <c r="AG204" s="254"/>
      <c r="AH204" s="255"/>
      <c r="AI204" s="333">
        <f>AD163</f>
        <v>25157745</v>
      </c>
      <c r="AJ204" s="334"/>
      <c r="AK204" s="128"/>
      <c r="AL204" s="103">
        <f t="shared" si="16"/>
        <v>25157745</v>
      </c>
      <c r="AM204" s="129"/>
      <c r="AN204" s="129">
        <f>AI163</f>
        <v>24999959.690000001</v>
      </c>
      <c r="AO204" s="129"/>
      <c r="AP204" s="129"/>
      <c r="AQ204" s="129">
        <f t="shared" si="12"/>
        <v>24999959.690000001</v>
      </c>
      <c r="AR204" s="129"/>
      <c r="AS204" s="129">
        <f t="shared" si="13"/>
        <v>-157785.30999999866</v>
      </c>
      <c r="AT204" s="129">
        <f t="shared" si="14"/>
        <v>-157785.30999999866</v>
      </c>
      <c r="AU204" s="8"/>
      <c r="AV204" s="102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</row>
    <row r="205" spans="1:73" ht="37.5" customHeight="1" x14ac:dyDescent="0.25">
      <c r="A205" s="104">
        <f t="shared" si="15"/>
        <v>10</v>
      </c>
      <c r="B205" s="330" t="s">
        <v>435</v>
      </c>
      <c r="C205" s="331" t="s">
        <v>435</v>
      </c>
      <c r="D205" s="331" t="s">
        <v>435</v>
      </c>
      <c r="E205" s="331" t="s">
        <v>435</v>
      </c>
      <c r="F205" s="331" t="s">
        <v>435</v>
      </c>
      <c r="G205" s="331" t="s">
        <v>435</v>
      </c>
      <c r="H205" s="331" t="s">
        <v>435</v>
      </c>
      <c r="I205" s="331" t="s">
        <v>435</v>
      </c>
      <c r="J205" s="331" t="s">
        <v>435</v>
      </c>
      <c r="K205" s="331" t="s">
        <v>435</v>
      </c>
      <c r="L205" s="331" t="s">
        <v>435</v>
      </c>
      <c r="M205" s="331" t="s">
        <v>435</v>
      </c>
      <c r="N205" s="331" t="s">
        <v>435</v>
      </c>
      <c r="O205" s="331" t="s">
        <v>435</v>
      </c>
      <c r="P205" s="331" t="s">
        <v>435</v>
      </c>
      <c r="Q205" s="331" t="s">
        <v>435</v>
      </c>
      <c r="R205" s="331" t="s">
        <v>435</v>
      </c>
      <c r="S205" s="331" t="s">
        <v>435</v>
      </c>
      <c r="T205" s="331" t="s">
        <v>435</v>
      </c>
      <c r="U205" s="331" t="s">
        <v>435</v>
      </c>
      <c r="V205" s="331" t="s">
        <v>435</v>
      </c>
      <c r="W205" s="331" t="s">
        <v>435</v>
      </c>
      <c r="X205" s="331" t="s">
        <v>435</v>
      </c>
      <c r="Y205" s="331" t="s">
        <v>435</v>
      </c>
      <c r="Z205" s="331" t="s">
        <v>435</v>
      </c>
      <c r="AA205" s="331" t="s">
        <v>435</v>
      </c>
      <c r="AB205" s="331" t="s">
        <v>435</v>
      </c>
      <c r="AC205" s="331" t="s">
        <v>435</v>
      </c>
      <c r="AD205" s="331" t="s">
        <v>435</v>
      </c>
      <c r="AE205" s="331" t="s">
        <v>435</v>
      </c>
      <c r="AF205" s="332" t="s">
        <v>435</v>
      </c>
      <c r="AG205" s="254"/>
      <c r="AH205" s="255"/>
      <c r="AI205" s="333">
        <f>AD169</f>
        <v>6112980</v>
      </c>
      <c r="AJ205" s="334"/>
      <c r="AK205" s="128"/>
      <c r="AL205" s="103">
        <f t="shared" si="16"/>
        <v>6112980</v>
      </c>
      <c r="AM205" s="129"/>
      <c r="AN205" s="129">
        <f>AI169</f>
        <v>6112980</v>
      </c>
      <c r="AO205" s="129"/>
      <c r="AP205" s="129"/>
      <c r="AQ205" s="129">
        <f t="shared" si="12"/>
        <v>6112980</v>
      </c>
      <c r="AR205" s="129"/>
      <c r="AS205" s="129">
        <f t="shared" si="13"/>
        <v>0</v>
      </c>
      <c r="AT205" s="129">
        <f t="shared" si="14"/>
        <v>0</v>
      </c>
      <c r="AU205" s="8"/>
      <c r="AV205" s="102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</row>
    <row r="206" spans="1:73" ht="32.25" customHeight="1" x14ac:dyDescent="0.25">
      <c r="A206" s="61">
        <f t="shared" si="15"/>
        <v>11</v>
      </c>
      <c r="B206" s="335" t="s">
        <v>436</v>
      </c>
      <c r="C206" s="335"/>
      <c r="D206" s="335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258"/>
      <c r="AH206" s="258"/>
      <c r="AI206" s="336">
        <f>AD171</f>
        <v>481000</v>
      </c>
      <c r="AJ206" s="336"/>
      <c r="AK206" s="129"/>
      <c r="AL206" s="129">
        <f t="shared" si="16"/>
        <v>481000</v>
      </c>
      <c r="AM206" s="129"/>
      <c r="AN206" s="129">
        <f>AI171</f>
        <v>408200</v>
      </c>
      <c r="AO206" s="129"/>
      <c r="AP206" s="129"/>
      <c r="AQ206" s="129">
        <f t="shared" si="12"/>
        <v>408200</v>
      </c>
      <c r="AR206" s="129"/>
      <c r="AS206" s="129">
        <f t="shared" si="13"/>
        <v>-72800</v>
      </c>
      <c r="AT206" s="129">
        <f t="shared" si="14"/>
        <v>-72800</v>
      </c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</row>
    <row r="207" spans="1:73" ht="20.25" customHeight="1" x14ac:dyDescent="0.25">
      <c r="A207" s="61"/>
      <c r="B207" s="262" t="s">
        <v>437</v>
      </c>
      <c r="C207" s="262"/>
      <c r="D207" s="262"/>
      <c r="E207" s="262"/>
      <c r="F207" s="262"/>
      <c r="G207" s="26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2"/>
      <c r="V207" s="262"/>
      <c r="W207" s="262"/>
      <c r="X207" s="262"/>
      <c r="Y207" s="262"/>
      <c r="Z207" s="262"/>
      <c r="AA207" s="262"/>
      <c r="AB207" s="262"/>
      <c r="AC207" s="262"/>
      <c r="AD207" s="262"/>
      <c r="AE207" s="262"/>
      <c r="AF207" s="262"/>
      <c r="AG207" s="258"/>
      <c r="AH207" s="258"/>
      <c r="AI207" s="263">
        <f>SUM(AI196:AJ206)</f>
        <v>321573606.60000002</v>
      </c>
      <c r="AJ207" s="264"/>
      <c r="AK207" s="124"/>
      <c r="AL207" s="131">
        <f t="shared" si="16"/>
        <v>321573606.60000002</v>
      </c>
      <c r="AM207" s="16"/>
      <c r="AN207" s="337">
        <f>SUM(AN196:AO206)</f>
        <v>310986606.43000001</v>
      </c>
      <c r="AO207" s="338"/>
      <c r="AP207" s="132"/>
      <c r="AQ207" s="130">
        <f t="shared" si="12"/>
        <v>310986606.43000001</v>
      </c>
      <c r="AR207" s="16"/>
      <c r="AS207" s="130">
        <f>SUM(AS196:AS206)</f>
        <v>-10587000.170000006</v>
      </c>
      <c r="AT207" s="130">
        <f>AS207</f>
        <v>-10587000.170000006</v>
      </c>
      <c r="AU207" s="8"/>
      <c r="AV207" s="102">
        <f>AN207/AI207*100</f>
        <v>96.707752143611401</v>
      </c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</row>
    <row r="208" spans="1:73" ht="19.5" customHeight="1" x14ac:dyDescent="0.25">
      <c r="A208" s="56" t="s">
        <v>59</v>
      </c>
      <c r="B208" s="3" t="s">
        <v>15</v>
      </c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</row>
    <row r="209" spans="1:73" ht="15.75" x14ac:dyDescent="0.25">
      <c r="A209" s="4" t="s">
        <v>90</v>
      </c>
      <c r="B209" s="3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</row>
    <row r="210" spans="1:73" ht="15.75" x14ac:dyDescent="0.25">
      <c r="B210" s="3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</row>
    <row r="211" spans="1:73" ht="51" customHeight="1" x14ac:dyDescent="0.25">
      <c r="A211" s="253" t="s">
        <v>13</v>
      </c>
      <c r="B211" s="253" t="s">
        <v>19</v>
      </c>
      <c r="C211" s="253"/>
      <c r="D211" s="253"/>
      <c r="E211" s="25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253" t="s">
        <v>17</v>
      </c>
      <c r="AD211" s="253" t="s">
        <v>18</v>
      </c>
      <c r="AE211" s="253"/>
      <c r="AF211" s="253"/>
      <c r="AG211" s="253" t="s">
        <v>9</v>
      </c>
      <c r="AH211" s="253"/>
      <c r="AI211" s="253"/>
      <c r="AJ211" s="253"/>
      <c r="AK211" s="253"/>
      <c r="AL211" s="253"/>
      <c r="AM211" s="253" t="s">
        <v>21</v>
      </c>
      <c r="AN211" s="253"/>
      <c r="AO211" s="253"/>
      <c r="AP211" s="253"/>
      <c r="AQ211" s="253"/>
      <c r="AR211" s="253" t="s">
        <v>10</v>
      </c>
      <c r="AS211" s="253"/>
      <c r="AT211" s="253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</row>
    <row r="212" spans="1:73" ht="36" customHeight="1" x14ac:dyDescent="0.25">
      <c r="A212" s="253"/>
      <c r="B212" s="253"/>
      <c r="C212" s="253"/>
      <c r="D212" s="253"/>
      <c r="E212" s="25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253"/>
      <c r="AD212" s="253"/>
      <c r="AE212" s="253"/>
      <c r="AF212" s="253"/>
      <c r="AG212" s="253" t="s">
        <v>6</v>
      </c>
      <c r="AH212" s="253"/>
      <c r="AI212" s="267" t="s">
        <v>7</v>
      </c>
      <c r="AJ212" s="267"/>
      <c r="AK212" s="6"/>
      <c r="AL212" s="6" t="s">
        <v>8</v>
      </c>
      <c r="AM212" s="6" t="s">
        <v>6</v>
      </c>
      <c r="AN212" s="6" t="s">
        <v>7</v>
      </c>
      <c r="AO212" s="6"/>
      <c r="AP212" s="6"/>
      <c r="AQ212" s="6" t="s">
        <v>8</v>
      </c>
      <c r="AR212" s="6" t="s">
        <v>6</v>
      </c>
      <c r="AS212" s="6" t="s">
        <v>7</v>
      </c>
      <c r="AT212" s="6" t="s">
        <v>8</v>
      </c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</row>
    <row r="213" spans="1:73" ht="21.75" customHeight="1" x14ac:dyDescent="0.25">
      <c r="A213" s="25">
        <v>1</v>
      </c>
      <c r="B213" s="323" t="s">
        <v>303</v>
      </c>
      <c r="C213" s="324"/>
      <c r="D213" s="324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Q213" s="325"/>
      <c r="AR213" s="16"/>
      <c r="AS213" s="19"/>
      <c r="AT213" s="19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</row>
    <row r="214" spans="1:73" ht="18.75" customHeight="1" x14ac:dyDescent="0.25">
      <c r="A214" s="25"/>
      <c r="B214" s="257" t="s">
        <v>30</v>
      </c>
      <c r="C214" s="257"/>
      <c r="D214" s="257"/>
      <c r="E214" s="257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15"/>
      <c r="AD214" s="258"/>
      <c r="AE214" s="258"/>
      <c r="AF214" s="258"/>
      <c r="AG214" s="153"/>
      <c r="AH214" s="153"/>
      <c r="AI214" s="256"/>
      <c r="AJ214" s="256"/>
      <c r="AK214" s="88"/>
      <c r="AL214" s="20"/>
      <c r="AM214" s="16"/>
      <c r="AN214" s="16"/>
      <c r="AO214" s="16"/>
      <c r="AP214" s="16"/>
      <c r="AQ214" s="12"/>
      <c r="AR214" s="16"/>
      <c r="AS214" s="19"/>
      <c r="AT214" s="19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</row>
    <row r="215" spans="1:73" ht="18.75" customHeight="1" x14ac:dyDescent="0.25">
      <c r="A215" s="25">
        <v>1</v>
      </c>
      <c r="B215" s="187" t="s">
        <v>211</v>
      </c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  <c r="T215" s="189"/>
      <c r="U215" s="78"/>
      <c r="V215" s="78"/>
      <c r="W215" s="78"/>
      <c r="X215" s="78"/>
      <c r="Y215" s="78"/>
      <c r="Z215" s="78"/>
      <c r="AA215" s="78"/>
      <c r="AB215" s="78"/>
      <c r="AC215" s="24" t="s">
        <v>253</v>
      </c>
      <c r="AD215" s="173" t="s">
        <v>71</v>
      </c>
      <c r="AE215" s="174"/>
      <c r="AF215" s="175"/>
      <c r="AG215" s="153"/>
      <c r="AH215" s="153"/>
      <c r="AI215" s="167">
        <f>SUM(AI216:AI222)</f>
        <v>122361973.59999999</v>
      </c>
      <c r="AJ215" s="168"/>
      <c r="AK215" s="113"/>
      <c r="AL215" s="22">
        <f>AI215</f>
        <v>122361973.59999999</v>
      </c>
      <c r="AM215" s="22"/>
      <c r="AN215" s="22">
        <f>SUM(AN216:AN222)</f>
        <v>112586164.23999999</v>
      </c>
      <c r="AO215" s="22"/>
      <c r="AP215" s="22"/>
      <c r="AQ215" s="22">
        <f>AN215</f>
        <v>112586164.23999999</v>
      </c>
      <c r="AR215" s="22"/>
      <c r="AS215" s="22">
        <f>AN215-AI215</f>
        <v>-9775809.3599999994</v>
      </c>
      <c r="AT215" s="22">
        <f>AS215</f>
        <v>-9775809.3599999994</v>
      </c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</row>
    <row r="216" spans="1:73" ht="82.5" customHeight="1" x14ac:dyDescent="0.25">
      <c r="A216" s="25">
        <v>2</v>
      </c>
      <c r="B216" s="213" t="s">
        <v>212</v>
      </c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5"/>
      <c r="U216" s="78"/>
      <c r="V216" s="78"/>
      <c r="W216" s="78"/>
      <c r="X216" s="78"/>
      <c r="Y216" s="78"/>
      <c r="Z216" s="78"/>
      <c r="AA216" s="78"/>
      <c r="AB216" s="78"/>
      <c r="AC216" s="24" t="s">
        <v>253</v>
      </c>
      <c r="AD216" s="173" t="s">
        <v>71</v>
      </c>
      <c r="AE216" s="174"/>
      <c r="AF216" s="175"/>
      <c r="AG216" s="153"/>
      <c r="AH216" s="153"/>
      <c r="AI216" s="167">
        <f>SUM(AD51:AD76)-AD62-AD69</f>
        <v>53481397</v>
      </c>
      <c r="AJ216" s="168"/>
      <c r="AK216" s="113"/>
      <c r="AL216" s="22">
        <f t="shared" ref="AL216:AL278" si="17">AI216</f>
        <v>53481397</v>
      </c>
      <c r="AM216" s="22"/>
      <c r="AN216" s="22">
        <f>SUM(AI51:AI76)-AI62-AI69</f>
        <v>47820582.939999998</v>
      </c>
      <c r="AO216" s="22"/>
      <c r="AP216" s="22"/>
      <c r="AQ216" s="22">
        <f t="shared" ref="AQ216:AQ278" si="18">AN216</f>
        <v>47820582.939999998</v>
      </c>
      <c r="AR216" s="22"/>
      <c r="AS216" s="22">
        <f t="shared" ref="AS216:AS278" si="19">AN216-AI216</f>
        <v>-5660814.0600000024</v>
      </c>
      <c r="AT216" s="22">
        <f t="shared" ref="AT216:AT278" si="20">AS216</f>
        <v>-5660814.0600000024</v>
      </c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</row>
    <row r="217" spans="1:73" ht="33" customHeight="1" x14ac:dyDescent="0.25">
      <c r="A217" s="25">
        <v>3</v>
      </c>
      <c r="B217" s="204" t="s">
        <v>213</v>
      </c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6"/>
      <c r="U217" s="78"/>
      <c r="V217" s="78"/>
      <c r="W217" s="78"/>
      <c r="X217" s="78"/>
      <c r="Y217" s="78"/>
      <c r="Z217" s="78"/>
      <c r="AA217" s="78"/>
      <c r="AB217" s="78"/>
      <c r="AC217" s="24" t="s">
        <v>253</v>
      </c>
      <c r="AD217" s="173" t="s">
        <v>71</v>
      </c>
      <c r="AE217" s="174"/>
      <c r="AF217" s="175"/>
      <c r="AG217" s="153"/>
      <c r="AH217" s="153"/>
      <c r="AI217" s="167">
        <f>AD97</f>
        <v>2958059.6</v>
      </c>
      <c r="AJ217" s="168"/>
      <c r="AK217" s="113"/>
      <c r="AL217" s="22">
        <f t="shared" si="17"/>
        <v>2958059.6</v>
      </c>
      <c r="AM217" s="22"/>
      <c r="AN217" s="22">
        <f>AI97</f>
        <v>2958059.6</v>
      </c>
      <c r="AO217" s="22"/>
      <c r="AP217" s="22"/>
      <c r="AQ217" s="22">
        <f t="shared" si="18"/>
        <v>2958059.6</v>
      </c>
      <c r="AR217" s="22"/>
      <c r="AS217" s="22">
        <f t="shared" si="19"/>
        <v>0</v>
      </c>
      <c r="AT217" s="22">
        <f t="shared" si="20"/>
        <v>0</v>
      </c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</row>
    <row r="218" spans="1:73" ht="52.5" customHeight="1" x14ac:dyDescent="0.25">
      <c r="A218" s="25">
        <v>4</v>
      </c>
      <c r="B218" s="182" t="s">
        <v>214</v>
      </c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4"/>
      <c r="U218" s="78"/>
      <c r="V218" s="78"/>
      <c r="W218" s="78"/>
      <c r="X218" s="78"/>
      <c r="Y218" s="78"/>
      <c r="Z218" s="78"/>
      <c r="AA218" s="78"/>
      <c r="AB218" s="78"/>
      <c r="AC218" s="24" t="s">
        <v>253</v>
      </c>
      <c r="AD218" s="173" t="s">
        <v>71</v>
      </c>
      <c r="AE218" s="174"/>
      <c r="AF218" s="175"/>
      <c r="AG218" s="153"/>
      <c r="AH218" s="153"/>
      <c r="AI218" s="167">
        <f>AD62</f>
        <v>1344000</v>
      </c>
      <c r="AJ218" s="168"/>
      <c r="AK218" s="113"/>
      <c r="AL218" s="22">
        <f t="shared" si="17"/>
        <v>1344000</v>
      </c>
      <c r="AM218" s="22"/>
      <c r="AN218" s="22">
        <f>AI62</f>
        <v>1344000</v>
      </c>
      <c r="AO218" s="22"/>
      <c r="AP218" s="22"/>
      <c r="AQ218" s="22">
        <f t="shared" si="18"/>
        <v>1344000</v>
      </c>
      <c r="AR218" s="22"/>
      <c r="AS218" s="22">
        <f t="shared" si="19"/>
        <v>0</v>
      </c>
      <c r="AT218" s="22">
        <f t="shared" si="20"/>
        <v>0</v>
      </c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</row>
    <row r="219" spans="1:73" ht="51" customHeight="1" x14ac:dyDescent="0.25">
      <c r="A219" s="25">
        <v>5</v>
      </c>
      <c r="B219" s="182" t="s">
        <v>215</v>
      </c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4"/>
      <c r="U219" s="78"/>
      <c r="V219" s="78"/>
      <c r="W219" s="78"/>
      <c r="X219" s="78"/>
      <c r="Y219" s="78"/>
      <c r="Z219" s="78"/>
      <c r="AA219" s="78"/>
      <c r="AB219" s="78"/>
      <c r="AC219" s="24" t="s">
        <v>253</v>
      </c>
      <c r="AD219" s="173" t="s">
        <v>71</v>
      </c>
      <c r="AE219" s="174"/>
      <c r="AF219" s="175"/>
      <c r="AG219" s="153"/>
      <c r="AH219" s="153"/>
      <c r="AI219" s="167">
        <f>AD77</f>
        <v>496570</v>
      </c>
      <c r="AJ219" s="168"/>
      <c r="AK219" s="113"/>
      <c r="AL219" s="22">
        <f t="shared" si="17"/>
        <v>496570</v>
      </c>
      <c r="AM219" s="22"/>
      <c r="AN219" s="22">
        <f>AI77</f>
        <v>393374.3</v>
      </c>
      <c r="AO219" s="22"/>
      <c r="AP219" s="22"/>
      <c r="AQ219" s="22">
        <f t="shared" si="18"/>
        <v>393374.3</v>
      </c>
      <c r="AR219" s="22"/>
      <c r="AS219" s="22">
        <f t="shared" si="19"/>
        <v>-103195.70000000001</v>
      </c>
      <c r="AT219" s="22">
        <f t="shared" si="20"/>
        <v>-103195.70000000001</v>
      </c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</row>
    <row r="220" spans="1:73" ht="34.5" customHeight="1" x14ac:dyDescent="0.25">
      <c r="A220" s="25">
        <v>6</v>
      </c>
      <c r="B220" s="182" t="s">
        <v>216</v>
      </c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4"/>
      <c r="U220" s="78"/>
      <c r="V220" s="78"/>
      <c r="W220" s="78"/>
      <c r="X220" s="78"/>
      <c r="Y220" s="78"/>
      <c r="Z220" s="78"/>
      <c r="AA220" s="78"/>
      <c r="AB220" s="78"/>
      <c r="AC220" s="24" t="s">
        <v>253</v>
      </c>
      <c r="AD220" s="173" t="s">
        <v>71</v>
      </c>
      <c r="AE220" s="174"/>
      <c r="AF220" s="175"/>
      <c r="AG220" s="153"/>
      <c r="AH220" s="153"/>
      <c r="AI220" s="167">
        <f>AD78</f>
        <v>33301347</v>
      </c>
      <c r="AJ220" s="168"/>
      <c r="AK220" s="113"/>
      <c r="AL220" s="22">
        <f t="shared" si="17"/>
        <v>33301347</v>
      </c>
      <c r="AM220" s="22"/>
      <c r="AN220" s="22">
        <f>AI78</f>
        <v>29289590.600000001</v>
      </c>
      <c r="AO220" s="22"/>
      <c r="AP220" s="22"/>
      <c r="AQ220" s="22">
        <f t="shared" si="18"/>
        <v>29289590.600000001</v>
      </c>
      <c r="AR220" s="22"/>
      <c r="AS220" s="22">
        <f t="shared" si="19"/>
        <v>-4011756.3999999985</v>
      </c>
      <c r="AT220" s="22">
        <f t="shared" si="20"/>
        <v>-4011756.3999999985</v>
      </c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</row>
    <row r="221" spans="1:73" ht="35.25" customHeight="1" x14ac:dyDescent="0.25">
      <c r="A221" s="25">
        <v>7</v>
      </c>
      <c r="B221" s="182" t="s">
        <v>217</v>
      </c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4"/>
      <c r="U221" s="78"/>
      <c r="V221" s="78"/>
      <c r="W221" s="78"/>
      <c r="X221" s="78"/>
      <c r="Y221" s="78"/>
      <c r="Z221" s="78"/>
      <c r="AA221" s="78"/>
      <c r="AB221" s="78"/>
      <c r="AC221" s="24" t="s">
        <v>253</v>
      </c>
      <c r="AD221" s="173" t="s">
        <v>71</v>
      </c>
      <c r="AE221" s="174"/>
      <c r="AF221" s="175"/>
      <c r="AG221" s="153"/>
      <c r="AH221" s="153"/>
      <c r="AI221" s="167">
        <f>AD91</f>
        <v>30532200</v>
      </c>
      <c r="AJ221" s="168"/>
      <c r="AK221" s="113"/>
      <c r="AL221" s="22">
        <f t="shared" si="17"/>
        <v>30532200</v>
      </c>
      <c r="AM221" s="22"/>
      <c r="AN221" s="22">
        <f>AI91</f>
        <v>30532200</v>
      </c>
      <c r="AO221" s="22"/>
      <c r="AP221" s="22"/>
      <c r="AQ221" s="22">
        <f t="shared" si="18"/>
        <v>30532200</v>
      </c>
      <c r="AR221" s="22"/>
      <c r="AS221" s="22">
        <f t="shared" si="19"/>
        <v>0</v>
      </c>
      <c r="AT221" s="22">
        <f t="shared" si="20"/>
        <v>0</v>
      </c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</row>
    <row r="222" spans="1:73" ht="18.75" customHeight="1" x14ac:dyDescent="0.25">
      <c r="A222" s="25">
        <v>8</v>
      </c>
      <c r="B222" s="182" t="s">
        <v>218</v>
      </c>
      <c r="C222" s="18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4"/>
      <c r="U222" s="78"/>
      <c r="V222" s="78"/>
      <c r="W222" s="78"/>
      <c r="X222" s="78"/>
      <c r="Y222" s="78"/>
      <c r="Z222" s="78"/>
      <c r="AA222" s="78"/>
      <c r="AB222" s="78"/>
      <c r="AC222" s="24" t="s">
        <v>253</v>
      </c>
      <c r="AD222" s="173" t="s">
        <v>71</v>
      </c>
      <c r="AE222" s="174"/>
      <c r="AF222" s="175"/>
      <c r="AG222" s="153"/>
      <c r="AH222" s="153"/>
      <c r="AI222" s="167">
        <f>AD69</f>
        <v>248400</v>
      </c>
      <c r="AJ222" s="168"/>
      <c r="AK222" s="113"/>
      <c r="AL222" s="22">
        <f t="shared" si="17"/>
        <v>248400</v>
      </c>
      <c r="AM222" s="22"/>
      <c r="AN222" s="22">
        <f>AI69</f>
        <v>248356.8</v>
      </c>
      <c r="AO222" s="22"/>
      <c r="AP222" s="22"/>
      <c r="AQ222" s="22">
        <f t="shared" si="18"/>
        <v>248356.8</v>
      </c>
      <c r="AR222" s="22"/>
      <c r="AS222" s="22">
        <f t="shared" si="19"/>
        <v>-43.200000000011642</v>
      </c>
      <c r="AT222" s="22">
        <f t="shared" si="20"/>
        <v>-43.200000000011642</v>
      </c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</row>
    <row r="223" spans="1:73" ht="18.75" customHeight="1" x14ac:dyDescent="0.25">
      <c r="A223" s="25"/>
      <c r="B223" s="196" t="s">
        <v>26</v>
      </c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200"/>
      <c r="U223" s="78"/>
      <c r="V223" s="78"/>
      <c r="W223" s="78"/>
      <c r="X223" s="78"/>
      <c r="Y223" s="78"/>
      <c r="Z223" s="78"/>
      <c r="AA223" s="78"/>
      <c r="AB223" s="78"/>
      <c r="AC223" s="24"/>
      <c r="AD223" s="173"/>
      <c r="AE223" s="174"/>
      <c r="AF223" s="175"/>
      <c r="AG223" s="153"/>
      <c r="AH223" s="153"/>
      <c r="AI223" s="167"/>
      <c r="AJ223" s="168"/>
      <c r="AK223" s="113"/>
      <c r="AL223" s="22"/>
      <c r="AM223" s="22"/>
      <c r="AN223" s="22"/>
      <c r="AO223" s="22"/>
      <c r="AP223" s="22"/>
      <c r="AQ223" s="22"/>
      <c r="AR223" s="22"/>
      <c r="AS223" s="22"/>
      <c r="AT223" s="22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</row>
    <row r="224" spans="1:73" ht="79.5" customHeight="1" x14ac:dyDescent="0.25">
      <c r="A224" s="25">
        <v>1</v>
      </c>
      <c r="B224" s="182" t="s">
        <v>219</v>
      </c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4"/>
      <c r="U224" s="78"/>
      <c r="V224" s="78"/>
      <c r="W224" s="78"/>
      <c r="X224" s="78"/>
      <c r="Y224" s="78"/>
      <c r="Z224" s="78"/>
      <c r="AA224" s="78"/>
      <c r="AB224" s="78"/>
      <c r="AC224" s="24" t="s">
        <v>29</v>
      </c>
      <c r="AD224" s="173" t="s">
        <v>25</v>
      </c>
      <c r="AE224" s="174"/>
      <c r="AF224" s="175"/>
      <c r="AG224" s="153"/>
      <c r="AH224" s="153"/>
      <c r="AI224" s="169">
        <v>24</v>
      </c>
      <c r="AJ224" s="170"/>
      <c r="AK224" s="125"/>
      <c r="AL224" s="126">
        <f t="shared" si="17"/>
        <v>24</v>
      </c>
      <c r="AM224" s="22"/>
      <c r="AN224" s="126">
        <f>24-4</f>
        <v>20</v>
      </c>
      <c r="AO224" s="126"/>
      <c r="AP224" s="126"/>
      <c r="AQ224" s="126">
        <f t="shared" si="18"/>
        <v>20</v>
      </c>
      <c r="AR224" s="22"/>
      <c r="AS224" s="126">
        <f t="shared" si="19"/>
        <v>-4</v>
      </c>
      <c r="AT224" s="126">
        <f t="shared" si="20"/>
        <v>-4</v>
      </c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</row>
    <row r="225" spans="1:73" ht="23.25" customHeight="1" x14ac:dyDescent="0.25">
      <c r="A225" s="25">
        <v>2</v>
      </c>
      <c r="B225" s="182" t="s">
        <v>220</v>
      </c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4"/>
      <c r="U225" s="78"/>
      <c r="V225" s="78"/>
      <c r="W225" s="78"/>
      <c r="X225" s="78"/>
      <c r="Y225" s="78"/>
      <c r="Z225" s="78"/>
      <c r="AA225" s="78"/>
      <c r="AB225" s="78"/>
      <c r="AC225" s="24" t="s">
        <v>254</v>
      </c>
      <c r="AD225" s="173" t="s">
        <v>255</v>
      </c>
      <c r="AE225" s="174"/>
      <c r="AF225" s="175"/>
      <c r="AG225" s="153"/>
      <c r="AH225" s="153"/>
      <c r="AI225" s="169">
        <v>850</v>
      </c>
      <c r="AJ225" s="170"/>
      <c r="AK225" s="125"/>
      <c r="AL225" s="126">
        <f t="shared" si="17"/>
        <v>850</v>
      </c>
      <c r="AM225" s="22"/>
      <c r="AN225" s="126">
        <v>850</v>
      </c>
      <c r="AO225" s="126"/>
      <c r="AP225" s="126"/>
      <c r="AQ225" s="126">
        <f t="shared" si="18"/>
        <v>850</v>
      </c>
      <c r="AR225" s="22"/>
      <c r="AS225" s="126">
        <f t="shared" si="19"/>
        <v>0</v>
      </c>
      <c r="AT225" s="126">
        <f t="shared" si="20"/>
        <v>0</v>
      </c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</row>
    <row r="226" spans="1:73" ht="35.1" customHeight="1" x14ac:dyDescent="0.25">
      <c r="A226" s="25">
        <v>3</v>
      </c>
      <c r="B226" s="259" t="s">
        <v>221</v>
      </c>
      <c r="C226" s="260" t="s">
        <v>222</v>
      </c>
      <c r="D226" s="260" t="s">
        <v>222</v>
      </c>
      <c r="E226" s="260" t="s">
        <v>222</v>
      </c>
      <c r="F226" s="260" t="s">
        <v>222</v>
      </c>
      <c r="G226" s="260" t="s">
        <v>222</v>
      </c>
      <c r="H226" s="260" t="s">
        <v>222</v>
      </c>
      <c r="I226" s="260" t="s">
        <v>222</v>
      </c>
      <c r="J226" s="260" t="s">
        <v>222</v>
      </c>
      <c r="K226" s="260" t="s">
        <v>222</v>
      </c>
      <c r="L226" s="260" t="s">
        <v>222</v>
      </c>
      <c r="M226" s="260" t="s">
        <v>222</v>
      </c>
      <c r="N226" s="260" t="s">
        <v>222</v>
      </c>
      <c r="O226" s="260" t="s">
        <v>222</v>
      </c>
      <c r="P226" s="260" t="s">
        <v>222</v>
      </c>
      <c r="Q226" s="260" t="s">
        <v>222</v>
      </c>
      <c r="R226" s="260" t="s">
        <v>222</v>
      </c>
      <c r="S226" s="260" t="s">
        <v>222</v>
      </c>
      <c r="T226" s="261" t="s">
        <v>222</v>
      </c>
      <c r="U226" s="78"/>
      <c r="V226" s="78"/>
      <c r="W226" s="78"/>
      <c r="X226" s="78"/>
      <c r="Y226" s="78"/>
      <c r="Z226" s="78"/>
      <c r="AA226" s="78"/>
      <c r="AB226" s="78"/>
      <c r="AC226" s="24" t="s">
        <v>29</v>
      </c>
      <c r="AD226" s="173" t="s">
        <v>74</v>
      </c>
      <c r="AE226" s="174"/>
      <c r="AF226" s="175"/>
      <c r="AG226" s="153"/>
      <c r="AH226" s="153"/>
      <c r="AI226" s="169">
        <v>28</v>
      </c>
      <c r="AJ226" s="170"/>
      <c r="AK226" s="125"/>
      <c r="AL226" s="126">
        <f t="shared" si="17"/>
        <v>28</v>
      </c>
      <c r="AM226" s="22"/>
      <c r="AN226" s="126">
        <f>28-1-1</f>
        <v>26</v>
      </c>
      <c r="AO226" s="126"/>
      <c r="AP226" s="126"/>
      <c r="AQ226" s="126">
        <f t="shared" si="18"/>
        <v>26</v>
      </c>
      <c r="AR226" s="22"/>
      <c r="AS226" s="126">
        <f t="shared" si="19"/>
        <v>-2</v>
      </c>
      <c r="AT226" s="126">
        <f t="shared" si="20"/>
        <v>-2</v>
      </c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</row>
    <row r="227" spans="1:73" ht="35.1" customHeight="1" x14ac:dyDescent="0.25">
      <c r="A227" s="25">
        <v>4</v>
      </c>
      <c r="B227" s="179" t="s">
        <v>223</v>
      </c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1"/>
      <c r="U227" s="78"/>
      <c r="V227" s="78"/>
      <c r="W227" s="78"/>
      <c r="X227" s="78"/>
      <c r="Y227" s="78"/>
      <c r="Z227" s="78"/>
      <c r="AA227" s="78"/>
      <c r="AB227" s="78"/>
      <c r="AC227" s="24" t="s">
        <v>29</v>
      </c>
      <c r="AD227" s="173" t="s">
        <v>74</v>
      </c>
      <c r="AE227" s="174"/>
      <c r="AF227" s="175"/>
      <c r="AG227" s="153"/>
      <c r="AH227" s="153"/>
      <c r="AI227" s="169">
        <v>7</v>
      </c>
      <c r="AJ227" s="170"/>
      <c r="AK227" s="125"/>
      <c r="AL227" s="126">
        <f t="shared" si="17"/>
        <v>7</v>
      </c>
      <c r="AM227" s="22"/>
      <c r="AN227" s="126">
        <v>7</v>
      </c>
      <c r="AO227" s="126"/>
      <c r="AP227" s="126"/>
      <c r="AQ227" s="126">
        <f t="shared" si="18"/>
        <v>7</v>
      </c>
      <c r="AR227" s="22"/>
      <c r="AS227" s="126">
        <f t="shared" si="19"/>
        <v>0</v>
      </c>
      <c r="AT227" s="126">
        <f t="shared" si="20"/>
        <v>0</v>
      </c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</row>
    <row r="228" spans="1:73" ht="18.75" customHeight="1" x14ac:dyDescent="0.25">
      <c r="A228" s="25"/>
      <c r="B228" s="196" t="s">
        <v>27</v>
      </c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200"/>
      <c r="U228" s="78"/>
      <c r="V228" s="78"/>
      <c r="W228" s="78"/>
      <c r="X228" s="78"/>
      <c r="Y228" s="78"/>
      <c r="Z228" s="78"/>
      <c r="AA228" s="78"/>
      <c r="AB228" s="78"/>
      <c r="AC228" s="24"/>
      <c r="AD228" s="173"/>
      <c r="AE228" s="174"/>
      <c r="AF228" s="175"/>
      <c r="AG228" s="153"/>
      <c r="AH228" s="153"/>
      <c r="AI228" s="167"/>
      <c r="AJ228" s="168"/>
      <c r="AK228" s="113"/>
      <c r="AL228" s="22"/>
      <c r="AM228" s="22"/>
      <c r="AN228" s="22"/>
      <c r="AO228" s="22"/>
      <c r="AP228" s="22"/>
      <c r="AQ228" s="22"/>
      <c r="AR228" s="22"/>
      <c r="AS228" s="22"/>
      <c r="AT228" s="22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</row>
    <row r="229" spans="1:73" ht="66.75" customHeight="1" x14ac:dyDescent="0.25">
      <c r="A229" s="25">
        <v>1</v>
      </c>
      <c r="B229" s="182" t="s">
        <v>224</v>
      </c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4"/>
      <c r="U229" s="78"/>
      <c r="V229" s="78"/>
      <c r="W229" s="78"/>
      <c r="X229" s="78"/>
      <c r="Y229" s="78"/>
      <c r="Z229" s="78"/>
      <c r="AA229" s="78"/>
      <c r="AB229" s="78"/>
      <c r="AC229" s="24" t="s">
        <v>253</v>
      </c>
      <c r="AD229" s="173" t="s">
        <v>24</v>
      </c>
      <c r="AE229" s="174"/>
      <c r="AF229" s="175"/>
      <c r="AG229" s="153"/>
      <c r="AH229" s="153"/>
      <c r="AI229" s="167">
        <f>AI216/AI224</f>
        <v>2228391.5416666665</v>
      </c>
      <c r="AJ229" s="168"/>
      <c r="AK229" s="113"/>
      <c r="AL229" s="22">
        <f t="shared" si="17"/>
        <v>2228391.5416666665</v>
      </c>
      <c r="AM229" s="22"/>
      <c r="AN229" s="22">
        <f>AN216/AN224</f>
        <v>2391029.1469999999</v>
      </c>
      <c r="AO229" s="22"/>
      <c r="AP229" s="22"/>
      <c r="AQ229" s="22">
        <f t="shared" si="18"/>
        <v>2391029.1469999999</v>
      </c>
      <c r="AR229" s="22"/>
      <c r="AS229" s="22">
        <f t="shared" si="19"/>
        <v>162637.60533333337</v>
      </c>
      <c r="AT229" s="22">
        <f t="shared" si="20"/>
        <v>162637.60533333337</v>
      </c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</row>
    <row r="230" spans="1:73" ht="21.75" customHeight="1" x14ac:dyDescent="0.25">
      <c r="A230" s="25">
        <v>2</v>
      </c>
      <c r="B230" s="182" t="s">
        <v>225</v>
      </c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4"/>
      <c r="U230" s="78"/>
      <c r="V230" s="78"/>
      <c r="W230" s="78"/>
      <c r="X230" s="78"/>
      <c r="Y230" s="78"/>
      <c r="Z230" s="78"/>
      <c r="AA230" s="78"/>
      <c r="AB230" s="78"/>
      <c r="AC230" s="24" t="s">
        <v>253</v>
      </c>
      <c r="AD230" s="173" t="s">
        <v>24</v>
      </c>
      <c r="AE230" s="174"/>
      <c r="AF230" s="175"/>
      <c r="AG230" s="153"/>
      <c r="AH230" s="153"/>
      <c r="AI230" s="167">
        <f>(AI218+AI219)/AI225</f>
        <v>2165.3764705882354</v>
      </c>
      <c r="AJ230" s="168"/>
      <c r="AK230" s="113"/>
      <c r="AL230" s="22">
        <f t="shared" si="17"/>
        <v>2165.3764705882354</v>
      </c>
      <c r="AM230" s="22"/>
      <c r="AN230" s="22">
        <f>(AN218+AN219)/AN225</f>
        <v>2043.9697647058824</v>
      </c>
      <c r="AO230" s="22"/>
      <c r="AP230" s="22"/>
      <c r="AQ230" s="22">
        <f t="shared" si="18"/>
        <v>2043.9697647058824</v>
      </c>
      <c r="AR230" s="22"/>
      <c r="AS230" s="22">
        <f t="shared" si="19"/>
        <v>-121.40670588235298</v>
      </c>
      <c r="AT230" s="22">
        <f t="shared" si="20"/>
        <v>-121.40670588235298</v>
      </c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</row>
    <row r="231" spans="1:73" ht="48" customHeight="1" x14ac:dyDescent="0.25">
      <c r="A231" s="25">
        <v>3</v>
      </c>
      <c r="B231" s="179" t="s">
        <v>226</v>
      </c>
      <c r="C231" s="180" t="s">
        <v>227</v>
      </c>
      <c r="D231" s="180" t="s">
        <v>227</v>
      </c>
      <c r="E231" s="180" t="s">
        <v>227</v>
      </c>
      <c r="F231" s="180" t="s">
        <v>227</v>
      </c>
      <c r="G231" s="180" t="s">
        <v>227</v>
      </c>
      <c r="H231" s="180" t="s">
        <v>227</v>
      </c>
      <c r="I231" s="180" t="s">
        <v>227</v>
      </c>
      <c r="J231" s="180" t="s">
        <v>227</v>
      </c>
      <c r="K231" s="180" t="s">
        <v>227</v>
      </c>
      <c r="L231" s="180" t="s">
        <v>227</v>
      </c>
      <c r="M231" s="180" t="s">
        <v>227</v>
      </c>
      <c r="N231" s="180" t="s">
        <v>227</v>
      </c>
      <c r="O231" s="180" t="s">
        <v>227</v>
      </c>
      <c r="P231" s="180" t="s">
        <v>227</v>
      </c>
      <c r="Q231" s="180" t="s">
        <v>227</v>
      </c>
      <c r="R231" s="180" t="s">
        <v>227</v>
      </c>
      <c r="S231" s="180" t="s">
        <v>227</v>
      </c>
      <c r="T231" s="181" t="s">
        <v>227</v>
      </c>
      <c r="U231" s="78"/>
      <c r="V231" s="78"/>
      <c r="W231" s="78"/>
      <c r="X231" s="78"/>
      <c r="Y231" s="78"/>
      <c r="Z231" s="78"/>
      <c r="AA231" s="78"/>
      <c r="AB231" s="78"/>
      <c r="AC231" s="24" t="s">
        <v>253</v>
      </c>
      <c r="AD231" s="173" t="s">
        <v>24</v>
      </c>
      <c r="AE231" s="174"/>
      <c r="AF231" s="175"/>
      <c r="AG231" s="153"/>
      <c r="AH231" s="153"/>
      <c r="AI231" s="167">
        <f>AI220/AI226</f>
        <v>1189333.8214285714</v>
      </c>
      <c r="AJ231" s="168"/>
      <c r="AK231" s="113"/>
      <c r="AL231" s="22">
        <f t="shared" si="17"/>
        <v>1189333.8214285714</v>
      </c>
      <c r="AM231" s="22"/>
      <c r="AN231" s="22">
        <f>AN220/AN226</f>
        <v>1126522.7153846154</v>
      </c>
      <c r="AO231" s="22"/>
      <c r="AP231" s="22"/>
      <c r="AQ231" s="22">
        <f t="shared" si="18"/>
        <v>1126522.7153846154</v>
      </c>
      <c r="AR231" s="22"/>
      <c r="AS231" s="22">
        <f t="shared" si="19"/>
        <v>-62811.10604395601</v>
      </c>
      <c r="AT231" s="22">
        <f t="shared" si="20"/>
        <v>-62811.10604395601</v>
      </c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</row>
    <row r="232" spans="1:73" ht="35.1" customHeight="1" x14ac:dyDescent="0.25">
      <c r="A232" s="25">
        <v>4</v>
      </c>
      <c r="B232" s="171" t="s">
        <v>228</v>
      </c>
      <c r="C232" s="171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78"/>
      <c r="V232" s="78"/>
      <c r="W232" s="78"/>
      <c r="X232" s="78"/>
      <c r="Y232" s="78"/>
      <c r="Z232" s="78"/>
      <c r="AA232" s="78"/>
      <c r="AB232" s="78"/>
      <c r="AC232" s="24" t="s">
        <v>28</v>
      </c>
      <c r="AD232" s="173" t="s">
        <v>24</v>
      </c>
      <c r="AE232" s="174"/>
      <c r="AF232" s="175"/>
      <c r="AG232" s="153"/>
      <c r="AH232" s="153"/>
      <c r="AI232" s="167">
        <f>AI221/AI227</f>
        <v>4361742.8571428573</v>
      </c>
      <c r="AJ232" s="168"/>
      <c r="AK232" s="113"/>
      <c r="AL232" s="22">
        <f t="shared" si="17"/>
        <v>4361742.8571428573</v>
      </c>
      <c r="AM232" s="22"/>
      <c r="AN232" s="22">
        <f>AN221/AN227</f>
        <v>4361742.8571428573</v>
      </c>
      <c r="AO232" s="22"/>
      <c r="AP232" s="22"/>
      <c r="AQ232" s="22">
        <f t="shared" si="18"/>
        <v>4361742.8571428573</v>
      </c>
      <c r="AR232" s="22"/>
      <c r="AS232" s="22">
        <f t="shared" si="19"/>
        <v>0</v>
      </c>
      <c r="AT232" s="22">
        <f t="shared" si="20"/>
        <v>0</v>
      </c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</row>
    <row r="233" spans="1:73" ht="18.75" customHeight="1" x14ac:dyDescent="0.25">
      <c r="A233" s="25"/>
      <c r="B233" s="196" t="s">
        <v>31</v>
      </c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200"/>
      <c r="U233" s="78"/>
      <c r="V233" s="78"/>
      <c r="W233" s="78"/>
      <c r="X233" s="78"/>
      <c r="Y233" s="78"/>
      <c r="Z233" s="78"/>
      <c r="AA233" s="78"/>
      <c r="AB233" s="78"/>
      <c r="AC233" s="24"/>
      <c r="AD233" s="173"/>
      <c r="AE233" s="174"/>
      <c r="AF233" s="175"/>
      <c r="AG233" s="153"/>
      <c r="AH233" s="153"/>
      <c r="AI233" s="167"/>
      <c r="AJ233" s="168"/>
      <c r="AK233" s="113"/>
      <c r="AL233" s="22"/>
      <c r="AM233" s="22"/>
      <c r="AN233" s="22"/>
      <c r="AO233" s="22"/>
      <c r="AP233" s="22"/>
      <c r="AQ233" s="22"/>
      <c r="AR233" s="22"/>
      <c r="AS233" s="22"/>
      <c r="AT233" s="22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</row>
    <row r="234" spans="1:73" ht="66" customHeight="1" x14ac:dyDescent="0.25">
      <c r="A234" s="25">
        <v>1</v>
      </c>
      <c r="B234" s="156" t="s">
        <v>229</v>
      </c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78"/>
      <c r="V234" s="78"/>
      <c r="W234" s="78"/>
      <c r="X234" s="78"/>
      <c r="Y234" s="78"/>
      <c r="Z234" s="78"/>
      <c r="AA234" s="78"/>
      <c r="AB234" s="78"/>
      <c r="AC234" s="24" t="s">
        <v>92</v>
      </c>
      <c r="AD234" s="173" t="s">
        <v>24</v>
      </c>
      <c r="AE234" s="174"/>
      <c r="AF234" s="175"/>
      <c r="AG234" s="153"/>
      <c r="AH234" s="153"/>
      <c r="AI234" s="167">
        <v>100</v>
      </c>
      <c r="AJ234" s="168">
        <v>100</v>
      </c>
      <c r="AK234" s="113"/>
      <c r="AL234" s="22">
        <f t="shared" si="17"/>
        <v>100</v>
      </c>
      <c r="AM234" s="22"/>
      <c r="AN234" s="22">
        <v>100</v>
      </c>
      <c r="AO234" s="22">
        <v>100</v>
      </c>
      <c r="AP234" s="22"/>
      <c r="AQ234" s="22">
        <f t="shared" si="18"/>
        <v>100</v>
      </c>
      <c r="AR234" s="22"/>
      <c r="AS234" s="22">
        <f t="shared" si="19"/>
        <v>0</v>
      </c>
      <c r="AT234" s="22">
        <f t="shared" si="20"/>
        <v>0</v>
      </c>
      <c r="AU234" s="8"/>
      <c r="AV234" s="102">
        <v>100</v>
      </c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</row>
    <row r="235" spans="1:73" ht="80.25" customHeight="1" x14ac:dyDescent="0.25">
      <c r="A235" s="25">
        <f>A234+1</f>
        <v>2</v>
      </c>
      <c r="B235" s="179" t="s">
        <v>230</v>
      </c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1"/>
      <c r="U235" s="78"/>
      <c r="V235" s="78"/>
      <c r="W235" s="78"/>
      <c r="X235" s="78"/>
      <c r="Y235" s="78"/>
      <c r="Z235" s="78"/>
      <c r="AA235" s="78"/>
      <c r="AB235" s="78"/>
      <c r="AC235" s="24" t="s">
        <v>92</v>
      </c>
      <c r="AD235" s="173" t="s">
        <v>24</v>
      </c>
      <c r="AE235" s="174"/>
      <c r="AF235" s="175"/>
      <c r="AG235" s="153"/>
      <c r="AH235" s="153"/>
      <c r="AI235" s="167">
        <v>85</v>
      </c>
      <c r="AJ235" s="168">
        <v>85</v>
      </c>
      <c r="AK235" s="113"/>
      <c r="AL235" s="22">
        <f t="shared" si="17"/>
        <v>85</v>
      </c>
      <c r="AM235" s="22"/>
      <c r="AN235" s="22">
        <v>85</v>
      </c>
      <c r="AO235" s="22">
        <v>85</v>
      </c>
      <c r="AP235" s="22"/>
      <c r="AQ235" s="22">
        <f t="shared" si="18"/>
        <v>85</v>
      </c>
      <c r="AR235" s="22"/>
      <c r="AS235" s="22">
        <f t="shared" si="19"/>
        <v>0</v>
      </c>
      <c r="AT235" s="22">
        <f t="shared" si="20"/>
        <v>0</v>
      </c>
      <c r="AU235" s="8"/>
      <c r="AV235" s="102">
        <v>85</v>
      </c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</row>
    <row r="236" spans="1:73" ht="50.25" customHeight="1" x14ac:dyDescent="0.25">
      <c r="A236" s="25">
        <f t="shared" ref="A236:A258" si="21">A235+1</f>
        <v>3</v>
      </c>
      <c r="B236" s="179" t="s">
        <v>231</v>
      </c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1"/>
      <c r="U236" s="78"/>
      <c r="V236" s="78"/>
      <c r="W236" s="78"/>
      <c r="X236" s="78"/>
      <c r="Y236" s="78"/>
      <c r="Z236" s="78"/>
      <c r="AA236" s="78"/>
      <c r="AB236" s="78"/>
      <c r="AC236" s="24" t="s">
        <v>92</v>
      </c>
      <c r="AD236" s="173" t="s">
        <v>24</v>
      </c>
      <c r="AE236" s="174"/>
      <c r="AF236" s="175"/>
      <c r="AG236" s="153"/>
      <c r="AH236" s="153"/>
      <c r="AI236" s="167">
        <f>AD53/7201884.13*100</f>
        <v>100.00001208017213</v>
      </c>
      <c r="AJ236" s="168">
        <f>AF51/7201884.13*100</f>
        <v>49.252652999847697</v>
      </c>
      <c r="AK236" s="113"/>
      <c r="AL236" s="22">
        <f t="shared" si="17"/>
        <v>100.00001208017213</v>
      </c>
      <c r="AM236" s="22"/>
      <c r="AN236" s="22">
        <f>AI53/7201884.13*100</f>
        <v>64.684428212260073</v>
      </c>
      <c r="AO236" s="22">
        <f>AK51/7201884.13*100</f>
        <v>0</v>
      </c>
      <c r="AP236" s="22"/>
      <c r="AQ236" s="22">
        <f t="shared" si="18"/>
        <v>64.684428212260073</v>
      </c>
      <c r="AR236" s="22"/>
      <c r="AS236" s="22">
        <f t="shared" si="19"/>
        <v>-35.315583867912054</v>
      </c>
      <c r="AT236" s="22">
        <f t="shared" si="20"/>
        <v>-35.315583867912054</v>
      </c>
      <c r="AU236" s="8"/>
      <c r="AV236" s="102">
        <f>AR51/7201884.13*100</f>
        <v>0</v>
      </c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</row>
    <row r="237" spans="1:73" ht="66" customHeight="1" x14ac:dyDescent="0.25">
      <c r="A237" s="25">
        <f t="shared" si="21"/>
        <v>4</v>
      </c>
      <c r="B237" s="179" t="s">
        <v>232</v>
      </c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1"/>
      <c r="U237" s="78"/>
      <c r="V237" s="78"/>
      <c r="W237" s="78"/>
      <c r="X237" s="78"/>
      <c r="Y237" s="78"/>
      <c r="Z237" s="78"/>
      <c r="AA237" s="78"/>
      <c r="AB237" s="78"/>
      <c r="AC237" s="24" t="s">
        <v>92</v>
      </c>
      <c r="AD237" s="173" t="s">
        <v>24</v>
      </c>
      <c r="AE237" s="174"/>
      <c r="AF237" s="175"/>
      <c r="AG237" s="153"/>
      <c r="AH237" s="153"/>
      <c r="AI237" s="167">
        <f>AD54/1392753.1*100</f>
        <v>100.00006462021159</v>
      </c>
      <c r="AJ237" s="168">
        <f>AF53/1392753.1*100</f>
        <v>517.09703607911547</v>
      </c>
      <c r="AK237" s="113"/>
      <c r="AL237" s="22">
        <f t="shared" si="17"/>
        <v>100.00006462021159</v>
      </c>
      <c r="AM237" s="22"/>
      <c r="AN237" s="22">
        <v>100</v>
      </c>
      <c r="AO237" s="22">
        <f>AK53/1392753.1*100</f>
        <v>0</v>
      </c>
      <c r="AP237" s="22"/>
      <c r="AQ237" s="22">
        <f t="shared" si="18"/>
        <v>100</v>
      </c>
      <c r="AR237" s="22"/>
      <c r="AS237" s="22">
        <f t="shared" si="19"/>
        <v>-6.4620211588817256E-5</v>
      </c>
      <c r="AT237" s="22">
        <f t="shared" si="20"/>
        <v>-6.4620211588817256E-5</v>
      </c>
      <c r="AU237" s="8"/>
      <c r="AV237" s="102">
        <f>AR53/1392753.1*100</f>
        <v>0</v>
      </c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</row>
    <row r="238" spans="1:73" ht="53.25" customHeight="1" x14ac:dyDescent="0.25">
      <c r="A238" s="25">
        <f t="shared" si="21"/>
        <v>5</v>
      </c>
      <c r="B238" s="179" t="s">
        <v>233</v>
      </c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1"/>
      <c r="U238" s="78"/>
      <c r="V238" s="78"/>
      <c r="W238" s="78"/>
      <c r="X238" s="78"/>
      <c r="Y238" s="78"/>
      <c r="Z238" s="78"/>
      <c r="AA238" s="78"/>
      <c r="AB238" s="78"/>
      <c r="AC238" s="24" t="s">
        <v>92</v>
      </c>
      <c r="AD238" s="173" t="s">
        <v>24</v>
      </c>
      <c r="AE238" s="174"/>
      <c r="AF238" s="175"/>
      <c r="AG238" s="153"/>
      <c r="AH238" s="153"/>
      <c r="AI238" s="167">
        <f>AD55/1083783.18*100</f>
        <v>100.00007566089005</v>
      </c>
      <c r="AJ238" s="168">
        <f>AF54/1083783.18*100</f>
        <v>128.50854540850136</v>
      </c>
      <c r="AK238" s="113"/>
      <c r="AL238" s="22">
        <f t="shared" si="17"/>
        <v>100.00007566089005</v>
      </c>
      <c r="AM238" s="22"/>
      <c r="AN238" s="22">
        <v>100</v>
      </c>
      <c r="AO238" s="22">
        <f>AK54/1083783.18*100</f>
        <v>0</v>
      </c>
      <c r="AP238" s="22"/>
      <c r="AQ238" s="22">
        <f t="shared" si="18"/>
        <v>100</v>
      </c>
      <c r="AR238" s="22"/>
      <c r="AS238" s="22">
        <f t="shared" si="19"/>
        <v>-7.5660890047402063E-5</v>
      </c>
      <c r="AT238" s="22">
        <f t="shared" si="20"/>
        <v>-7.5660890047402063E-5</v>
      </c>
      <c r="AU238" s="8"/>
      <c r="AV238" s="102">
        <f>AR54/1083783.18*100</f>
        <v>0</v>
      </c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</row>
    <row r="239" spans="1:73" ht="66" customHeight="1" x14ac:dyDescent="0.25">
      <c r="A239" s="25">
        <f t="shared" si="21"/>
        <v>6</v>
      </c>
      <c r="B239" s="179" t="s">
        <v>234</v>
      </c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0"/>
      <c r="T239" s="181"/>
      <c r="U239" s="78"/>
      <c r="V239" s="78"/>
      <c r="W239" s="78"/>
      <c r="X239" s="78"/>
      <c r="Y239" s="78"/>
      <c r="Z239" s="78"/>
      <c r="AA239" s="78"/>
      <c r="AB239" s="78"/>
      <c r="AC239" s="24" t="s">
        <v>92</v>
      </c>
      <c r="AD239" s="173" t="s">
        <v>24</v>
      </c>
      <c r="AE239" s="174"/>
      <c r="AF239" s="175"/>
      <c r="AG239" s="153"/>
      <c r="AH239" s="153"/>
      <c r="AI239" s="167">
        <f>AD56/2272101.71*100</f>
        <v>100.00001276351314</v>
      </c>
      <c r="AJ239" s="168">
        <f>AF55/2272101.71*100</f>
        <v>47.699625207359226</v>
      </c>
      <c r="AK239" s="113"/>
      <c r="AL239" s="22">
        <f t="shared" si="17"/>
        <v>100.00001276351314</v>
      </c>
      <c r="AM239" s="22"/>
      <c r="AN239" s="22">
        <f>AI56/2272101.71*100</f>
        <v>99.997729415026939</v>
      </c>
      <c r="AO239" s="22">
        <f>AK55/2272101.71*100</f>
        <v>0</v>
      </c>
      <c r="AP239" s="22"/>
      <c r="AQ239" s="22">
        <f t="shared" si="18"/>
        <v>99.997729415026939</v>
      </c>
      <c r="AR239" s="22"/>
      <c r="AS239" s="22">
        <f t="shared" si="19"/>
        <v>-2.2833484862019304E-3</v>
      </c>
      <c r="AT239" s="22">
        <f t="shared" si="20"/>
        <v>-2.2833484862019304E-3</v>
      </c>
      <c r="AU239" s="8"/>
      <c r="AV239" s="102">
        <f>AR55/2272101.71*100</f>
        <v>0</v>
      </c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</row>
    <row r="240" spans="1:73" ht="65.25" customHeight="1" x14ac:dyDescent="0.25">
      <c r="A240" s="25">
        <f t="shared" si="21"/>
        <v>7</v>
      </c>
      <c r="B240" s="179" t="s">
        <v>235</v>
      </c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1"/>
      <c r="U240" s="78"/>
      <c r="V240" s="78"/>
      <c r="W240" s="78"/>
      <c r="X240" s="78"/>
      <c r="Y240" s="78"/>
      <c r="Z240" s="78"/>
      <c r="AA240" s="78"/>
      <c r="AB240" s="78"/>
      <c r="AC240" s="24" t="s">
        <v>92</v>
      </c>
      <c r="AD240" s="173" t="s">
        <v>24</v>
      </c>
      <c r="AE240" s="174"/>
      <c r="AF240" s="175"/>
      <c r="AG240" s="153"/>
      <c r="AH240" s="153"/>
      <c r="AI240" s="167">
        <f>AD57/130655*100</f>
        <v>100</v>
      </c>
      <c r="AJ240" s="168">
        <f>AF56/130655*100</f>
        <v>1739.0088400750067</v>
      </c>
      <c r="AK240" s="113"/>
      <c r="AL240" s="22">
        <f t="shared" si="17"/>
        <v>100</v>
      </c>
      <c r="AM240" s="22"/>
      <c r="AN240" s="22">
        <v>100</v>
      </c>
      <c r="AO240" s="22">
        <f>AK56/130655*100</f>
        <v>0</v>
      </c>
      <c r="AP240" s="22"/>
      <c r="AQ240" s="22">
        <f t="shared" si="18"/>
        <v>100</v>
      </c>
      <c r="AR240" s="22"/>
      <c r="AS240" s="22">
        <f t="shared" si="19"/>
        <v>0</v>
      </c>
      <c r="AT240" s="22">
        <f t="shared" si="20"/>
        <v>0</v>
      </c>
      <c r="AU240" s="8"/>
      <c r="AV240" s="102">
        <f>AR56/130655*100</f>
        <v>0</v>
      </c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</row>
    <row r="241" spans="1:73" ht="66" customHeight="1" x14ac:dyDescent="0.25">
      <c r="A241" s="25">
        <f t="shared" si="21"/>
        <v>8</v>
      </c>
      <c r="B241" s="179" t="s">
        <v>236</v>
      </c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1"/>
      <c r="U241" s="78"/>
      <c r="V241" s="78"/>
      <c r="W241" s="78"/>
      <c r="X241" s="78"/>
      <c r="Y241" s="78"/>
      <c r="Z241" s="78"/>
      <c r="AA241" s="78"/>
      <c r="AB241" s="78"/>
      <c r="AC241" s="24" t="s">
        <v>92</v>
      </c>
      <c r="AD241" s="173" t="s">
        <v>24</v>
      </c>
      <c r="AE241" s="174"/>
      <c r="AF241" s="175"/>
      <c r="AG241" s="153"/>
      <c r="AH241" s="153"/>
      <c r="AI241" s="167">
        <f>AD58/294266*100</f>
        <v>100</v>
      </c>
      <c r="AJ241" s="168">
        <f>AF57/294266*100</f>
        <v>44.400304486417056</v>
      </c>
      <c r="AK241" s="113"/>
      <c r="AL241" s="22">
        <f t="shared" si="17"/>
        <v>100</v>
      </c>
      <c r="AM241" s="22"/>
      <c r="AN241" s="22">
        <v>100</v>
      </c>
      <c r="AO241" s="22">
        <f>AK57/294266*100</f>
        <v>0</v>
      </c>
      <c r="AP241" s="22"/>
      <c r="AQ241" s="22">
        <f t="shared" si="18"/>
        <v>100</v>
      </c>
      <c r="AR241" s="22"/>
      <c r="AS241" s="22">
        <f t="shared" si="19"/>
        <v>0</v>
      </c>
      <c r="AT241" s="22">
        <f t="shared" si="20"/>
        <v>0</v>
      </c>
      <c r="AU241" s="8"/>
      <c r="AV241" s="102">
        <f>AR57/294266*100</f>
        <v>0</v>
      </c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</row>
    <row r="242" spans="1:73" ht="82.5" customHeight="1" x14ac:dyDescent="0.25">
      <c r="A242" s="25">
        <f t="shared" si="21"/>
        <v>9</v>
      </c>
      <c r="B242" s="179" t="s">
        <v>237</v>
      </c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1"/>
      <c r="U242" s="78"/>
      <c r="V242" s="78"/>
      <c r="W242" s="78"/>
      <c r="X242" s="78"/>
      <c r="Y242" s="78"/>
      <c r="Z242" s="78"/>
      <c r="AA242" s="78"/>
      <c r="AB242" s="78"/>
      <c r="AC242" s="24" t="s">
        <v>92</v>
      </c>
      <c r="AD242" s="173" t="s">
        <v>24</v>
      </c>
      <c r="AE242" s="174"/>
      <c r="AF242" s="175"/>
      <c r="AG242" s="153"/>
      <c r="AH242" s="153"/>
      <c r="AI242" s="167">
        <f>AD59/(12635096.84+183532.27)*100</f>
        <v>100.00000694302014</v>
      </c>
      <c r="AJ242" s="168">
        <f>AF58/(12635096.84+183532.27)*100</f>
        <v>2.2956120929533625</v>
      </c>
      <c r="AK242" s="113"/>
      <c r="AL242" s="22">
        <f t="shared" si="17"/>
        <v>100.00000694302014</v>
      </c>
      <c r="AM242" s="22"/>
      <c r="AN242" s="22">
        <v>100</v>
      </c>
      <c r="AO242" s="22">
        <f>AK58/(12635096.84+183532.27)*100</f>
        <v>0</v>
      </c>
      <c r="AP242" s="22"/>
      <c r="AQ242" s="22">
        <f t="shared" si="18"/>
        <v>100</v>
      </c>
      <c r="AR242" s="22"/>
      <c r="AS242" s="22">
        <f t="shared" si="19"/>
        <v>-6.943020139260625E-6</v>
      </c>
      <c r="AT242" s="22">
        <f t="shared" si="20"/>
        <v>-6.943020139260625E-6</v>
      </c>
      <c r="AU242" s="8"/>
      <c r="AV242" s="102">
        <f>AR58/(12635096.84+183532.27)*100</f>
        <v>0</v>
      </c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</row>
    <row r="243" spans="1:73" ht="66" customHeight="1" x14ac:dyDescent="0.25">
      <c r="A243" s="25">
        <f t="shared" si="21"/>
        <v>10</v>
      </c>
      <c r="B243" s="179" t="s">
        <v>238</v>
      </c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1"/>
      <c r="U243" s="78"/>
      <c r="V243" s="78"/>
      <c r="W243" s="78"/>
      <c r="X243" s="78"/>
      <c r="Y243" s="78"/>
      <c r="Z243" s="78"/>
      <c r="AA243" s="78"/>
      <c r="AB243" s="78"/>
      <c r="AC243" s="24" t="s">
        <v>92</v>
      </c>
      <c r="AD243" s="173" t="s">
        <v>24</v>
      </c>
      <c r="AE243" s="174"/>
      <c r="AF243" s="175"/>
      <c r="AG243" s="153"/>
      <c r="AH243" s="153"/>
      <c r="AI243" s="167">
        <f>AD60/5736181*100</f>
        <v>88.337153238365389</v>
      </c>
      <c r="AJ243" s="168">
        <f>AF59/5736181*100</f>
        <v>223.46976150159836</v>
      </c>
      <c r="AK243" s="113"/>
      <c r="AL243" s="22">
        <f t="shared" si="17"/>
        <v>88.337153238365389</v>
      </c>
      <c r="AM243" s="22"/>
      <c r="AN243" s="22">
        <f>AI60/5736181*100</f>
        <v>82.64035479354645</v>
      </c>
      <c r="AO243" s="22">
        <f>AK59/5736181*100</f>
        <v>0</v>
      </c>
      <c r="AP243" s="22"/>
      <c r="AQ243" s="22">
        <f t="shared" si="18"/>
        <v>82.64035479354645</v>
      </c>
      <c r="AR243" s="22"/>
      <c r="AS243" s="22">
        <f t="shared" si="19"/>
        <v>-5.6967984448189384</v>
      </c>
      <c r="AT243" s="22">
        <f t="shared" si="20"/>
        <v>-5.6967984448189384</v>
      </c>
      <c r="AU243" s="8"/>
      <c r="AV243" s="102">
        <f>AR59/5736181*100</f>
        <v>0</v>
      </c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</row>
    <row r="244" spans="1:73" ht="63" customHeight="1" x14ac:dyDescent="0.25">
      <c r="A244" s="25">
        <f t="shared" si="21"/>
        <v>11</v>
      </c>
      <c r="B244" s="179" t="s">
        <v>239</v>
      </c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1"/>
      <c r="U244" s="78"/>
      <c r="V244" s="78"/>
      <c r="W244" s="78"/>
      <c r="X244" s="78"/>
      <c r="Y244" s="78"/>
      <c r="Z244" s="78"/>
      <c r="AA244" s="78"/>
      <c r="AB244" s="78"/>
      <c r="AC244" s="24" t="s">
        <v>92</v>
      </c>
      <c r="AD244" s="173" t="s">
        <v>24</v>
      </c>
      <c r="AE244" s="174"/>
      <c r="AF244" s="175"/>
      <c r="AG244" s="153"/>
      <c r="AH244" s="153"/>
      <c r="AI244" s="167">
        <f>AD61/1038210.19*100</f>
        <v>100.00007801888364</v>
      </c>
      <c r="AJ244" s="168">
        <f>AF60/1038210.19*100</f>
        <v>488.0687021575082</v>
      </c>
      <c r="AK244" s="113"/>
      <c r="AL244" s="22">
        <f t="shared" si="17"/>
        <v>100.00007801888364</v>
      </c>
      <c r="AM244" s="22"/>
      <c r="AN244" s="22">
        <f>AI61/1038210.19*100</f>
        <v>100</v>
      </c>
      <c r="AO244" s="22">
        <f>AK60/1038210.19*100</f>
        <v>0</v>
      </c>
      <c r="AP244" s="22"/>
      <c r="AQ244" s="22">
        <f t="shared" si="18"/>
        <v>100</v>
      </c>
      <c r="AR244" s="22"/>
      <c r="AS244" s="22">
        <f t="shared" si="19"/>
        <v>-7.8018883641561843E-5</v>
      </c>
      <c r="AT244" s="22">
        <f t="shared" si="20"/>
        <v>-7.8018883641561843E-5</v>
      </c>
      <c r="AU244" s="8"/>
      <c r="AV244" s="102">
        <f>AR60/1038210.19*100</f>
        <v>0</v>
      </c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</row>
    <row r="245" spans="1:73" ht="66" customHeight="1" x14ac:dyDescent="0.25">
      <c r="A245" s="25">
        <f t="shared" si="21"/>
        <v>12</v>
      </c>
      <c r="B245" s="179" t="s">
        <v>240</v>
      </c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1"/>
      <c r="U245" s="78"/>
      <c r="V245" s="78"/>
      <c r="W245" s="78"/>
      <c r="X245" s="78"/>
      <c r="Y245" s="78"/>
      <c r="Z245" s="78"/>
      <c r="AA245" s="78"/>
      <c r="AB245" s="78"/>
      <c r="AC245" s="24" t="s">
        <v>92</v>
      </c>
      <c r="AD245" s="173" t="s">
        <v>24</v>
      </c>
      <c r="AE245" s="174"/>
      <c r="AF245" s="175"/>
      <c r="AG245" s="153"/>
      <c r="AH245" s="153"/>
      <c r="AI245" s="167">
        <v>78</v>
      </c>
      <c r="AJ245" s="168">
        <v>78</v>
      </c>
      <c r="AK245" s="113"/>
      <c r="AL245" s="22">
        <f t="shared" si="17"/>
        <v>78</v>
      </c>
      <c r="AM245" s="22"/>
      <c r="AN245" s="22">
        <v>78</v>
      </c>
      <c r="AO245" s="22">
        <v>78</v>
      </c>
      <c r="AP245" s="22"/>
      <c r="AQ245" s="22">
        <f t="shared" si="18"/>
        <v>78</v>
      </c>
      <c r="AR245" s="22"/>
      <c r="AS245" s="22">
        <f t="shared" si="19"/>
        <v>0</v>
      </c>
      <c r="AT245" s="22">
        <f t="shared" si="20"/>
        <v>0</v>
      </c>
      <c r="AU245" s="8"/>
      <c r="AV245" s="102">
        <v>78</v>
      </c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</row>
    <row r="246" spans="1:73" ht="66.75" customHeight="1" x14ac:dyDescent="0.25">
      <c r="A246" s="25">
        <f t="shared" si="21"/>
        <v>13</v>
      </c>
      <c r="B246" s="179" t="s">
        <v>241</v>
      </c>
      <c r="C246" s="180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1"/>
      <c r="U246" s="78"/>
      <c r="V246" s="78"/>
      <c r="W246" s="78"/>
      <c r="X246" s="78"/>
      <c r="Y246" s="78"/>
      <c r="Z246" s="78"/>
      <c r="AA246" s="78"/>
      <c r="AB246" s="78"/>
      <c r="AC246" s="24" t="s">
        <v>92</v>
      </c>
      <c r="AD246" s="173" t="s">
        <v>24</v>
      </c>
      <c r="AE246" s="174"/>
      <c r="AF246" s="175"/>
      <c r="AG246" s="153"/>
      <c r="AH246" s="153"/>
      <c r="AI246" s="167">
        <v>61</v>
      </c>
      <c r="AJ246" s="168">
        <v>61</v>
      </c>
      <c r="AK246" s="113"/>
      <c r="AL246" s="22">
        <f t="shared" si="17"/>
        <v>61</v>
      </c>
      <c r="AM246" s="22"/>
      <c r="AN246" s="22">
        <v>61</v>
      </c>
      <c r="AO246" s="22">
        <v>61</v>
      </c>
      <c r="AP246" s="22"/>
      <c r="AQ246" s="22">
        <f t="shared" si="18"/>
        <v>61</v>
      </c>
      <c r="AR246" s="22"/>
      <c r="AS246" s="22">
        <f t="shared" si="19"/>
        <v>0</v>
      </c>
      <c r="AT246" s="22">
        <f t="shared" si="20"/>
        <v>0</v>
      </c>
      <c r="AU246" s="8"/>
      <c r="AV246" s="102">
        <v>61</v>
      </c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</row>
    <row r="247" spans="1:73" ht="66" customHeight="1" x14ac:dyDescent="0.25">
      <c r="A247" s="25">
        <f t="shared" si="21"/>
        <v>14</v>
      </c>
      <c r="B247" s="179" t="s">
        <v>242</v>
      </c>
      <c r="C247" s="180"/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1"/>
      <c r="U247" s="78"/>
      <c r="V247" s="78"/>
      <c r="W247" s="78"/>
      <c r="X247" s="78"/>
      <c r="Y247" s="78"/>
      <c r="Z247" s="78"/>
      <c r="AA247" s="78"/>
      <c r="AB247" s="78"/>
      <c r="AC247" s="24" t="s">
        <v>92</v>
      </c>
      <c r="AD247" s="173" t="s">
        <v>24</v>
      </c>
      <c r="AE247" s="174"/>
      <c r="AF247" s="175"/>
      <c r="AG247" s="153"/>
      <c r="AH247" s="153"/>
      <c r="AI247" s="167">
        <f>AD67/2915336*100</f>
        <v>100</v>
      </c>
      <c r="AJ247" s="168">
        <f>AF66/2915336*100</f>
        <v>5.6411336463447093</v>
      </c>
      <c r="AK247" s="113"/>
      <c r="AL247" s="22">
        <f t="shared" si="17"/>
        <v>100</v>
      </c>
      <c r="AM247" s="22"/>
      <c r="AN247" s="22">
        <v>100</v>
      </c>
      <c r="AO247" s="22">
        <f>AK66/2915336*100</f>
        <v>0</v>
      </c>
      <c r="AP247" s="22"/>
      <c r="AQ247" s="22">
        <f t="shared" si="18"/>
        <v>100</v>
      </c>
      <c r="AR247" s="22"/>
      <c r="AS247" s="22">
        <f t="shared" si="19"/>
        <v>0</v>
      </c>
      <c r="AT247" s="22">
        <f t="shared" si="20"/>
        <v>0</v>
      </c>
      <c r="AU247" s="8"/>
      <c r="AV247" s="102">
        <f>AR66/2915336*100</f>
        <v>0</v>
      </c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</row>
    <row r="248" spans="1:73" ht="64.5" customHeight="1" x14ac:dyDescent="0.25">
      <c r="A248" s="25">
        <f t="shared" si="21"/>
        <v>15</v>
      </c>
      <c r="B248" s="179" t="s">
        <v>243</v>
      </c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1"/>
      <c r="U248" s="78"/>
      <c r="V248" s="78"/>
      <c r="W248" s="78"/>
      <c r="X248" s="78"/>
      <c r="Y248" s="78"/>
      <c r="Z248" s="78"/>
      <c r="AA248" s="78"/>
      <c r="AB248" s="78"/>
      <c r="AC248" s="24" t="s">
        <v>92</v>
      </c>
      <c r="AD248" s="173" t="s">
        <v>24</v>
      </c>
      <c r="AE248" s="174"/>
      <c r="AF248" s="175"/>
      <c r="AG248" s="153"/>
      <c r="AH248" s="153"/>
      <c r="AI248" s="167">
        <v>42</v>
      </c>
      <c r="AJ248" s="168">
        <v>42</v>
      </c>
      <c r="AK248" s="113"/>
      <c r="AL248" s="22">
        <f t="shared" si="17"/>
        <v>42</v>
      </c>
      <c r="AM248" s="22"/>
      <c r="AN248" s="22">
        <v>42</v>
      </c>
      <c r="AO248" s="22">
        <v>42</v>
      </c>
      <c r="AP248" s="22"/>
      <c r="AQ248" s="22">
        <f t="shared" si="18"/>
        <v>42</v>
      </c>
      <c r="AR248" s="22"/>
      <c r="AS248" s="22">
        <f t="shared" si="19"/>
        <v>0</v>
      </c>
      <c r="AT248" s="22">
        <f t="shared" si="20"/>
        <v>0</v>
      </c>
      <c r="AU248" s="8"/>
      <c r="AV248" s="102">
        <v>42</v>
      </c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</row>
    <row r="249" spans="1:73" ht="66" customHeight="1" x14ac:dyDescent="0.25">
      <c r="A249" s="25">
        <f t="shared" si="21"/>
        <v>16</v>
      </c>
      <c r="B249" s="179" t="s">
        <v>244</v>
      </c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1"/>
      <c r="U249" s="78"/>
      <c r="V249" s="78"/>
      <c r="W249" s="78"/>
      <c r="X249" s="78"/>
      <c r="Y249" s="78"/>
      <c r="Z249" s="78"/>
      <c r="AA249" s="78"/>
      <c r="AB249" s="78"/>
      <c r="AC249" s="24" t="s">
        <v>92</v>
      </c>
      <c r="AD249" s="173" t="s">
        <v>24</v>
      </c>
      <c r="AE249" s="174"/>
      <c r="AF249" s="175"/>
      <c r="AG249" s="153"/>
      <c r="AH249" s="153"/>
      <c r="AI249" s="167">
        <f>1165856.81/1442309*100</f>
        <v>80.832665538383253</v>
      </c>
      <c r="AJ249" s="168">
        <f>1165856.81/1442309*100</f>
        <v>80.832665538383253</v>
      </c>
      <c r="AK249" s="113"/>
      <c r="AL249" s="22">
        <f t="shared" si="17"/>
        <v>80.832665538383253</v>
      </c>
      <c r="AM249" s="22"/>
      <c r="AN249" s="22">
        <f>1165856.81/1442309*100</f>
        <v>80.832665538383253</v>
      </c>
      <c r="AO249" s="22">
        <f>1165856.81/1442309*100</f>
        <v>80.832665538383253</v>
      </c>
      <c r="AP249" s="22"/>
      <c r="AQ249" s="22">
        <f t="shared" si="18"/>
        <v>80.832665538383253</v>
      </c>
      <c r="AR249" s="22"/>
      <c r="AS249" s="22">
        <f t="shared" si="19"/>
        <v>0</v>
      </c>
      <c r="AT249" s="22">
        <f t="shared" si="20"/>
        <v>0</v>
      </c>
      <c r="AU249" s="8"/>
      <c r="AV249" s="102">
        <f>1165856.81/1442309*100</f>
        <v>80.832665538383253</v>
      </c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</row>
    <row r="250" spans="1:73" ht="48" customHeight="1" x14ac:dyDescent="0.25">
      <c r="A250" s="25">
        <f t="shared" si="21"/>
        <v>17</v>
      </c>
      <c r="B250" s="179" t="s">
        <v>245</v>
      </c>
      <c r="C250" s="180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1"/>
      <c r="U250" s="78"/>
      <c r="V250" s="78"/>
      <c r="W250" s="78"/>
      <c r="X250" s="78"/>
      <c r="Y250" s="78"/>
      <c r="Z250" s="78"/>
      <c r="AA250" s="78"/>
      <c r="AB250" s="78"/>
      <c r="AC250" s="24" t="s">
        <v>92</v>
      </c>
      <c r="AD250" s="173" t="s">
        <v>24</v>
      </c>
      <c r="AE250" s="174"/>
      <c r="AF250" s="175"/>
      <c r="AG250" s="153"/>
      <c r="AH250" s="153"/>
      <c r="AI250" s="167">
        <v>100</v>
      </c>
      <c r="AJ250" s="168">
        <v>100</v>
      </c>
      <c r="AK250" s="113"/>
      <c r="AL250" s="22">
        <f t="shared" si="17"/>
        <v>100</v>
      </c>
      <c r="AM250" s="22"/>
      <c r="AN250" s="22">
        <v>100</v>
      </c>
      <c r="AO250" s="22">
        <v>100</v>
      </c>
      <c r="AP250" s="22"/>
      <c r="AQ250" s="22">
        <f t="shared" si="18"/>
        <v>100</v>
      </c>
      <c r="AR250" s="22"/>
      <c r="AS250" s="22">
        <f t="shared" si="19"/>
        <v>0</v>
      </c>
      <c r="AT250" s="22">
        <f t="shared" si="20"/>
        <v>0</v>
      </c>
      <c r="AU250" s="8"/>
      <c r="AV250" s="102">
        <v>100</v>
      </c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</row>
    <row r="251" spans="1:73" ht="50.25" customHeight="1" x14ac:dyDescent="0.25">
      <c r="A251" s="25">
        <f t="shared" si="21"/>
        <v>18</v>
      </c>
      <c r="B251" s="179" t="s">
        <v>246</v>
      </c>
      <c r="C251" s="180"/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1"/>
      <c r="U251" s="78"/>
      <c r="V251" s="78"/>
      <c r="W251" s="78"/>
      <c r="X251" s="78"/>
      <c r="Y251" s="78"/>
      <c r="Z251" s="78"/>
      <c r="AA251" s="78"/>
      <c r="AB251" s="78"/>
      <c r="AC251" s="24" t="s">
        <v>92</v>
      </c>
      <c r="AD251" s="173" t="s">
        <v>24</v>
      </c>
      <c r="AE251" s="174"/>
      <c r="AF251" s="175"/>
      <c r="AG251" s="153"/>
      <c r="AH251" s="153"/>
      <c r="AI251" s="167">
        <v>100</v>
      </c>
      <c r="AJ251" s="168">
        <v>100</v>
      </c>
      <c r="AK251" s="113"/>
      <c r="AL251" s="22">
        <f t="shared" si="17"/>
        <v>100</v>
      </c>
      <c r="AM251" s="22"/>
      <c r="AN251" s="22">
        <v>100</v>
      </c>
      <c r="AO251" s="22">
        <v>100</v>
      </c>
      <c r="AP251" s="22"/>
      <c r="AQ251" s="22">
        <f t="shared" si="18"/>
        <v>100</v>
      </c>
      <c r="AR251" s="22"/>
      <c r="AS251" s="22">
        <f t="shared" si="19"/>
        <v>0</v>
      </c>
      <c r="AT251" s="22">
        <f t="shared" si="20"/>
        <v>0</v>
      </c>
      <c r="AU251" s="8"/>
      <c r="AV251" s="102">
        <v>100</v>
      </c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</row>
    <row r="252" spans="1:73" ht="50.25" customHeight="1" x14ac:dyDescent="0.25">
      <c r="A252" s="25">
        <f t="shared" si="21"/>
        <v>19</v>
      </c>
      <c r="B252" s="179" t="s">
        <v>247</v>
      </c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1"/>
      <c r="U252" s="78"/>
      <c r="V252" s="78"/>
      <c r="W252" s="78"/>
      <c r="X252" s="78"/>
      <c r="Y252" s="78"/>
      <c r="Z252" s="78"/>
      <c r="AA252" s="78"/>
      <c r="AB252" s="78"/>
      <c r="AC252" s="24" t="s">
        <v>92</v>
      </c>
      <c r="AD252" s="173" t="s">
        <v>24</v>
      </c>
      <c r="AE252" s="174"/>
      <c r="AF252" s="175"/>
      <c r="AG252" s="153"/>
      <c r="AH252" s="153"/>
      <c r="AI252" s="167">
        <v>100</v>
      </c>
      <c r="AJ252" s="168">
        <v>100</v>
      </c>
      <c r="AK252" s="113"/>
      <c r="AL252" s="22">
        <f t="shared" si="17"/>
        <v>100</v>
      </c>
      <c r="AM252" s="22"/>
      <c r="AN252" s="22">
        <v>100</v>
      </c>
      <c r="AO252" s="22">
        <v>100</v>
      </c>
      <c r="AP252" s="22"/>
      <c r="AQ252" s="22">
        <f t="shared" si="18"/>
        <v>100</v>
      </c>
      <c r="AR252" s="22"/>
      <c r="AS252" s="22">
        <f t="shared" si="19"/>
        <v>0</v>
      </c>
      <c r="AT252" s="22">
        <f t="shared" si="20"/>
        <v>0</v>
      </c>
      <c r="AU252" s="8"/>
      <c r="AV252" s="102">
        <v>100</v>
      </c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</row>
    <row r="253" spans="1:73" ht="49.5" customHeight="1" x14ac:dyDescent="0.25">
      <c r="A253" s="25">
        <f t="shared" si="21"/>
        <v>20</v>
      </c>
      <c r="B253" s="179" t="s">
        <v>248</v>
      </c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1"/>
      <c r="U253" s="78"/>
      <c r="V253" s="78"/>
      <c r="W253" s="78"/>
      <c r="X253" s="78"/>
      <c r="Y253" s="78"/>
      <c r="Z253" s="78"/>
      <c r="AA253" s="78"/>
      <c r="AB253" s="78"/>
      <c r="AC253" s="24" t="s">
        <v>92</v>
      </c>
      <c r="AD253" s="173" t="s">
        <v>24</v>
      </c>
      <c r="AE253" s="174"/>
      <c r="AF253" s="175"/>
      <c r="AG253" s="153"/>
      <c r="AH253" s="153"/>
      <c r="AI253" s="167">
        <f>AD73/993698*100</f>
        <v>100</v>
      </c>
      <c r="AJ253" s="168">
        <f>AF72/993698*100</f>
        <v>69.941068614407996</v>
      </c>
      <c r="AK253" s="113"/>
      <c r="AL253" s="22">
        <f t="shared" si="17"/>
        <v>100</v>
      </c>
      <c r="AM253" s="22"/>
      <c r="AN253" s="22">
        <v>100</v>
      </c>
      <c r="AO253" s="22">
        <f>AK72/993698*100</f>
        <v>0</v>
      </c>
      <c r="AP253" s="22"/>
      <c r="AQ253" s="22">
        <f t="shared" si="18"/>
        <v>100</v>
      </c>
      <c r="AR253" s="22"/>
      <c r="AS253" s="22">
        <f t="shared" si="19"/>
        <v>0</v>
      </c>
      <c r="AT253" s="22">
        <f t="shared" si="20"/>
        <v>0</v>
      </c>
      <c r="AU253" s="8"/>
      <c r="AV253" s="102">
        <f>AR72/993698*100</f>
        <v>0</v>
      </c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</row>
    <row r="254" spans="1:73" ht="60" customHeight="1" x14ac:dyDescent="0.25">
      <c r="A254" s="25">
        <f t="shared" si="21"/>
        <v>21</v>
      </c>
      <c r="B254" s="179" t="s">
        <v>249</v>
      </c>
      <c r="C254" s="180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0"/>
      <c r="T254" s="181"/>
      <c r="U254" s="78"/>
      <c r="V254" s="78"/>
      <c r="W254" s="78"/>
      <c r="X254" s="78"/>
      <c r="Y254" s="78"/>
      <c r="Z254" s="78"/>
      <c r="AA254" s="78"/>
      <c r="AB254" s="78"/>
      <c r="AC254" s="24" t="s">
        <v>92</v>
      </c>
      <c r="AD254" s="173" t="s">
        <v>24</v>
      </c>
      <c r="AE254" s="174"/>
      <c r="AF254" s="175"/>
      <c r="AG254" s="153"/>
      <c r="AH254" s="153"/>
      <c r="AI254" s="167">
        <f>AD74/993022*100</f>
        <v>100</v>
      </c>
      <c r="AJ254" s="168">
        <f>AF73/993022*100</f>
        <v>100.06807502754218</v>
      </c>
      <c r="AK254" s="113"/>
      <c r="AL254" s="22">
        <f t="shared" si="17"/>
        <v>100</v>
      </c>
      <c r="AM254" s="22"/>
      <c r="AN254" s="22">
        <v>100</v>
      </c>
      <c r="AO254" s="22">
        <f>AK73/993022*100</f>
        <v>0</v>
      </c>
      <c r="AP254" s="22"/>
      <c r="AQ254" s="22">
        <f t="shared" si="18"/>
        <v>100</v>
      </c>
      <c r="AR254" s="22"/>
      <c r="AS254" s="22">
        <f t="shared" si="19"/>
        <v>0</v>
      </c>
      <c r="AT254" s="22">
        <f t="shared" si="20"/>
        <v>0</v>
      </c>
      <c r="AU254" s="8"/>
      <c r="AV254" s="102">
        <f>AR73/993022*100</f>
        <v>0</v>
      </c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</row>
    <row r="255" spans="1:73" ht="51" customHeight="1" x14ac:dyDescent="0.25">
      <c r="A255" s="25">
        <f t="shared" si="21"/>
        <v>22</v>
      </c>
      <c r="B255" s="179" t="s">
        <v>250</v>
      </c>
      <c r="C255" s="180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0"/>
      <c r="T255" s="181"/>
      <c r="U255" s="78"/>
      <c r="V255" s="78"/>
      <c r="W255" s="78"/>
      <c r="X255" s="78"/>
      <c r="Y255" s="78"/>
      <c r="Z255" s="78"/>
      <c r="AA255" s="78"/>
      <c r="AB255" s="78"/>
      <c r="AC255" s="24" t="s">
        <v>92</v>
      </c>
      <c r="AD255" s="173" t="s">
        <v>24</v>
      </c>
      <c r="AE255" s="174"/>
      <c r="AF255" s="175"/>
      <c r="AG255" s="153"/>
      <c r="AH255" s="153"/>
      <c r="AI255" s="167">
        <f>AD75/499889*100</f>
        <v>100</v>
      </c>
      <c r="AJ255" s="168">
        <f>AF74/499889*100</f>
        <v>198.64849996699269</v>
      </c>
      <c r="AK255" s="113"/>
      <c r="AL255" s="22">
        <f t="shared" si="17"/>
        <v>100</v>
      </c>
      <c r="AM255" s="22"/>
      <c r="AN255" s="22">
        <f>AI75/499889*100</f>
        <v>0</v>
      </c>
      <c r="AO255" s="22">
        <f>AK74/499889*100</f>
        <v>0</v>
      </c>
      <c r="AP255" s="22"/>
      <c r="AQ255" s="22">
        <f t="shared" si="18"/>
        <v>0</v>
      </c>
      <c r="AR255" s="22"/>
      <c r="AS255" s="22">
        <f t="shared" si="19"/>
        <v>-100</v>
      </c>
      <c r="AT255" s="22">
        <f t="shared" si="20"/>
        <v>-100</v>
      </c>
      <c r="AU255" s="8"/>
      <c r="AV255" s="102">
        <f>AR74/499889*100</f>
        <v>0</v>
      </c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</row>
    <row r="256" spans="1:73" ht="66.75" customHeight="1" x14ac:dyDescent="0.25">
      <c r="A256" s="25">
        <f t="shared" si="21"/>
        <v>23</v>
      </c>
      <c r="B256" s="179" t="s">
        <v>251</v>
      </c>
      <c r="C256" s="180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1"/>
      <c r="U256" s="78"/>
      <c r="V256" s="78"/>
      <c r="W256" s="78"/>
      <c r="X256" s="78"/>
      <c r="Y256" s="78"/>
      <c r="Z256" s="78"/>
      <c r="AA256" s="78"/>
      <c r="AB256" s="78"/>
      <c r="AC256" s="24" t="s">
        <v>92</v>
      </c>
      <c r="AD256" s="173" t="s">
        <v>24</v>
      </c>
      <c r="AE256" s="174"/>
      <c r="AF256" s="175"/>
      <c r="AG256" s="153"/>
      <c r="AH256" s="153"/>
      <c r="AI256" s="167">
        <f>100</f>
        <v>100</v>
      </c>
      <c r="AJ256" s="168">
        <f>100</f>
        <v>100</v>
      </c>
      <c r="AK256" s="113"/>
      <c r="AL256" s="22">
        <f t="shared" si="17"/>
        <v>100</v>
      </c>
      <c r="AM256" s="22"/>
      <c r="AN256" s="22">
        <f>100</f>
        <v>100</v>
      </c>
      <c r="AO256" s="22">
        <f>100</f>
        <v>100</v>
      </c>
      <c r="AP256" s="22"/>
      <c r="AQ256" s="22">
        <f t="shared" si="18"/>
        <v>100</v>
      </c>
      <c r="AR256" s="22"/>
      <c r="AS256" s="22">
        <f t="shared" si="19"/>
        <v>0</v>
      </c>
      <c r="AT256" s="22">
        <f t="shared" si="20"/>
        <v>0</v>
      </c>
      <c r="AU256" s="8"/>
      <c r="AV256" s="102">
        <f>100</f>
        <v>100</v>
      </c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</row>
    <row r="257" spans="1:73" ht="48.75" customHeight="1" x14ac:dyDescent="0.25">
      <c r="A257" s="25">
        <f t="shared" si="21"/>
        <v>24</v>
      </c>
      <c r="B257" s="185" t="s">
        <v>72</v>
      </c>
      <c r="C257" s="186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78"/>
      <c r="V257" s="78"/>
      <c r="W257" s="78"/>
      <c r="X257" s="78"/>
      <c r="Y257" s="78"/>
      <c r="Z257" s="78"/>
      <c r="AA257" s="78"/>
      <c r="AB257" s="78"/>
      <c r="AC257" s="24" t="s">
        <v>92</v>
      </c>
      <c r="AD257" s="173" t="s">
        <v>24</v>
      </c>
      <c r="AE257" s="174"/>
      <c r="AF257" s="175"/>
      <c r="AG257" s="153"/>
      <c r="AH257" s="153"/>
      <c r="AI257" s="167">
        <f>AI215/445748307.15*100</f>
        <v>27.450911565396847</v>
      </c>
      <c r="AJ257" s="168">
        <f>AJ215/445748307.15*100</f>
        <v>0</v>
      </c>
      <c r="AK257" s="113"/>
      <c r="AL257" s="22">
        <f t="shared" si="17"/>
        <v>27.450911565396847</v>
      </c>
      <c r="AM257" s="22"/>
      <c r="AN257" s="22">
        <f>AN215/445748307.15*100</f>
        <v>25.257788405265515</v>
      </c>
      <c r="AO257" s="22">
        <f>AO215/445748307.15*100</f>
        <v>0</v>
      </c>
      <c r="AP257" s="22"/>
      <c r="AQ257" s="22">
        <f t="shared" si="18"/>
        <v>25.257788405265515</v>
      </c>
      <c r="AR257" s="22"/>
      <c r="AS257" s="22">
        <f t="shared" si="19"/>
        <v>-2.1931231601313321</v>
      </c>
      <c r="AT257" s="22">
        <f t="shared" si="20"/>
        <v>-2.1931231601313321</v>
      </c>
      <c r="AU257" s="8"/>
      <c r="AV257" s="102">
        <f>AV215/445748307.15*100</f>
        <v>0</v>
      </c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</row>
    <row r="258" spans="1:73" ht="36" customHeight="1" x14ac:dyDescent="0.25">
      <c r="A258" s="25">
        <f t="shared" si="21"/>
        <v>25</v>
      </c>
      <c r="B258" s="182" t="s">
        <v>252</v>
      </c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4"/>
      <c r="U258" s="78"/>
      <c r="V258" s="78"/>
      <c r="W258" s="78"/>
      <c r="X258" s="78"/>
      <c r="Y258" s="78"/>
      <c r="Z258" s="78"/>
      <c r="AA258" s="78"/>
      <c r="AB258" s="78"/>
      <c r="AC258" s="24" t="s">
        <v>92</v>
      </c>
      <c r="AD258" s="173" t="s">
        <v>24</v>
      </c>
      <c r="AE258" s="174"/>
      <c r="AF258" s="175"/>
      <c r="AG258" s="153"/>
      <c r="AH258" s="153"/>
      <c r="AI258" s="167">
        <v>100</v>
      </c>
      <c r="AJ258" s="168">
        <v>100</v>
      </c>
      <c r="AK258" s="113"/>
      <c r="AL258" s="22">
        <f t="shared" si="17"/>
        <v>100</v>
      </c>
      <c r="AM258" s="22"/>
      <c r="AN258" s="22">
        <v>100</v>
      </c>
      <c r="AO258" s="22">
        <v>100</v>
      </c>
      <c r="AP258" s="22"/>
      <c r="AQ258" s="22">
        <f t="shared" si="18"/>
        <v>100</v>
      </c>
      <c r="AR258" s="22"/>
      <c r="AS258" s="22">
        <f t="shared" si="19"/>
        <v>0</v>
      </c>
      <c r="AT258" s="22">
        <f t="shared" si="20"/>
        <v>0</v>
      </c>
      <c r="AU258" s="8"/>
      <c r="AV258" s="102">
        <v>100</v>
      </c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</row>
    <row r="259" spans="1:73" ht="66" customHeight="1" x14ac:dyDescent="0.25">
      <c r="A259" s="25"/>
      <c r="B259" s="176" t="s">
        <v>263</v>
      </c>
      <c r="C259" s="177"/>
      <c r="D259" s="177"/>
      <c r="E259" s="1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24"/>
      <c r="AD259" s="173"/>
      <c r="AE259" s="174"/>
      <c r="AF259" s="175"/>
      <c r="AG259" s="153"/>
      <c r="AH259" s="153"/>
      <c r="AI259" s="167"/>
      <c r="AJ259" s="168"/>
      <c r="AK259" s="113"/>
      <c r="AL259" s="22"/>
      <c r="AM259" s="22"/>
      <c r="AN259" s="22"/>
      <c r="AO259" s="22"/>
      <c r="AP259" s="22"/>
      <c r="AQ259" s="22"/>
      <c r="AR259" s="22"/>
      <c r="AS259" s="22"/>
      <c r="AT259" s="22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</row>
    <row r="260" spans="1:73" ht="18.75" customHeight="1" x14ac:dyDescent="0.25">
      <c r="A260" s="25"/>
      <c r="B260" s="196" t="s">
        <v>30</v>
      </c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8"/>
      <c r="U260" s="78"/>
      <c r="V260" s="78"/>
      <c r="W260" s="78"/>
      <c r="X260" s="78"/>
      <c r="Y260" s="78"/>
      <c r="Z260" s="78"/>
      <c r="AA260" s="78"/>
      <c r="AB260" s="78"/>
      <c r="AC260" s="24"/>
      <c r="AD260" s="173"/>
      <c r="AE260" s="174"/>
      <c r="AF260" s="175"/>
      <c r="AG260" s="153"/>
      <c r="AH260" s="153"/>
      <c r="AI260" s="167"/>
      <c r="AJ260" s="168"/>
      <c r="AK260" s="113"/>
      <c r="AL260" s="22"/>
      <c r="AM260" s="22"/>
      <c r="AN260" s="22"/>
      <c r="AO260" s="22"/>
      <c r="AP260" s="22"/>
      <c r="AQ260" s="22"/>
      <c r="AR260" s="22"/>
      <c r="AS260" s="22"/>
      <c r="AT260" s="22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</row>
    <row r="261" spans="1:73" ht="18.75" customHeight="1" x14ac:dyDescent="0.25">
      <c r="A261" s="25"/>
      <c r="B261" s="187" t="s">
        <v>211</v>
      </c>
      <c r="C261" s="188"/>
      <c r="D261" s="188"/>
      <c r="E261" s="188"/>
      <c r="F261" s="188"/>
      <c r="G261" s="188"/>
      <c r="H261" s="188"/>
      <c r="I261" s="188"/>
      <c r="J261" s="188"/>
      <c r="K261" s="188"/>
      <c r="L261" s="188"/>
      <c r="M261" s="188"/>
      <c r="N261" s="188"/>
      <c r="O261" s="188"/>
      <c r="P261" s="188"/>
      <c r="Q261" s="188"/>
      <c r="R261" s="188"/>
      <c r="S261" s="188"/>
      <c r="T261" s="189"/>
      <c r="U261" s="78"/>
      <c r="V261" s="78"/>
      <c r="W261" s="78"/>
      <c r="X261" s="78"/>
      <c r="Y261" s="78"/>
      <c r="Z261" s="78"/>
      <c r="AA261" s="78"/>
      <c r="AB261" s="78"/>
      <c r="AC261" s="24" t="s">
        <v>28</v>
      </c>
      <c r="AD261" s="173" t="s">
        <v>71</v>
      </c>
      <c r="AE261" s="174"/>
      <c r="AF261" s="175"/>
      <c r="AG261" s="153"/>
      <c r="AH261" s="153"/>
      <c r="AI261" s="167">
        <f>SUM(AI262:AJ265)</f>
        <v>81260262</v>
      </c>
      <c r="AJ261" s="168"/>
      <c r="AK261" s="113"/>
      <c r="AL261" s="22">
        <f t="shared" si="17"/>
        <v>81260262</v>
      </c>
      <c r="AM261" s="22"/>
      <c r="AN261" s="22">
        <f>SUM(AN262:AO265)</f>
        <v>80978634.710000008</v>
      </c>
      <c r="AO261" s="22"/>
      <c r="AP261" s="22"/>
      <c r="AQ261" s="22">
        <f t="shared" si="18"/>
        <v>80978634.710000008</v>
      </c>
      <c r="AR261" s="22"/>
      <c r="AS261" s="22">
        <f t="shared" si="19"/>
        <v>-281627.28999999166</v>
      </c>
      <c r="AT261" s="22">
        <f t="shared" si="20"/>
        <v>-281627.28999999166</v>
      </c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</row>
    <row r="262" spans="1:73" ht="64.5" customHeight="1" x14ac:dyDescent="0.25">
      <c r="A262" s="25"/>
      <c r="B262" s="182" t="s">
        <v>256</v>
      </c>
      <c r="C262" s="18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4"/>
      <c r="U262" s="78"/>
      <c r="V262" s="78"/>
      <c r="W262" s="78"/>
      <c r="X262" s="78"/>
      <c r="Y262" s="78"/>
      <c r="Z262" s="78"/>
      <c r="AA262" s="78"/>
      <c r="AB262" s="78"/>
      <c r="AC262" s="24" t="s">
        <v>28</v>
      </c>
      <c r="AD262" s="173" t="s">
        <v>71</v>
      </c>
      <c r="AE262" s="174"/>
      <c r="AF262" s="175"/>
      <c r="AG262" s="153"/>
      <c r="AH262" s="153"/>
      <c r="AI262" s="167">
        <f>SUM(AD99:AD110)-AD102</f>
        <v>21536053</v>
      </c>
      <c r="AJ262" s="168"/>
      <c r="AK262" s="113"/>
      <c r="AL262" s="22">
        <f t="shared" si="17"/>
        <v>21536053</v>
      </c>
      <c r="AM262" s="22"/>
      <c r="AN262" s="22">
        <f>SUM(AI99:AI110)-AI102</f>
        <v>21255035.890000001</v>
      </c>
      <c r="AO262" s="22"/>
      <c r="AP262" s="22"/>
      <c r="AQ262" s="22">
        <f t="shared" si="18"/>
        <v>21255035.890000001</v>
      </c>
      <c r="AR262" s="22"/>
      <c r="AS262" s="22">
        <f t="shared" si="19"/>
        <v>-281017.1099999994</v>
      </c>
      <c r="AT262" s="22">
        <f t="shared" si="20"/>
        <v>-281017.1099999994</v>
      </c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</row>
    <row r="263" spans="1:73" ht="35.1" customHeight="1" x14ac:dyDescent="0.25">
      <c r="A263" s="25"/>
      <c r="B263" s="182" t="s">
        <v>257</v>
      </c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4"/>
      <c r="U263" s="78"/>
      <c r="V263" s="78"/>
      <c r="W263" s="78"/>
      <c r="X263" s="78"/>
      <c r="Y263" s="78"/>
      <c r="Z263" s="78"/>
      <c r="AA263" s="78"/>
      <c r="AB263" s="78"/>
      <c r="AC263" s="24" t="s">
        <v>28</v>
      </c>
      <c r="AD263" s="173" t="s">
        <v>71</v>
      </c>
      <c r="AE263" s="174"/>
      <c r="AF263" s="175"/>
      <c r="AG263" s="153"/>
      <c r="AH263" s="153"/>
      <c r="AI263" s="167">
        <f>AD102</f>
        <v>5391470</v>
      </c>
      <c r="AJ263" s="168"/>
      <c r="AK263" s="113"/>
      <c r="AL263" s="22">
        <f t="shared" si="17"/>
        <v>5391470</v>
      </c>
      <c r="AM263" s="22"/>
      <c r="AN263" s="22">
        <f>AI102</f>
        <v>5391468.96</v>
      </c>
      <c r="AO263" s="22"/>
      <c r="AP263" s="22"/>
      <c r="AQ263" s="22">
        <f t="shared" si="18"/>
        <v>5391468.96</v>
      </c>
      <c r="AR263" s="22"/>
      <c r="AS263" s="22">
        <f t="shared" si="19"/>
        <v>-1.0400000000372529</v>
      </c>
      <c r="AT263" s="22">
        <f t="shared" si="20"/>
        <v>-1.0400000000372529</v>
      </c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</row>
    <row r="264" spans="1:73" ht="35.1" customHeight="1" x14ac:dyDescent="0.25">
      <c r="A264" s="25"/>
      <c r="B264" s="182" t="s">
        <v>216</v>
      </c>
      <c r="C264" s="18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4"/>
      <c r="U264" s="78"/>
      <c r="V264" s="78"/>
      <c r="W264" s="78"/>
      <c r="X264" s="78"/>
      <c r="Y264" s="78"/>
      <c r="Z264" s="78"/>
      <c r="AA264" s="78"/>
      <c r="AB264" s="78"/>
      <c r="AC264" s="24" t="s">
        <v>28</v>
      </c>
      <c r="AD264" s="173" t="s">
        <v>71</v>
      </c>
      <c r="AE264" s="174"/>
      <c r="AF264" s="175"/>
      <c r="AG264" s="153"/>
      <c r="AH264" s="153"/>
      <c r="AI264" s="167">
        <f>AD111</f>
        <v>37489539</v>
      </c>
      <c r="AJ264" s="168"/>
      <c r="AK264" s="113"/>
      <c r="AL264" s="22">
        <f t="shared" si="17"/>
        <v>37489539</v>
      </c>
      <c r="AM264" s="22"/>
      <c r="AN264" s="22">
        <f>AI111</f>
        <v>37488929.859999999</v>
      </c>
      <c r="AO264" s="22"/>
      <c r="AP264" s="22"/>
      <c r="AQ264" s="22">
        <f t="shared" si="18"/>
        <v>37488929.859999999</v>
      </c>
      <c r="AR264" s="22"/>
      <c r="AS264" s="22">
        <f t="shared" si="19"/>
        <v>-609.14000000059605</v>
      </c>
      <c r="AT264" s="22">
        <f t="shared" si="20"/>
        <v>-609.14000000059605</v>
      </c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</row>
    <row r="265" spans="1:73" ht="35.1" customHeight="1" x14ac:dyDescent="0.25">
      <c r="A265" s="25"/>
      <c r="B265" s="182" t="s">
        <v>217</v>
      </c>
      <c r="C265" s="18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4"/>
      <c r="U265" s="78"/>
      <c r="V265" s="78"/>
      <c r="W265" s="78"/>
      <c r="X265" s="78"/>
      <c r="Y265" s="78"/>
      <c r="Z265" s="78"/>
      <c r="AA265" s="78"/>
      <c r="AB265" s="78"/>
      <c r="AC265" s="24" t="s">
        <v>28</v>
      </c>
      <c r="AD265" s="173" t="s">
        <v>71</v>
      </c>
      <c r="AE265" s="174"/>
      <c r="AF265" s="175"/>
      <c r="AG265" s="153"/>
      <c r="AH265" s="153"/>
      <c r="AI265" s="167">
        <f>AD118</f>
        <v>16843200</v>
      </c>
      <c r="AJ265" s="168"/>
      <c r="AK265" s="113"/>
      <c r="AL265" s="22">
        <f t="shared" si="17"/>
        <v>16843200</v>
      </c>
      <c r="AM265" s="22"/>
      <c r="AN265" s="22">
        <f>AI118</f>
        <v>16843200</v>
      </c>
      <c r="AO265" s="22"/>
      <c r="AP265" s="22"/>
      <c r="AQ265" s="22">
        <f t="shared" si="18"/>
        <v>16843200</v>
      </c>
      <c r="AR265" s="22"/>
      <c r="AS265" s="22">
        <f t="shared" si="19"/>
        <v>0</v>
      </c>
      <c r="AT265" s="22">
        <f t="shared" si="20"/>
        <v>0</v>
      </c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</row>
    <row r="266" spans="1:73" ht="18.75" customHeight="1" x14ac:dyDescent="0.25">
      <c r="A266" s="25"/>
      <c r="B266" s="190" t="s">
        <v>26</v>
      </c>
      <c r="C266" s="191"/>
      <c r="D266" s="191"/>
      <c r="E266" s="191"/>
      <c r="F266" s="191"/>
      <c r="G266" s="191"/>
      <c r="H266" s="191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2"/>
      <c r="U266" s="78"/>
      <c r="V266" s="78"/>
      <c r="W266" s="78"/>
      <c r="X266" s="78"/>
      <c r="Y266" s="78"/>
      <c r="Z266" s="78"/>
      <c r="AA266" s="78"/>
      <c r="AB266" s="78"/>
      <c r="AC266" s="24"/>
      <c r="AD266" s="173"/>
      <c r="AE266" s="174"/>
      <c r="AF266" s="175"/>
      <c r="AG266" s="153"/>
      <c r="AH266" s="153"/>
      <c r="AI266" s="167"/>
      <c r="AJ266" s="168"/>
      <c r="AK266" s="113"/>
      <c r="AL266" s="22"/>
      <c r="AM266" s="22"/>
      <c r="AN266" s="22"/>
      <c r="AO266" s="22"/>
      <c r="AP266" s="22"/>
      <c r="AQ266" s="22"/>
      <c r="AR266" s="22"/>
      <c r="AS266" s="22"/>
      <c r="AT266" s="22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</row>
    <row r="267" spans="1:73" ht="35.1" customHeight="1" x14ac:dyDescent="0.25">
      <c r="A267" s="25"/>
      <c r="B267" s="179" t="s">
        <v>258</v>
      </c>
      <c r="C267" s="180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1"/>
      <c r="U267" s="78"/>
      <c r="V267" s="78"/>
      <c r="W267" s="78"/>
      <c r="X267" s="78"/>
      <c r="Y267" s="78"/>
      <c r="Z267" s="78"/>
      <c r="AA267" s="78"/>
      <c r="AB267" s="78"/>
      <c r="AC267" s="24" t="s">
        <v>29</v>
      </c>
      <c r="AD267" s="173" t="s">
        <v>414</v>
      </c>
      <c r="AE267" s="174"/>
      <c r="AF267" s="175"/>
      <c r="AG267" s="153"/>
      <c r="AH267" s="153"/>
      <c r="AI267" s="169">
        <v>11</v>
      </c>
      <c r="AJ267" s="170"/>
      <c r="AK267" s="125"/>
      <c r="AL267" s="126">
        <f t="shared" si="17"/>
        <v>11</v>
      </c>
      <c r="AM267" s="22"/>
      <c r="AN267" s="126">
        <v>11</v>
      </c>
      <c r="AO267" s="126"/>
      <c r="AP267" s="126"/>
      <c r="AQ267" s="126">
        <f t="shared" si="18"/>
        <v>11</v>
      </c>
      <c r="AR267" s="126"/>
      <c r="AS267" s="126">
        <f t="shared" si="19"/>
        <v>0</v>
      </c>
      <c r="AT267" s="126">
        <f t="shared" si="20"/>
        <v>0</v>
      </c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</row>
    <row r="268" spans="1:73" ht="35.1" customHeight="1" x14ac:dyDescent="0.25">
      <c r="A268" s="25"/>
      <c r="B268" s="179" t="s">
        <v>259</v>
      </c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1"/>
      <c r="U268" s="78"/>
      <c r="V268" s="78"/>
      <c r="W268" s="78"/>
      <c r="X268" s="78"/>
      <c r="Y268" s="78"/>
      <c r="Z268" s="78"/>
      <c r="AA268" s="78"/>
      <c r="AB268" s="78"/>
      <c r="AC268" s="24" t="s">
        <v>29</v>
      </c>
      <c r="AD268" s="173" t="s">
        <v>414</v>
      </c>
      <c r="AE268" s="174"/>
      <c r="AF268" s="175"/>
      <c r="AG268" s="153"/>
      <c r="AH268" s="153"/>
      <c r="AI268" s="169">
        <f>(6+2)+5+3+50+7+2</f>
        <v>75</v>
      </c>
      <c r="AJ268" s="170">
        <f>(6+2)+5+3+50+7+2</f>
        <v>75</v>
      </c>
      <c r="AK268" s="125"/>
      <c r="AL268" s="126">
        <f t="shared" si="17"/>
        <v>75</v>
      </c>
      <c r="AM268" s="22"/>
      <c r="AN268" s="126">
        <f>8+9+3+50+7+2</f>
        <v>79</v>
      </c>
      <c r="AO268" s="126"/>
      <c r="AP268" s="126"/>
      <c r="AQ268" s="126">
        <f t="shared" si="18"/>
        <v>79</v>
      </c>
      <c r="AR268" s="126"/>
      <c r="AS268" s="126">
        <f t="shared" si="19"/>
        <v>4</v>
      </c>
      <c r="AT268" s="126">
        <f t="shared" si="20"/>
        <v>4</v>
      </c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</row>
    <row r="269" spans="1:73" ht="35.1" customHeight="1" x14ac:dyDescent="0.25">
      <c r="A269" s="25"/>
      <c r="B269" s="179" t="s">
        <v>223</v>
      </c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1"/>
      <c r="U269" s="78"/>
      <c r="V269" s="78"/>
      <c r="W269" s="78"/>
      <c r="X269" s="78"/>
      <c r="Y269" s="78"/>
      <c r="Z269" s="78"/>
      <c r="AA269" s="78"/>
      <c r="AB269" s="78"/>
      <c r="AC269" s="24" t="s">
        <v>29</v>
      </c>
      <c r="AD269" s="173" t="s">
        <v>414</v>
      </c>
      <c r="AE269" s="174"/>
      <c r="AF269" s="175"/>
      <c r="AG269" s="153"/>
      <c r="AH269" s="153"/>
      <c r="AI269" s="169">
        <v>5</v>
      </c>
      <c r="AJ269" s="170"/>
      <c r="AK269" s="125"/>
      <c r="AL269" s="126">
        <f t="shared" si="17"/>
        <v>5</v>
      </c>
      <c r="AM269" s="22"/>
      <c r="AN269" s="126">
        <v>5</v>
      </c>
      <c r="AO269" s="126"/>
      <c r="AP269" s="126"/>
      <c r="AQ269" s="126">
        <f t="shared" si="18"/>
        <v>5</v>
      </c>
      <c r="AR269" s="126"/>
      <c r="AS269" s="126">
        <f t="shared" si="19"/>
        <v>0</v>
      </c>
      <c r="AT269" s="126">
        <f t="shared" si="20"/>
        <v>0</v>
      </c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</row>
    <row r="270" spans="1:73" ht="18.75" customHeight="1" x14ac:dyDescent="0.25">
      <c r="A270" s="25"/>
      <c r="B270" s="190" t="s">
        <v>260</v>
      </c>
      <c r="C270" s="191"/>
      <c r="D270" s="191"/>
      <c r="E270" s="191"/>
      <c r="F270" s="191"/>
      <c r="G270" s="191"/>
      <c r="H270" s="191"/>
      <c r="I270" s="191"/>
      <c r="J270" s="191"/>
      <c r="K270" s="191"/>
      <c r="L270" s="191"/>
      <c r="M270" s="191"/>
      <c r="N270" s="191"/>
      <c r="O270" s="191"/>
      <c r="P270" s="191"/>
      <c r="Q270" s="191"/>
      <c r="R270" s="191"/>
      <c r="S270" s="191"/>
      <c r="T270" s="192"/>
      <c r="U270" s="78"/>
      <c r="V270" s="78"/>
      <c r="W270" s="78"/>
      <c r="X270" s="78"/>
      <c r="Y270" s="78"/>
      <c r="Z270" s="78"/>
      <c r="AA270" s="78"/>
      <c r="AB270" s="78"/>
      <c r="AC270" s="24"/>
      <c r="AD270" s="173"/>
      <c r="AE270" s="174"/>
      <c r="AF270" s="175"/>
      <c r="AG270" s="153"/>
      <c r="AH270" s="153"/>
      <c r="AI270" s="167"/>
      <c r="AJ270" s="168"/>
      <c r="AK270" s="113"/>
      <c r="AL270" s="22"/>
      <c r="AM270" s="22"/>
      <c r="AN270" s="22"/>
      <c r="AO270" s="22"/>
      <c r="AP270" s="22"/>
      <c r="AQ270" s="22"/>
      <c r="AR270" s="22"/>
      <c r="AS270" s="22"/>
      <c r="AT270" s="22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</row>
    <row r="271" spans="1:73" ht="35.1" customHeight="1" x14ac:dyDescent="0.25">
      <c r="A271" s="25"/>
      <c r="B271" s="179" t="s">
        <v>261</v>
      </c>
      <c r="C271" s="180"/>
      <c r="D271" s="180"/>
      <c r="E271" s="180"/>
      <c r="F271" s="180"/>
      <c r="G271" s="180"/>
      <c r="H271" s="180"/>
      <c r="I271" s="180"/>
      <c r="J271" s="180"/>
      <c r="K271" s="180"/>
      <c r="L271" s="180"/>
      <c r="M271" s="180"/>
      <c r="N271" s="180"/>
      <c r="O271" s="180"/>
      <c r="P271" s="180"/>
      <c r="Q271" s="180"/>
      <c r="R271" s="180"/>
      <c r="S271" s="180"/>
      <c r="T271" s="181"/>
      <c r="U271" s="78"/>
      <c r="V271" s="78"/>
      <c r="W271" s="78"/>
      <c r="X271" s="78"/>
      <c r="Y271" s="78"/>
      <c r="Z271" s="78"/>
      <c r="AA271" s="78"/>
      <c r="AB271" s="78"/>
      <c r="AC271" s="24" t="s">
        <v>28</v>
      </c>
      <c r="AD271" s="173" t="s">
        <v>24</v>
      </c>
      <c r="AE271" s="174"/>
      <c r="AF271" s="175"/>
      <c r="AG271" s="153"/>
      <c r="AH271" s="153"/>
      <c r="AI271" s="167">
        <f>AI262/AI267</f>
        <v>1957823</v>
      </c>
      <c r="AJ271" s="168"/>
      <c r="AK271" s="113"/>
      <c r="AL271" s="22">
        <f t="shared" si="17"/>
        <v>1957823</v>
      </c>
      <c r="AM271" s="22"/>
      <c r="AN271" s="22">
        <f>AN262/AN267</f>
        <v>1932275.99</v>
      </c>
      <c r="AO271" s="22"/>
      <c r="AP271" s="22"/>
      <c r="AQ271" s="22">
        <f t="shared" si="18"/>
        <v>1932275.99</v>
      </c>
      <c r="AR271" s="22"/>
      <c r="AS271" s="22">
        <f t="shared" si="19"/>
        <v>-25547.010000000009</v>
      </c>
      <c r="AT271" s="22">
        <f t="shared" si="20"/>
        <v>-25547.010000000009</v>
      </c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</row>
    <row r="272" spans="1:73" ht="35.1" customHeight="1" x14ac:dyDescent="0.25">
      <c r="A272" s="25"/>
      <c r="B272" s="179" t="s">
        <v>262</v>
      </c>
      <c r="C272" s="180" t="s">
        <v>227</v>
      </c>
      <c r="D272" s="180" t="s">
        <v>227</v>
      </c>
      <c r="E272" s="180" t="s">
        <v>227</v>
      </c>
      <c r="F272" s="180" t="s">
        <v>227</v>
      </c>
      <c r="G272" s="180" t="s">
        <v>227</v>
      </c>
      <c r="H272" s="180" t="s">
        <v>227</v>
      </c>
      <c r="I272" s="180" t="s">
        <v>227</v>
      </c>
      <c r="J272" s="180" t="s">
        <v>227</v>
      </c>
      <c r="K272" s="180" t="s">
        <v>227</v>
      </c>
      <c r="L272" s="180" t="s">
        <v>227</v>
      </c>
      <c r="M272" s="180" t="s">
        <v>227</v>
      </c>
      <c r="N272" s="180" t="s">
        <v>227</v>
      </c>
      <c r="O272" s="180" t="s">
        <v>227</v>
      </c>
      <c r="P272" s="180" t="s">
        <v>227</v>
      </c>
      <c r="Q272" s="180" t="s">
        <v>227</v>
      </c>
      <c r="R272" s="180" t="s">
        <v>227</v>
      </c>
      <c r="S272" s="180" t="s">
        <v>227</v>
      </c>
      <c r="T272" s="181" t="s">
        <v>227</v>
      </c>
      <c r="U272" s="78"/>
      <c r="V272" s="78"/>
      <c r="W272" s="78"/>
      <c r="X272" s="78"/>
      <c r="Y272" s="78"/>
      <c r="Z272" s="78"/>
      <c r="AA272" s="78"/>
      <c r="AB272" s="78"/>
      <c r="AC272" s="24" t="s">
        <v>28</v>
      </c>
      <c r="AD272" s="173" t="s">
        <v>24</v>
      </c>
      <c r="AE272" s="174"/>
      <c r="AF272" s="175"/>
      <c r="AG272" s="153"/>
      <c r="AH272" s="153"/>
      <c r="AI272" s="167">
        <f>AI264/AI268</f>
        <v>499860.52</v>
      </c>
      <c r="AJ272" s="168"/>
      <c r="AK272" s="113"/>
      <c r="AL272" s="22">
        <f t="shared" si="17"/>
        <v>499860.52</v>
      </c>
      <c r="AM272" s="22"/>
      <c r="AN272" s="22">
        <f>AN264/AN268</f>
        <v>474543.4159493671</v>
      </c>
      <c r="AO272" s="22"/>
      <c r="AP272" s="22"/>
      <c r="AQ272" s="22">
        <f t="shared" si="18"/>
        <v>474543.4159493671</v>
      </c>
      <c r="AR272" s="22"/>
      <c r="AS272" s="22">
        <f t="shared" si="19"/>
        <v>-25317.104050632915</v>
      </c>
      <c r="AT272" s="22">
        <f t="shared" si="20"/>
        <v>-25317.104050632915</v>
      </c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</row>
    <row r="273" spans="1:73" ht="35.1" customHeight="1" x14ac:dyDescent="0.25">
      <c r="A273" s="25"/>
      <c r="B273" s="171" t="s">
        <v>228</v>
      </c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78"/>
      <c r="V273" s="78"/>
      <c r="W273" s="78"/>
      <c r="X273" s="78"/>
      <c r="Y273" s="78"/>
      <c r="Z273" s="78"/>
      <c r="AA273" s="78"/>
      <c r="AB273" s="78"/>
      <c r="AC273" s="24" t="s">
        <v>28</v>
      </c>
      <c r="AD273" s="173" t="s">
        <v>24</v>
      </c>
      <c r="AE273" s="174"/>
      <c r="AF273" s="175"/>
      <c r="AG273" s="153"/>
      <c r="AH273" s="153"/>
      <c r="AI273" s="167">
        <f>AI265/AI269</f>
        <v>3368640</v>
      </c>
      <c r="AJ273" s="168"/>
      <c r="AK273" s="113"/>
      <c r="AL273" s="22">
        <f t="shared" si="17"/>
        <v>3368640</v>
      </c>
      <c r="AM273" s="22"/>
      <c r="AN273" s="22">
        <f>AN265/AN269</f>
        <v>3368640</v>
      </c>
      <c r="AO273" s="22"/>
      <c r="AP273" s="22"/>
      <c r="AQ273" s="22">
        <f t="shared" si="18"/>
        <v>3368640</v>
      </c>
      <c r="AR273" s="22"/>
      <c r="AS273" s="22">
        <f t="shared" si="19"/>
        <v>0</v>
      </c>
      <c r="AT273" s="22">
        <f t="shared" si="20"/>
        <v>0</v>
      </c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</row>
    <row r="274" spans="1:73" ht="18.75" customHeight="1" x14ac:dyDescent="0.25">
      <c r="A274" s="25"/>
      <c r="B274" s="193" t="s">
        <v>31</v>
      </c>
      <c r="C274" s="194"/>
      <c r="D274" s="194"/>
      <c r="E274" s="194"/>
      <c r="F274" s="194"/>
      <c r="G274" s="194"/>
      <c r="H274" s="194"/>
      <c r="I274" s="194"/>
      <c r="J274" s="194"/>
      <c r="K274" s="194"/>
      <c r="L274" s="194"/>
      <c r="M274" s="194"/>
      <c r="N274" s="194"/>
      <c r="O274" s="194"/>
      <c r="P274" s="194"/>
      <c r="Q274" s="194"/>
      <c r="R274" s="194"/>
      <c r="S274" s="194"/>
      <c r="T274" s="195"/>
      <c r="U274" s="78"/>
      <c r="V274" s="78"/>
      <c r="W274" s="78"/>
      <c r="X274" s="78"/>
      <c r="Y274" s="78"/>
      <c r="Z274" s="78"/>
      <c r="AA274" s="78"/>
      <c r="AB274" s="78"/>
      <c r="AC274" s="24"/>
      <c r="AD274" s="173"/>
      <c r="AE274" s="174"/>
      <c r="AF274" s="175"/>
      <c r="AG274" s="153"/>
      <c r="AH274" s="153"/>
      <c r="AI274" s="167"/>
      <c r="AJ274" s="168"/>
      <c r="AK274" s="113"/>
      <c r="AL274" s="22"/>
      <c r="AM274" s="22"/>
      <c r="AN274" s="22"/>
      <c r="AO274" s="22"/>
      <c r="AP274" s="22"/>
      <c r="AQ274" s="22"/>
      <c r="AR274" s="22"/>
      <c r="AS274" s="22"/>
      <c r="AT274" s="22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</row>
    <row r="275" spans="1:73" ht="47.25" customHeight="1" x14ac:dyDescent="0.25">
      <c r="A275" s="25"/>
      <c r="B275" s="185" t="s">
        <v>72</v>
      </c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78"/>
      <c r="V275" s="78"/>
      <c r="W275" s="78"/>
      <c r="X275" s="78"/>
      <c r="Y275" s="78"/>
      <c r="Z275" s="78"/>
      <c r="AA275" s="78"/>
      <c r="AB275" s="78"/>
      <c r="AC275" s="24" t="s">
        <v>92</v>
      </c>
      <c r="AD275" s="173" t="s">
        <v>24</v>
      </c>
      <c r="AE275" s="174"/>
      <c r="AF275" s="175"/>
      <c r="AG275" s="153"/>
      <c r="AH275" s="153"/>
      <c r="AI275" s="167">
        <f>AI261/212520004.34*100</f>
        <v>38.23652378154285</v>
      </c>
      <c r="AJ275" s="168">
        <f>AJ261/212520004.34*100</f>
        <v>0</v>
      </c>
      <c r="AK275" s="113"/>
      <c r="AL275" s="22">
        <f t="shared" si="17"/>
        <v>38.23652378154285</v>
      </c>
      <c r="AM275" s="22"/>
      <c r="AN275" s="22">
        <f>AN261/212520004.34*100</f>
        <v>38.104005767121286</v>
      </c>
      <c r="AO275" s="22">
        <f>AO261/212520004.34*100</f>
        <v>0</v>
      </c>
      <c r="AP275" s="22"/>
      <c r="AQ275" s="22">
        <f t="shared" si="18"/>
        <v>38.104005767121286</v>
      </c>
      <c r="AR275" s="22"/>
      <c r="AS275" s="22">
        <f t="shared" si="19"/>
        <v>-0.13251801442156363</v>
      </c>
      <c r="AT275" s="22">
        <f t="shared" si="20"/>
        <v>-0.13251801442156363</v>
      </c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</row>
    <row r="276" spans="1:73" ht="78.75" customHeight="1" x14ac:dyDescent="0.25">
      <c r="A276" s="25"/>
      <c r="B276" s="176" t="s">
        <v>292</v>
      </c>
      <c r="C276" s="177"/>
      <c r="D276" s="177"/>
      <c r="E276" s="1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24"/>
      <c r="AD276" s="173"/>
      <c r="AE276" s="174"/>
      <c r="AF276" s="175"/>
      <c r="AG276" s="153"/>
      <c r="AH276" s="153"/>
      <c r="AI276" s="167"/>
      <c r="AJ276" s="168"/>
      <c r="AK276" s="113"/>
      <c r="AL276" s="22"/>
      <c r="AM276" s="22"/>
      <c r="AN276" s="22"/>
      <c r="AO276" s="22"/>
      <c r="AP276" s="22"/>
      <c r="AQ276" s="22"/>
      <c r="AR276" s="22"/>
      <c r="AS276" s="22"/>
      <c r="AT276" s="22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</row>
    <row r="277" spans="1:73" ht="18.75" customHeight="1" x14ac:dyDescent="0.25">
      <c r="A277" s="25"/>
      <c r="B277" s="163" t="s">
        <v>30</v>
      </c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78"/>
      <c r="V277" s="78"/>
      <c r="W277" s="78"/>
      <c r="X277" s="78"/>
      <c r="Y277" s="78"/>
      <c r="Z277" s="78"/>
      <c r="AA277" s="78"/>
      <c r="AB277" s="78"/>
      <c r="AC277" s="24"/>
      <c r="AD277" s="173"/>
      <c r="AE277" s="174"/>
      <c r="AF277" s="175"/>
      <c r="AG277" s="153"/>
      <c r="AH277" s="153"/>
      <c r="AI277" s="167"/>
      <c r="AJ277" s="168"/>
      <c r="AK277" s="113"/>
      <c r="AL277" s="22"/>
      <c r="AM277" s="22"/>
      <c r="AN277" s="22"/>
      <c r="AO277" s="22"/>
      <c r="AP277" s="22"/>
      <c r="AQ277" s="22"/>
      <c r="AR277" s="22"/>
      <c r="AS277" s="22"/>
      <c r="AT277" s="22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</row>
    <row r="278" spans="1:73" ht="18.75" customHeight="1" x14ac:dyDescent="0.25">
      <c r="A278" s="25"/>
      <c r="B278" s="185" t="s">
        <v>211</v>
      </c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78"/>
      <c r="V278" s="78"/>
      <c r="W278" s="78"/>
      <c r="X278" s="78"/>
      <c r="Y278" s="78"/>
      <c r="Z278" s="78"/>
      <c r="AA278" s="78"/>
      <c r="AB278" s="78"/>
      <c r="AC278" s="24" t="s">
        <v>28</v>
      </c>
      <c r="AD278" s="173" t="s">
        <v>71</v>
      </c>
      <c r="AE278" s="174"/>
      <c r="AF278" s="175"/>
      <c r="AG278" s="153"/>
      <c r="AH278" s="153"/>
      <c r="AI278" s="167">
        <f>SUM(AI279:AJ281)</f>
        <v>64779328</v>
      </c>
      <c r="AJ278" s="168"/>
      <c r="AK278" s="113"/>
      <c r="AL278" s="22">
        <f t="shared" si="17"/>
        <v>64779328</v>
      </c>
      <c r="AM278" s="22"/>
      <c r="AN278" s="22">
        <f>SUM(AN279:AO281)</f>
        <v>64654056.399999999</v>
      </c>
      <c r="AO278" s="22"/>
      <c r="AP278" s="22"/>
      <c r="AQ278" s="22">
        <f t="shared" si="18"/>
        <v>64654056.399999999</v>
      </c>
      <c r="AR278" s="22"/>
      <c r="AS278" s="22">
        <f t="shared" si="19"/>
        <v>-125271.60000000149</v>
      </c>
      <c r="AT278" s="22">
        <f t="shared" si="20"/>
        <v>-125271.60000000149</v>
      </c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</row>
    <row r="279" spans="1:73" ht="35.1" customHeight="1" x14ac:dyDescent="0.25">
      <c r="A279" s="25"/>
      <c r="B279" s="156" t="s">
        <v>217</v>
      </c>
      <c r="C279" s="156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78"/>
      <c r="V279" s="78"/>
      <c r="W279" s="78"/>
      <c r="X279" s="78"/>
      <c r="Y279" s="78"/>
      <c r="Z279" s="78"/>
      <c r="AA279" s="78"/>
      <c r="AB279" s="78"/>
      <c r="AC279" s="24" t="s">
        <v>28</v>
      </c>
      <c r="AD279" s="173" t="s">
        <v>71</v>
      </c>
      <c r="AE279" s="174"/>
      <c r="AF279" s="175"/>
      <c r="AG279" s="153"/>
      <c r="AH279" s="153"/>
      <c r="AI279" s="167">
        <f>AD122</f>
        <v>61304675</v>
      </c>
      <c r="AJ279" s="168"/>
      <c r="AK279" s="113"/>
      <c r="AL279" s="22">
        <f t="shared" ref="AL279:AL342" si="22">AI279</f>
        <v>61304675</v>
      </c>
      <c r="AM279" s="22"/>
      <c r="AN279" s="22">
        <f>AI122</f>
        <v>61217972.399999999</v>
      </c>
      <c r="AO279" s="22"/>
      <c r="AP279" s="22"/>
      <c r="AQ279" s="22">
        <f t="shared" ref="AQ279:AQ342" si="23">AN279</f>
        <v>61217972.399999999</v>
      </c>
      <c r="AR279" s="22"/>
      <c r="AS279" s="22">
        <f t="shared" ref="AS279:AS342" si="24">AN279-AI279</f>
        <v>-86702.60000000149</v>
      </c>
      <c r="AT279" s="22">
        <f t="shared" ref="AT279:AT342" si="25">AS279</f>
        <v>-86702.60000000149</v>
      </c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</row>
    <row r="280" spans="1:73" ht="94.5" customHeight="1" x14ac:dyDescent="0.25">
      <c r="A280" s="25"/>
      <c r="B280" s="156" t="s">
        <v>268</v>
      </c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78"/>
      <c r="V280" s="78"/>
      <c r="W280" s="78"/>
      <c r="X280" s="78"/>
      <c r="Y280" s="78"/>
      <c r="Z280" s="78"/>
      <c r="AA280" s="78"/>
      <c r="AB280" s="78"/>
      <c r="AC280" s="24" t="s">
        <v>28</v>
      </c>
      <c r="AD280" s="173" t="s">
        <v>71</v>
      </c>
      <c r="AE280" s="174"/>
      <c r="AF280" s="175"/>
      <c r="AG280" s="153"/>
      <c r="AH280" s="153"/>
      <c r="AI280" s="167">
        <f>AD131</f>
        <v>438523</v>
      </c>
      <c r="AJ280" s="168"/>
      <c r="AK280" s="113"/>
      <c r="AL280" s="22">
        <f t="shared" si="22"/>
        <v>438523</v>
      </c>
      <c r="AM280" s="22"/>
      <c r="AN280" s="22">
        <f>AI131</f>
        <v>403170</v>
      </c>
      <c r="AO280" s="22"/>
      <c r="AP280" s="22"/>
      <c r="AQ280" s="22">
        <f t="shared" si="23"/>
        <v>403170</v>
      </c>
      <c r="AR280" s="22"/>
      <c r="AS280" s="22">
        <f t="shared" si="24"/>
        <v>-35353</v>
      </c>
      <c r="AT280" s="22">
        <f t="shared" si="25"/>
        <v>-35353</v>
      </c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</row>
    <row r="281" spans="1:73" ht="49.5" customHeight="1" x14ac:dyDescent="0.25">
      <c r="A281" s="25"/>
      <c r="B281" s="182" t="s">
        <v>269</v>
      </c>
      <c r="C281" s="18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4"/>
      <c r="U281" s="78"/>
      <c r="V281" s="78"/>
      <c r="W281" s="78"/>
      <c r="X281" s="78"/>
      <c r="Y281" s="78"/>
      <c r="Z281" s="78"/>
      <c r="AA281" s="78"/>
      <c r="AB281" s="78"/>
      <c r="AC281" s="24" t="s">
        <v>28</v>
      </c>
      <c r="AD281" s="173" t="s">
        <v>71</v>
      </c>
      <c r="AE281" s="174"/>
      <c r="AF281" s="175"/>
      <c r="AG281" s="153"/>
      <c r="AH281" s="153"/>
      <c r="AI281" s="167">
        <f>AD132</f>
        <v>3036130</v>
      </c>
      <c r="AJ281" s="168"/>
      <c r="AK281" s="113"/>
      <c r="AL281" s="22">
        <f t="shared" si="22"/>
        <v>3036130</v>
      </c>
      <c r="AM281" s="22"/>
      <c r="AN281" s="22">
        <f>AI132</f>
        <v>3032914</v>
      </c>
      <c r="AO281" s="22"/>
      <c r="AP281" s="22"/>
      <c r="AQ281" s="22">
        <f t="shared" si="23"/>
        <v>3032914</v>
      </c>
      <c r="AR281" s="22"/>
      <c r="AS281" s="22">
        <f t="shared" si="24"/>
        <v>-3216</v>
      </c>
      <c r="AT281" s="22">
        <f t="shared" si="25"/>
        <v>-3216</v>
      </c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</row>
    <row r="282" spans="1:73" ht="18.75" customHeight="1" x14ac:dyDescent="0.25">
      <c r="A282" s="25"/>
      <c r="B282" s="172" t="s">
        <v>265</v>
      </c>
      <c r="C282" s="172"/>
      <c r="D282" s="172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78"/>
      <c r="V282" s="78"/>
      <c r="W282" s="78"/>
      <c r="X282" s="78"/>
      <c r="Y282" s="78"/>
      <c r="Z282" s="78"/>
      <c r="AA282" s="78"/>
      <c r="AB282" s="78"/>
      <c r="AC282" s="24"/>
      <c r="AD282" s="173"/>
      <c r="AE282" s="174"/>
      <c r="AF282" s="175"/>
      <c r="AG282" s="153"/>
      <c r="AH282" s="153"/>
      <c r="AI282" s="167"/>
      <c r="AJ282" s="168"/>
      <c r="AK282" s="113"/>
      <c r="AL282" s="22"/>
      <c r="AM282" s="22"/>
      <c r="AN282" s="22"/>
      <c r="AO282" s="22"/>
      <c r="AP282" s="22"/>
      <c r="AQ282" s="22"/>
      <c r="AR282" s="22"/>
      <c r="AS282" s="22"/>
      <c r="AT282" s="22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</row>
    <row r="283" spans="1:73" ht="35.1" customHeight="1" x14ac:dyDescent="0.25">
      <c r="A283" s="25"/>
      <c r="B283" s="171" t="s">
        <v>223</v>
      </c>
      <c r="C283" s="171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71"/>
      <c r="U283" s="78"/>
      <c r="V283" s="78"/>
      <c r="W283" s="78"/>
      <c r="X283" s="78"/>
      <c r="Y283" s="78"/>
      <c r="Z283" s="78"/>
      <c r="AA283" s="78"/>
      <c r="AB283" s="78"/>
      <c r="AC283" s="24" t="s">
        <v>29</v>
      </c>
      <c r="AD283" s="173" t="s">
        <v>74</v>
      </c>
      <c r="AE283" s="174"/>
      <c r="AF283" s="175"/>
      <c r="AG283" s="153"/>
      <c r="AH283" s="153"/>
      <c r="AI283" s="169">
        <f>(1+5+1+1+2+3+5+1+1)+1-2</f>
        <v>19</v>
      </c>
      <c r="AJ283" s="170">
        <f>(1+5+1+1+2+3+5+1+1)+1-2</f>
        <v>19</v>
      </c>
      <c r="AK283" s="125"/>
      <c r="AL283" s="126">
        <f t="shared" si="22"/>
        <v>19</v>
      </c>
      <c r="AM283" s="126"/>
      <c r="AN283" s="126">
        <f>1+5+1+2+3+5+1+1</f>
        <v>19</v>
      </c>
      <c r="AO283" s="126"/>
      <c r="AP283" s="126"/>
      <c r="AQ283" s="126">
        <f t="shared" si="23"/>
        <v>19</v>
      </c>
      <c r="AR283" s="126"/>
      <c r="AS283" s="126">
        <f t="shared" si="24"/>
        <v>0</v>
      </c>
      <c r="AT283" s="126">
        <f t="shared" si="25"/>
        <v>0</v>
      </c>
      <c r="AU283" s="8"/>
      <c r="AV283" s="102" t="s">
        <v>415</v>
      </c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</row>
    <row r="284" spans="1:73" ht="17.25" customHeight="1" x14ac:dyDescent="0.25">
      <c r="A284" s="25"/>
      <c r="B284" s="171" t="s">
        <v>270</v>
      </c>
      <c r="C284" s="171"/>
      <c r="D284" s="171"/>
      <c r="E284" s="171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  <c r="T284" s="171"/>
      <c r="U284" s="78"/>
      <c r="V284" s="78"/>
      <c r="W284" s="78"/>
      <c r="X284" s="78"/>
      <c r="Y284" s="78"/>
      <c r="Z284" s="78"/>
      <c r="AA284" s="78"/>
      <c r="AB284" s="78"/>
      <c r="AC284" s="24" t="s">
        <v>29</v>
      </c>
      <c r="AD284" s="173" t="s">
        <v>74</v>
      </c>
      <c r="AE284" s="174"/>
      <c r="AF284" s="175"/>
      <c r="AG284" s="153"/>
      <c r="AH284" s="153"/>
      <c r="AI284" s="169">
        <v>1</v>
      </c>
      <c r="AJ284" s="170">
        <v>1</v>
      </c>
      <c r="AK284" s="125"/>
      <c r="AL284" s="126">
        <f t="shared" si="22"/>
        <v>1</v>
      </c>
      <c r="AM284" s="126"/>
      <c r="AN284" s="126">
        <v>1</v>
      </c>
      <c r="AO284" s="126"/>
      <c r="AP284" s="126"/>
      <c r="AQ284" s="126">
        <f t="shared" si="23"/>
        <v>1</v>
      </c>
      <c r="AR284" s="126"/>
      <c r="AS284" s="126">
        <f t="shared" si="24"/>
        <v>0</v>
      </c>
      <c r="AT284" s="126">
        <f t="shared" si="25"/>
        <v>0</v>
      </c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</row>
    <row r="285" spans="1:73" ht="49.5" customHeight="1" x14ac:dyDescent="0.25">
      <c r="A285" s="25"/>
      <c r="B285" s="179" t="s">
        <v>271</v>
      </c>
      <c r="C285" s="180"/>
      <c r="D285" s="180"/>
      <c r="E285" s="180"/>
      <c r="F285" s="180"/>
      <c r="G285" s="180"/>
      <c r="H285" s="180"/>
      <c r="I285" s="180"/>
      <c r="J285" s="180"/>
      <c r="K285" s="180"/>
      <c r="L285" s="180"/>
      <c r="M285" s="180"/>
      <c r="N285" s="180"/>
      <c r="O285" s="180"/>
      <c r="P285" s="180"/>
      <c r="Q285" s="180"/>
      <c r="R285" s="180"/>
      <c r="S285" s="180"/>
      <c r="T285" s="181"/>
      <c r="U285" s="78"/>
      <c r="V285" s="78"/>
      <c r="W285" s="78"/>
      <c r="X285" s="78"/>
      <c r="Y285" s="78"/>
      <c r="Z285" s="78"/>
      <c r="AA285" s="78"/>
      <c r="AB285" s="78"/>
      <c r="AC285" s="24" t="s">
        <v>29</v>
      </c>
      <c r="AD285" s="173" t="s">
        <v>74</v>
      </c>
      <c r="AE285" s="174"/>
      <c r="AF285" s="175"/>
      <c r="AG285" s="153"/>
      <c r="AH285" s="153"/>
      <c r="AI285" s="169">
        <f>1+3+5+1</f>
        <v>10</v>
      </c>
      <c r="AJ285" s="170">
        <f>1+3+5+1</f>
        <v>10</v>
      </c>
      <c r="AK285" s="125"/>
      <c r="AL285" s="126">
        <f t="shared" si="22"/>
        <v>10</v>
      </c>
      <c r="AM285" s="126"/>
      <c r="AN285" s="126">
        <f>1+3+5+1</f>
        <v>10</v>
      </c>
      <c r="AO285" s="126"/>
      <c r="AP285" s="126"/>
      <c r="AQ285" s="126">
        <f t="shared" si="23"/>
        <v>10</v>
      </c>
      <c r="AR285" s="126"/>
      <c r="AS285" s="126">
        <f t="shared" si="24"/>
        <v>0</v>
      </c>
      <c r="AT285" s="126">
        <f t="shared" si="25"/>
        <v>0</v>
      </c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</row>
    <row r="286" spans="1:73" ht="18.75" customHeight="1" x14ac:dyDescent="0.25">
      <c r="A286" s="25"/>
      <c r="B286" s="172" t="s">
        <v>27</v>
      </c>
      <c r="C286" s="172"/>
      <c r="D286" s="172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  <c r="R286" s="172"/>
      <c r="S286" s="172"/>
      <c r="T286" s="172"/>
      <c r="U286" s="78"/>
      <c r="V286" s="78"/>
      <c r="W286" s="78"/>
      <c r="X286" s="78"/>
      <c r="Y286" s="78"/>
      <c r="Z286" s="78"/>
      <c r="AA286" s="78"/>
      <c r="AB286" s="78"/>
      <c r="AC286" s="24"/>
      <c r="AD286" s="173"/>
      <c r="AE286" s="174"/>
      <c r="AF286" s="175"/>
      <c r="AG286" s="153"/>
      <c r="AH286" s="153"/>
      <c r="AI286" s="167"/>
      <c r="AJ286" s="168"/>
      <c r="AK286" s="113"/>
      <c r="AL286" s="22"/>
      <c r="AM286" s="22"/>
      <c r="AN286" s="22"/>
      <c r="AO286" s="22"/>
      <c r="AP286" s="22"/>
      <c r="AQ286" s="22"/>
      <c r="AR286" s="22"/>
      <c r="AS286" s="22"/>
      <c r="AT286" s="22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</row>
    <row r="287" spans="1:73" ht="35.1" customHeight="1" x14ac:dyDescent="0.25">
      <c r="A287" s="25"/>
      <c r="B287" s="171" t="s">
        <v>228</v>
      </c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  <c r="O287" s="171"/>
      <c r="P287" s="171"/>
      <c r="Q287" s="171"/>
      <c r="R287" s="171"/>
      <c r="S287" s="171"/>
      <c r="T287" s="171"/>
      <c r="U287" s="78"/>
      <c r="V287" s="78"/>
      <c r="W287" s="78"/>
      <c r="X287" s="78"/>
      <c r="Y287" s="78"/>
      <c r="Z287" s="78"/>
      <c r="AA287" s="78"/>
      <c r="AB287" s="78"/>
      <c r="AC287" s="24" t="s">
        <v>28</v>
      </c>
      <c r="AD287" s="173" t="s">
        <v>24</v>
      </c>
      <c r="AE287" s="174"/>
      <c r="AF287" s="175"/>
      <c r="AG287" s="153"/>
      <c r="AH287" s="153"/>
      <c r="AI287" s="167">
        <f>AI279/AI283</f>
        <v>3226561.8421052634</v>
      </c>
      <c r="AJ287" s="168"/>
      <c r="AK287" s="113"/>
      <c r="AL287" s="22">
        <f t="shared" si="22"/>
        <v>3226561.8421052634</v>
      </c>
      <c r="AM287" s="22"/>
      <c r="AN287" s="326">
        <f>AN279/AN283</f>
        <v>3221998.5473684208</v>
      </c>
      <c r="AO287" s="327"/>
      <c r="AP287" s="22"/>
      <c r="AQ287" s="22">
        <f t="shared" si="23"/>
        <v>3221998.5473684208</v>
      </c>
      <c r="AR287" s="22"/>
      <c r="AS287" s="22">
        <f t="shared" si="24"/>
        <v>-4563.2947368426248</v>
      </c>
      <c r="AT287" s="22">
        <f t="shared" si="25"/>
        <v>-4563.2947368426248</v>
      </c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</row>
    <row r="288" spans="1:73" ht="35.1" customHeight="1" x14ac:dyDescent="0.25">
      <c r="A288" s="25"/>
      <c r="B288" s="171" t="s">
        <v>272</v>
      </c>
      <c r="C288" s="171"/>
      <c r="D288" s="171"/>
      <c r="E288" s="171"/>
      <c r="F288" s="171"/>
      <c r="G288" s="171"/>
      <c r="H288" s="171"/>
      <c r="I288" s="171"/>
      <c r="J288" s="171"/>
      <c r="K288" s="171"/>
      <c r="L288" s="171"/>
      <c r="M288" s="171"/>
      <c r="N288" s="171"/>
      <c r="O288" s="171"/>
      <c r="P288" s="171"/>
      <c r="Q288" s="171"/>
      <c r="R288" s="171"/>
      <c r="S288" s="171"/>
      <c r="T288" s="171"/>
      <c r="U288" s="78"/>
      <c r="V288" s="78"/>
      <c r="W288" s="78"/>
      <c r="X288" s="78"/>
      <c r="Y288" s="78"/>
      <c r="Z288" s="78"/>
      <c r="AA288" s="78"/>
      <c r="AB288" s="78"/>
      <c r="AC288" s="24" t="s">
        <v>28</v>
      </c>
      <c r="AD288" s="173" t="s">
        <v>24</v>
      </c>
      <c r="AE288" s="174"/>
      <c r="AF288" s="175"/>
      <c r="AG288" s="153"/>
      <c r="AH288" s="153"/>
      <c r="AI288" s="167">
        <f>AI280/AI284</f>
        <v>438523</v>
      </c>
      <c r="AJ288" s="168"/>
      <c r="AK288" s="113"/>
      <c r="AL288" s="22">
        <f t="shared" si="22"/>
        <v>438523</v>
      </c>
      <c r="AM288" s="22"/>
      <c r="AN288" s="326">
        <f>AN280/AN284</f>
        <v>403170</v>
      </c>
      <c r="AO288" s="327"/>
      <c r="AP288" s="22"/>
      <c r="AQ288" s="22">
        <f t="shared" si="23"/>
        <v>403170</v>
      </c>
      <c r="AR288" s="22"/>
      <c r="AS288" s="22">
        <f t="shared" si="24"/>
        <v>-35353</v>
      </c>
      <c r="AT288" s="22">
        <f t="shared" si="25"/>
        <v>-35353</v>
      </c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</row>
    <row r="289" spans="1:73" ht="49.5" customHeight="1" x14ac:dyDescent="0.25">
      <c r="A289" s="25"/>
      <c r="B289" s="179" t="s">
        <v>271</v>
      </c>
      <c r="C289" s="180"/>
      <c r="D289" s="180"/>
      <c r="E289" s="180"/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1"/>
      <c r="U289" s="78"/>
      <c r="V289" s="78"/>
      <c r="W289" s="78"/>
      <c r="X289" s="78"/>
      <c r="Y289" s="78"/>
      <c r="Z289" s="78"/>
      <c r="AA289" s="78"/>
      <c r="AB289" s="78"/>
      <c r="AC289" s="24" t="s">
        <v>28</v>
      </c>
      <c r="AD289" s="173" t="s">
        <v>24</v>
      </c>
      <c r="AE289" s="174"/>
      <c r="AF289" s="175"/>
      <c r="AG289" s="153"/>
      <c r="AH289" s="153"/>
      <c r="AI289" s="167">
        <f>AI281/AI285</f>
        <v>303613</v>
      </c>
      <c r="AJ289" s="168"/>
      <c r="AK289" s="113"/>
      <c r="AL289" s="22">
        <f t="shared" si="22"/>
        <v>303613</v>
      </c>
      <c r="AM289" s="22"/>
      <c r="AN289" s="326">
        <f>AN281/AN285</f>
        <v>303291.40000000002</v>
      </c>
      <c r="AO289" s="327"/>
      <c r="AP289" s="22"/>
      <c r="AQ289" s="22">
        <f t="shared" si="23"/>
        <v>303291.40000000002</v>
      </c>
      <c r="AR289" s="22"/>
      <c r="AS289" s="22">
        <f t="shared" si="24"/>
        <v>-321.59999999997672</v>
      </c>
      <c r="AT289" s="22">
        <f t="shared" si="25"/>
        <v>-321.59999999997672</v>
      </c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</row>
    <row r="290" spans="1:73" ht="18.75" customHeight="1" x14ac:dyDescent="0.25">
      <c r="A290" s="25"/>
      <c r="B290" s="163" t="s">
        <v>31</v>
      </c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78"/>
      <c r="V290" s="78"/>
      <c r="W290" s="78"/>
      <c r="X290" s="78"/>
      <c r="Y290" s="78"/>
      <c r="Z290" s="78"/>
      <c r="AA290" s="78"/>
      <c r="AB290" s="78"/>
      <c r="AC290" s="24"/>
      <c r="AD290" s="173"/>
      <c r="AE290" s="174"/>
      <c r="AF290" s="175"/>
      <c r="AG290" s="153"/>
      <c r="AH290" s="153"/>
      <c r="AI290" s="167"/>
      <c r="AJ290" s="168"/>
      <c r="AK290" s="113"/>
      <c r="AL290" s="22"/>
      <c r="AM290" s="22"/>
      <c r="AN290" s="22"/>
      <c r="AO290" s="22"/>
      <c r="AP290" s="22"/>
      <c r="AQ290" s="22"/>
      <c r="AR290" s="22"/>
      <c r="AS290" s="22"/>
      <c r="AT290" s="22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</row>
    <row r="291" spans="1:73" ht="51" customHeight="1" x14ac:dyDescent="0.25">
      <c r="A291" s="25"/>
      <c r="B291" s="156" t="s">
        <v>72</v>
      </c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78"/>
      <c r="V291" s="78"/>
      <c r="W291" s="78"/>
      <c r="X291" s="78"/>
      <c r="Y291" s="78"/>
      <c r="Z291" s="78"/>
      <c r="AA291" s="78"/>
      <c r="AB291" s="78"/>
      <c r="AC291" s="24"/>
      <c r="AD291" s="173" t="s">
        <v>24</v>
      </c>
      <c r="AE291" s="174"/>
      <c r="AF291" s="175"/>
      <c r="AG291" s="153"/>
      <c r="AH291" s="153"/>
      <c r="AI291" s="167">
        <f>AI278/56256217.28</f>
        <v>1.1515052225708411</v>
      </c>
      <c r="AJ291" s="168">
        <f>AJ278/56256217.28</f>
        <v>0</v>
      </c>
      <c r="AK291" s="113"/>
      <c r="AL291" s="22">
        <f t="shared" si="22"/>
        <v>1.1515052225708411</v>
      </c>
      <c r="AM291" s="22"/>
      <c r="AN291" s="22">
        <f>AN278/56256217.28</f>
        <v>1.1492784180315936</v>
      </c>
      <c r="AO291" s="22">
        <f>AO278/56256217.28</f>
        <v>0</v>
      </c>
      <c r="AP291" s="22"/>
      <c r="AQ291" s="22">
        <f t="shared" si="23"/>
        <v>1.1492784180315936</v>
      </c>
      <c r="AR291" s="22"/>
      <c r="AS291" s="22">
        <f t="shared" si="24"/>
        <v>-2.2268045392475067E-3</v>
      </c>
      <c r="AT291" s="22">
        <f t="shared" si="25"/>
        <v>-2.2268045392475067E-3</v>
      </c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</row>
    <row r="292" spans="1:73" ht="66" customHeight="1" x14ac:dyDescent="0.25">
      <c r="A292" s="25"/>
      <c r="B292" s="176" t="s">
        <v>293</v>
      </c>
      <c r="C292" s="177"/>
      <c r="D292" s="177"/>
      <c r="E292" s="1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24"/>
      <c r="AD292" s="173"/>
      <c r="AE292" s="174"/>
      <c r="AF292" s="175"/>
      <c r="AG292" s="153"/>
      <c r="AH292" s="153"/>
      <c r="AI292" s="167"/>
      <c r="AJ292" s="168"/>
      <c r="AK292" s="113"/>
      <c r="AL292" s="22"/>
      <c r="AM292" s="22"/>
      <c r="AN292" s="22"/>
      <c r="AO292" s="22"/>
      <c r="AP292" s="22"/>
      <c r="AQ292" s="22"/>
      <c r="AR292" s="22"/>
      <c r="AS292" s="22"/>
      <c r="AT292" s="22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</row>
    <row r="293" spans="1:73" ht="18.75" customHeight="1" x14ac:dyDescent="0.25">
      <c r="A293" s="25"/>
      <c r="B293" s="163" t="s">
        <v>30</v>
      </c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78"/>
      <c r="V293" s="78"/>
      <c r="W293" s="78"/>
      <c r="X293" s="78"/>
      <c r="Y293" s="78"/>
      <c r="Z293" s="78"/>
      <c r="AA293" s="78"/>
      <c r="AB293" s="78"/>
      <c r="AC293" s="24"/>
      <c r="AD293" s="173"/>
      <c r="AE293" s="174"/>
      <c r="AF293" s="175"/>
      <c r="AG293" s="153"/>
      <c r="AH293" s="153"/>
      <c r="AI293" s="167"/>
      <c r="AJ293" s="168"/>
      <c r="AK293" s="113"/>
      <c r="AL293" s="22"/>
      <c r="AM293" s="22"/>
      <c r="AN293" s="22"/>
      <c r="AO293" s="22"/>
      <c r="AP293" s="22"/>
      <c r="AQ293" s="22"/>
      <c r="AR293" s="22"/>
      <c r="AS293" s="22"/>
      <c r="AT293" s="22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</row>
    <row r="294" spans="1:73" ht="18.75" customHeight="1" x14ac:dyDescent="0.25">
      <c r="A294" s="25"/>
      <c r="B294" s="185" t="s">
        <v>211</v>
      </c>
      <c r="C294" s="186"/>
      <c r="D294" s="186"/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78"/>
      <c r="V294" s="78"/>
      <c r="W294" s="78"/>
      <c r="X294" s="78"/>
      <c r="Y294" s="78"/>
      <c r="Z294" s="78"/>
      <c r="AA294" s="78"/>
      <c r="AB294" s="78"/>
      <c r="AC294" s="24" t="s">
        <v>28</v>
      </c>
      <c r="AD294" s="173" t="s">
        <v>71</v>
      </c>
      <c r="AE294" s="174"/>
      <c r="AF294" s="175"/>
      <c r="AG294" s="153"/>
      <c r="AH294" s="153"/>
      <c r="AI294" s="167">
        <f>AI295+AI296</f>
        <v>11355280</v>
      </c>
      <c r="AJ294" s="168"/>
      <c r="AK294" s="113"/>
      <c r="AL294" s="22">
        <f t="shared" si="22"/>
        <v>11355280</v>
      </c>
      <c r="AM294" s="22"/>
      <c r="AN294" s="22">
        <f>AN295+AN296</f>
        <v>11311747.140000001</v>
      </c>
      <c r="AO294" s="22"/>
      <c r="AP294" s="22"/>
      <c r="AQ294" s="22">
        <f t="shared" si="23"/>
        <v>11311747.140000001</v>
      </c>
      <c r="AR294" s="22"/>
      <c r="AS294" s="22">
        <f t="shared" si="24"/>
        <v>-43532.859999999404</v>
      </c>
      <c r="AT294" s="22">
        <f t="shared" si="25"/>
        <v>-43532.859999999404</v>
      </c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</row>
    <row r="295" spans="1:73" ht="34.5" customHeight="1" x14ac:dyDescent="0.25">
      <c r="A295" s="25"/>
      <c r="B295" s="156" t="s">
        <v>217</v>
      </c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78"/>
      <c r="V295" s="78"/>
      <c r="W295" s="78"/>
      <c r="X295" s="78"/>
      <c r="Y295" s="78"/>
      <c r="Z295" s="78"/>
      <c r="AA295" s="78"/>
      <c r="AB295" s="78"/>
      <c r="AC295" s="24" t="s">
        <v>28</v>
      </c>
      <c r="AD295" s="173" t="s">
        <v>71</v>
      </c>
      <c r="AE295" s="174"/>
      <c r="AF295" s="175"/>
      <c r="AG295" s="153"/>
      <c r="AH295" s="153"/>
      <c r="AI295" s="167">
        <f>SUM(AD138:AD145)</f>
        <v>10975280</v>
      </c>
      <c r="AJ295" s="168"/>
      <c r="AK295" s="113"/>
      <c r="AL295" s="22">
        <f t="shared" si="22"/>
        <v>10975280</v>
      </c>
      <c r="AM295" s="22"/>
      <c r="AN295" s="22">
        <f>SUM(AI138:AI145)</f>
        <v>10943238</v>
      </c>
      <c r="AO295" s="22"/>
      <c r="AP295" s="22"/>
      <c r="AQ295" s="22">
        <f t="shared" si="23"/>
        <v>10943238</v>
      </c>
      <c r="AR295" s="22"/>
      <c r="AS295" s="22">
        <f t="shared" si="24"/>
        <v>-32042</v>
      </c>
      <c r="AT295" s="22">
        <f t="shared" si="25"/>
        <v>-32042</v>
      </c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</row>
    <row r="296" spans="1:73" ht="50.25" customHeight="1" x14ac:dyDescent="0.25">
      <c r="A296" s="25"/>
      <c r="B296" s="156" t="s">
        <v>264</v>
      </c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78"/>
      <c r="V296" s="78"/>
      <c r="W296" s="78"/>
      <c r="X296" s="78"/>
      <c r="Y296" s="78"/>
      <c r="Z296" s="78"/>
      <c r="AA296" s="78"/>
      <c r="AB296" s="78"/>
      <c r="AC296" s="24" t="s">
        <v>28</v>
      </c>
      <c r="AD296" s="173" t="s">
        <v>71</v>
      </c>
      <c r="AE296" s="174"/>
      <c r="AF296" s="175"/>
      <c r="AG296" s="153"/>
      <c r="AH296" s="153"/>
      <c r="AI296" s="167">
        <f>AD146</f>
        <v>380000</v>
      </c>
      <c r="AJ296" s="168"/>
      <c r="AK296" s="113"/>
      <c r="AL296" s="22">
        <f t="shared" si="22"/>
        <v>380000</v>
      </c>
      <c r="AM296" s="22"/>
      <c r="AN296" s="22">
        <f>AI146</f>
        <v>368509.14</v>
      </c>
      <c r="AO296" s="22"/>
      <c r="AP296" s="22"/>
      <c r="AQ296" s="22">
        <f t="shared" si="23"/>
        <v>368509.14</v>
      </c>
      <c r="AR296" s="22"/>
      <c r="AS296" s="22">
        <f t="shared" si="24"/>
        <v>-11490.859999999986</v>
      </c>
      <c r="AT296" s="22">
        <f t="shared" si="25"/>
        <v>-11490.859999999986</v>
      </c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</row>
    <row r="297" spans="1:73" ht="18.75" customHeight="1" x14ac:dyDescent="0.25">
      <c r="A297" s="25"/>
      <c r="B297" s="172" t="s">
        <v>265</v>
      </c>
      <c r="C297" s="172"/>
      <c r="D297" s="17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78"/>
      <c r="V297" s="78"/>
      <c r="W297" s="78"/>
      <c r="X297" s="78"/>
      <c r="Y297" s="78"/>
      <c r="Z297" s="78"/>
      <c r="AA297" s="78"/>
      <c r="AB297" s="78"/>
      <c r="AC297" s="24"/>
      <c r="AD297" s="173"/>
      <c r="AE297" s="174"/>
      <c r="AF297" s="175"/>
      <c r="AG297" s="153"/>
      <c r="AH297" s="153"/>
      <c r="AI297" s="167"/>
      <c r="AJ297" s="168"/>
      <c r="AK297" s="113"/>
      <c r="AL297" s="22"/>
      <c r="AM297" s="22"/>
      <c r="AN297" s="22"/>
      <c r="AO297" s="22"/>
      <c r="AP297" s="22"/>
      <c r="AQ297" s="22"/>
      <c r="AR297" s="22"/>
      <c r="AS297" s="22"/>
      <c r="AT297" s="22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</row>
    <row r="298" spans="1:73" ht="18.75" customHeight="1" x14ac:dyDescent="0.25">
      <c r="A298" s="25"/>
      <c r="B298" s="171" t="s">
        <v>223</v>
      </c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78"/>
      <c r="V298" s="78"/>
      <c r="W298" s="78"/>
      <c r="X298" s="78"/>
      <c r="Y298" s="78"/>
      <c r="Z298" s="78"/>
      <c r="AA298" s="78"/>
      <c r="AB298" s="78"/>
      <c r="AC298" s="24" t="s">
        <v>29</v>
      </c>
      <c r="AD298" s="173" t="s">
        <v>74</v>
      </c>
      <c r="AE298" s="174"/>
      <c r="AF298" s="175"/>
      <c r="AG298" s="153"/>
      <c r="AH298" s="153"/>
      <c r="AI298" s="169">
        <v>8</v>
      </c>
      <c r="AJ298" s="283"/>
      <c r="AK298" s="125"/>
      <c r="AL298" s="126">
        <f t="shared" si="22"/>
        <v>8</v>
      </c>
      <c r="AM298" s="126"/>
      <c r="AN298" s="126">
        <v>8</v>
      </c>
      <c r="AO298" s="126"/>
      <c r="AP298" s="126"/>
      <c r="AQ298" s="126">
        <f t="shared" si="23"/>
        <v>8</v>
      </c>
      <c r="AR298" s="126"/>
      <c r="AS298" s="126">
        <f t="shared" si="24"/>
        <v>0</v>
      </c>
      <c r="AT298" s="126">
        <f t="shared" si="25"/>
        <v>0</v>
      </c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</row>
    <row r="299" spans="1:73" ht="18.75" customHeight="1" x14ac:dyDescent="0.25">
      <c r="A299" s="25"/>
      <c r="B299" s="179" t="s">
        <v>266</v>
      </c>
      <c r="C299" s="180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80"/>
      <c r="S299" s="180"/>
      <c r="T299" s="181"/>
      <c r="U299" s="78"/>
      <c r="V299" s="78"/>
      <c r="W299" s="78"/>
      <c r="X299" s="78"/>
      <c r="Y299" s="78"/>
      <c r="Z299" s="78"/>
      <c r="AA299" s="78"/>
      <c r="AB299" s="78"/>
      <c r="AC299" s="24" t="s">
        <v>29</v>
      </c>
      <c r="AD299" s="173" t="s">
        <v>74</v>
      </c>
      <c r="AE299" s="174"/>
      <c r="AF299" s="175"/>
      <c r="AG299" s="153"/>
      <c r="AH299" s="153"/>
      <c r="AI299" s="169">
        <v>1</v>
      </c>
      <c r="AJ299" s="283"/>
      <c r="AK299" s="125"/>
      <c r="AL299" s="126">
        <f t="shared" si="22"/>
        <v>1</v>
      </c>
      <c r="AM299" s="126"/>
      <c r="AN299" s="126">
        <v>1</v>
      </c>
      <c r="AO299" s="126"/>
      <c r="AP299" s="126"/>
      <c r="AQ299" s="126">
        <f t="shared" si="23"/>
        <v>1</v>
      </c>
      <c r="AR299" s="126"/>
      <c r="AS299" s="126">
        <f t="shared" si="24"/>
        <v>0</v>
      </c>
      <c r="AT299" s="126">
        <f t="shared" si="25"/>
        <v>0</v>
      </c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</row>
    <row r="300" spans="1:73" ht="18.75" customHeight="1" x14ac:dyDescent="0.25">
      <c r="A300" s="25"/>
      <c r="B300" s="172" t="s">
        <v>27</v>
      </c>
      <c r="C300" s="172"/>
      <c r="D300" s="172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78"/>
      <c r="V300" s="78"/>
      <c r="W300" s="78"/>
      <c r="X300" s="78"/>
      <c r="Y300" s="78"/>
      <c r="Z300" s="78"/>
      <c r="AA300" s="78"/>
      <c r="AB300" s="78"/>
      <c r="AC300" s="24"/>
      <c r="AD300" s="173"/>
      <c r="AE300" s="174"/>
      <c r="AF300" s="175"/>
      <c r="AG300" s="153"/>
      <c r="AH300" s="153"/>
      <c r="AI300" s="167"/>
      <c r="AJ300" s="168"/>
      <c r="AK300" s="113"/>
      <c r="AL300" s="22"/>
      <c r="AM300" s="22"/>
      <c r="AN300" s="22"/>
      <c r="AO300" s="22"/>
      <c r="AP300" s="22"/>
      <c r="AQ300" s="22"/>
      <c r="AR300" s="22"/>
      <c r="AS300" s="22"/>
      <c r="AT300" s="22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</row>
    <row r="301" spans="1:73" ht="18.75" customHeight="1" x14ac:dyDescent="0.25">
      <c r="A301" s="25"/>
      <c r="B301" s="171" t="s">
        <v>228</v>
      </c>
      <c r="C301" s="171"/>
      <c r="D301" s="171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  <c r="S301" s="171"/>
      <c r="T301" s="171"/>
      <c r="U301" s="78"/>
      <c r="V301" s="78"/>
      <c r="W301" s="78"/>
      <c r="X301" s="78"/>
      <c r="Y301" s="78"/>
      <c r="Z301" s="78"/>
      <c r="AA301" s="78"/>
      <c r="AB301" s="78"/>
      <c r="AC301" s="24" t="s">
        <v>28</v>
      </c>
      <c r="AD301" s="173" t="s">
        <v>24</v>
      </c>
      <c r="AE301" s="174"/>
      <c r="AF301" s="175"/>
      <c r="AG301" s="153"/>
      <c r="AH301" s="153"/>
      <c r="AI301" s="167">
        <f>AI295/AI298</f>
        <v>1371910</v>
      </c>
      <c r="AJ301" s="168"/>
      <c r="AK301" s="113"/>
      <c r="AL301" s="22">
        <f t="shared" si="22"/>
        <v>1371910</v>
      </c>
      <c r="AM301" s="22"/>
      <c r="AN301" s="22">
        <f>AN295/AN298</f>
        <v>1367904.75</v>
      </c>
      <c r="AO301" s="22"/>
      <c r="AP301" s="22"/>
      <c r="AQ301" s="22">
        <f t="shared" si="23"/>
        <v>1367904.75</v>
      </c>
      <c r="AR301" s="22"/>
      <c r="AS301" s="22">
        <f t="shared" si="24"/>
        <v>-4005.25</v>
      </c>
      <c r="AT301" s="22">
        <f t="shared" si="25"/>
        <v>-4005.25</v>
      </c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</row>
    <row r="302" spans="1:73" ht="18.75" customHeight="1" x14ac:dyDescent="0.25">
      <c r="A302" s="25"/>
      <c r="B302" s="179" t="s">
        <v>267</v>
      </c>
      <c r="C302" s="180"/>
      <c r="D302" s="180"/>
      <c r="E302" s="180"/>
      <c r="F302" s="180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  <c r="R302" s="180"/>
      <c r="S302" s="180"/>
      <c r="T302" s="181"/>
      <c r="U302" s="78"/>
      <c r="V302" s="78"/>
      <c r="W302" s="78"/>
      <c r="X302" s="78"/>
      <c r="Y302" s="78"/>
      <c r="Z302" s="78"/>
      <c r="AA302" s="78"/>
      <c r="AB302" s="78"/>
      <c r="AC302" s="24" t="s">
        <v>28</v>
      </c>
      <c r="AD302" s="173" t="s">
        <v>24</v>
      </c>
      <c r="AE302" s="174"/>
      <c r="AF302" s="175"/>
      <c r="AG302" s="153"/>
      <c r="AH302" s="153"/>
      <c r="AI302" s="167">
        <f>AI296/AI299</f>
        <v>380000</v>
      </c>
      <c r="AJ302" s="168"/>
      <c r="AK302" s="113"/>
      <c r="AL302" s="22">
        <f t="shared" si="22"/>
        <v>380000</v>
      </c>
      <c r="AM302" s="22"/>
      <c r="AN302" s="22">
        <f>AN296/AN299</f>
        <v>368509.14</v>
      </c>
      <c r="AO302" s="22"/>
      <c r="AP302" s="22"/>
      <c r="AQ302" s="22">
        <f t="shared" si="23"/>
        <v>368509.14</v>
      </c>
      <c r="AR302" s="22"/>
      <c r="AS302" s="22">
        <f t="shared" si="24"/>
        <v>-11490.859999999986</v>
      </c>
      <c r="AT302" s="22">
        <f t="shared" si="25"/>
        <v>-11490.859999999986</v>
      </c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</row>
    <row r="303" spans="1:73" ht="18.75" customHeight="1" x14ac:dyDescent="0.25">
      <c r="A303" s="25"/>
      <c r="B303" s="163" t="s">
        <v>31</v>
      </c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78"/>
      <c r="V303" s="78"/>
      <c r="W303" s="78"/>
      <c r="X303" s="78"/>
      <c r="Y303" s="78"/>
      <c r="Z303" s="78"/>
      <c r="AA303" s="78"/>
      <c r="AB303" s="78"/>
      <c r="AC303" s="24"/>
      <c r="AD303" s="173"/>
      <c r="AE303" s="174"/>
      <c r="AF303" s="175"/>
      <c r="AG303" s="153"/>
      <c r="AH303" s="153"/>
      <c r="AI303" s="167"/>
      <c r="AJ303" s="168"/>
      <c r="AK303" s="113"/>
      <c r="AL303" s="22"/>
      <c r="AM303" s="22"/>
      <c r="AN303" s="22"/>
      <c r="AO303" s="22"/>
      <c r="AP303" s="22"/>
      <c r="AQ303" s="22"/>
      <c r="AR303" s="22"/>
      <c r="AS303" s="22"/>
      <c r="AT303" s="22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</row>
    <row r="304" spans="1:73" ht="51" customHeight="1" x14ac:dyDescent="0.25">
      <c r="A304" s="25"/>
      <c r="B304" s="156" t="s">
        <v>72</v>
      </c>
      <c r="C304" s="156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78"/>
      <c r="V304" s="78"/>
      <c r="W304" s="78"/>
      <c r="X304" s="78"/>
      <c r="Y304" s="78"/>
      <c r="Z304" s="78"/>
      <c r="AA304" s="78"/>
      <c r="AB304" s="78"/>
      <c r="AC304" s="24" t="s">
        <v>92</v>
      </c>
      <c r="AD304" s="173" t="s">
        <v>24</v>
      </c>
      <c r="AE304" s="174"/>
      <c r="AF304" s="175"/>
      <c r="AG304" s="153"/>
      <c r="AH304" s="153"/>
      <c r="AI304" s="167">
        <f>AI294/7843204.75</f>
        <v>1.4477857408988335</v>
      </c>
      <c r="AJ304" s="168">
        <f>AJ294/7843204.75</f>
        <v>0</v>
      </c>
      <c r="AK304" s="113"/>
      <c r="AL304" s="22">
        <f t="shared" si="22"/>
        <v>1.4477857408988335</v>
      </c>
      <c r="AM304" s="22"/>
      <c r="AN304" s="22">
        <f>AN294/7843204.75</f>
        <v>1.4422353490134248</v>
      </c>
      <c r="AO304" s="22">
        <f>AO294/7843204.75</f>
        <v>0</v>
      </c>
      <c r="AP304" s="22"/>
      <c r="AQ304" s="22">
        <f t="shared" si="23"/>
        <v>1.4422353490134248</v>
      </c>
      <c r="AR304" s="22"/>
      <c r="AS304" s="22">
        <f t="shared" si="24"/>
        <v>-5.5503918854087342E-3</v>
      </c>
      <c r="AT304" s="22">
        <f t="shared" si="25"/>
        <v>-5.5503918854087342E-3</v>
      </c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</row>
    <row r="305" spans="1:73" ht="84" customHeight="1" x14ac:dyDescent="0.25">
      <c r="A305" s="25"/>
      <c r="B305" s="176" t="s">
        <v>294</v>
      </c>
      <c r="C305" s="177"/>
      <c r="D305" s="177"/>
      <c r="E305" s="1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15"/>
      <c r="AD305" s="173"/>
      <c r="AE305" s="174"/>
      <c r="AF305" s="175"/>
      <c r="AG305" s="153"/>
      <c r="AH305" s="153"/>
      <c r="AI305" s="167"/>
      <c r="AJ305" s="168"/>
      <c r="AK305" s="113"/>
      <c r="AL305" s="22"/>
      <c r="AM305" s="22"/>
      <c r="AN305" s="22"/>
      <c r="AO305" s="22"/>
      <c r="AP305" s="22"/>
      <c r="AQ305" s="22"/>
      <c r="AR305" s="22"/>
      <c r="AS305" s="22"/>
      <c r="AT305" s="22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</row>
    <row r="306" spans="1:73" ht="18.75" customHeight="1" x14ac:dyDescent="0.25">
      <c r="A306" s="25"/>
      <c r="B306" s="196" t="s">
        <v>30</v>
      </c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8"/>
      <c r="U306" s="78"/>
      <c r="V306" s="78"/>
      <c r="W306" s="78"/>
      <c r="X306" s="78"/>
      <c r="Y306" s="78"/>
      <c r="Z306" s="78"/>
      <c r="AA306" s="78"/>
      <c r="AB306" s="78"/>
      <c r="AC306" s="15"/>
      <c r="AD306" s="173"/>
      <c r="AE306" s="174"/>
      <c r="AF306" s="175"/>
      <c r="AG306" s="153"/>
      <c r="AH306" s="153"/>
      <c r="AI306" s="167"/>
      <c r="AJ306" s="168"/>
      <c r="AK306" s="113"/>
      <c r="AL306" s="22"/>
      <c r="AM306" s="22"/>
      <c r="AN306" s="22"/>
      <c r="AO306" s="22"/>
      <c r="AP306" s="22"/>
      <c r="AQ306" s="22"/>
      <c r="AR306" s="22"/>
      <c r="AS306" s="22"/>
      <c r="AT306" s="22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</row>
    <row r="307" spans="1:73" ht="18.75" customHeight="1" x14ac:dyDescent="0.25">
      <c r="A307" s="25"/>
      <c r="B307" s="187" t="s">
        <v>211</v>
      </c>
      <c r="C307" s="188"/>
      <c r="D307" s="188"/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  <c r="P307" s="188"/>
      <c r="Q307" s="188"/>
      <c r="R307" s="188"/>
      <c r="S307" s="188"/>
      <c r="T307" s="189"/>
      <c r="U307" s="78"/>
      <c r="V307" s="78"/>
      <c r="W307" s="78"/>
      <c r="X307" s="78"/>
      <c r="Y307" s="78"/>
      <c r="Z307" s="78"/>
      <c r="AA307" s="78"/>
      <c r="AB307" s="78"/>
      <c r="AC307" s="24" t="s">
        <v>28</v>
      </c>
      <c r="AD307" s="173" t="s">
        <v>71</v>
      </c>
      <c r="AE307" s="174"/>
      <c r="AF307" s="175"/>
      <c r="AG307" s="153"/>
      <c r="AH307" s="153"/>
      <c r="AI307" s="167">
        <f>SUM(AI308:AJ311)</f>
        <v>4442375</v>
      </c>
      <c r="AJ307" s="168"/>
      <c r="AK307" s="113"/>
      <c r="AL307" s="22">
        <f t="shared" si="22"/>
        <v>4442375</v>
      </c>
      <c r="AM307" s="22"/>
      <c r="AN307" s="22">
        <f>SUM(AN308:AO311)</f>
        <v>4366942.75</v>
      </c>
      <c r="AO307" s="22"/>
      <c r="AP307" s="22"/>
      <c r="AQ307" s="22">
        <f t="shared" si="23"/>
        <v>4366942.75</v>
      </c>
      <c r="AR307" s="22"/>
      <c r="AS307" s="22">
        <f t="shared" si="24"/>
        <v>-75432.25</v>
      </c>
      <c r="AT307" s="22">
        <f t="shared" si="25"/>
        <v>-75432.25</v>
      </c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</row>
    <row r="308" spans="1:73" ht="35.1" customHeight="1" x14ac:dyDescent="0.25">
      <c r="A308" s="25"/>
      <c r="B308" s="182" t="s">
        <v>273</v>
      </c>
      <c r="C308" s="18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4"/>
      <c r="U308" s="78"/>
      <c r="V308" s="78"/>
      <c r="W308" s="78"/>
      <c r="X308" s="78"/>
      <c r="Y308" s="78"/>
      <c r="Z308" s="78"/>
      <c r="AA308" s="78"/>
      <c r="AB308" s="78"/>
      <c r="AC308" s="24" t="s">
        <v>28</v>
      </c>
      <c r="AD308" s="173" t="s">
        <v>71</v>
      </c>
      <c r="AE308" s="174"/>
      <c r="AF308" s="175"/>
      <c r="AG308" s="153"/>
      <c r="AH308" s="153"/>
      <c r="AI308" s="167">
        <f>AD148</f>
        <v>1230000</v>
      </c>
      <c r="AJ308" s="168"/>
      <c r="AK308" s="113"/>
      <c r="AL308" s="22">
        <f t="shared" si="22"/>
        <v>1230000</v>
      </c>
      <c r="AM308" s="22"/>
      <c r="AN308" s="22">
        <f>AI148</f>
        <v>1164567.75</v>
      </c>
      <c r="AO308" s="22"/>
      <c r="AP308" s="22"/>
      <c r="AQ308" s="22">
        <f t="shared" si="23"/>
        <v>1164567.75</v>
      </c>
      <c r="AR308" s="22"/>
      <c r="AS308" s="22">
        <f t="shared" si="24"/>
        <v>-65432.25</v>
      </c>
      <c r="AT308" s="22">
        <f t="shared" si="25"/>
        <v>-65432.25</v>
      </c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</row>
    <row r="309" spans="1:73" ht="35.1" customHeight="1" x14ac:dyDescent="0.25">
      <c r="A309" s="25"/>
      <c r="B309" s="182" t="s">
        <v>217</v>
      </c>
      <c r="C309" s="183"/>
      <c r="D309" s="183"/>
      <c r="E309" s="18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4"/>
      <c r="U309" s="78"/>
      <c r="V309" s="78"/>
      <c r="W309" s="78"/>
      <c r="X309" s="78"/>
      <c r="Y309" s="78"/>
      <c r="Z309" s="78"/>
      <c r="AA309" s="78"/>
      <c r="AB309" s="78"/>
      <c r="AC309" s="24" t="s">
        <v>28</v>
      </c>
      <c r="AD309" s="173" t="s">
        <v>71</v>
      </c>
      <c r="AE309" s="174"/>
      <c r="AF309" s="175"/>
      <c r="AG309" s="153"/>
      <c r="AH309" s="153"/>
      <c r="AI309" s="167">
        <f>AD149+AD152</f>
        <v>2849375</v>
      </c>
      <c r="AJ309" s="168"/>
      <c r="AK309" s="113"/>
      <c r="AL309" s="22">
        <f t="shared" si="22"/>
        <v>2849375</v>
      </c>
      <c r="AM309" s="22"/>
      <c r="AN309" s="22">
        <f>AI149+AI152</f>
        <v>2839375</v>
      </c>
      <c r="AO309" s="22"/>
      <c r="AP309" s="22"/>
      <c r="AQ309" s="22">
        <f t="shared" si="23"/>
        <v>2839375</v>
      </c>
      <c r="AR309" s="22"/>
      <c r="AS309" s="22">
        <f t="shared" si="24"/>
        <v>-10000</v>
      </c>
      <c r="AT309" s="22">
        <f t="shared" si="25"/>
        <v>-10000</v>
      </c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</row>
    <row r="310" spans="1:73" ht="35.1" customHeight="1" x14ac:dyDescent="0.25">
      <c r="A310" s="25"/>
      <c r="B310" s="182" t="s">
        <v>216</v>
      </c>
      <c r="C310" s="183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4"/>
      <c r="U310" s="78"/>
      <c r="V310" s="78"/>
      <c r="W310" s="78"/>
      <c r="X310" s="78"/>
      <c r="Y310" s="78"/>
      <c r="Z310" s="78"/>
      <c r="AA310" s="78"/>
      <c r="AB310" s="78"/>
      <c r="AC310" s="24" t="s">
        <v>28</v>
      </c>
      <c r="AD310" s="173" t="s">
        <v>71</v>
      </c>
      <c r="AE310" s="174"/>
      <c r="AF310" s="175"/>
      <c r="AG310" s="153"/>
      <c r="AH310" s="153"/>
      <c r="AI310" s="167">
        <f>AD150</f>
        <v>49000</v>
      </c>
      <c r="AJ310" s="168"/>
      <c r="AK310" s="113"/>
      <c r="AL310" s="22">
        <f t="shared" si="22"/>
        <v>49000</v>
      </c>
      <c r="AM310" s="22"/>
      <c r="AN310" s="22">
        <f>AI150</f>
        <v>49000</v>
      </c>
      <c r="AO310" s="22"/>
      <c r="AP310" s="22"/>
      <c r="AQ310" s="22">
        <f t="shared" si="23"/>
        <v>49000</v>
      </c>
      <c r="AR310" s="22"/>
      <c r="AS310" s="22">
        <f t="shared" si="24"/>
        <v>0</v>
      </c>
      <c r="AT310" s="22">
        <f t="shared" si="25"/>
        <v>0</v>
      </c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</row>
    <row r="311" spans="1:73" ht="35.1" customHeight="1" x14ac:dyDescent="0.25">
      <c r="A311" s="25"/>
      <c r="B311" s="182" t="s">
        <v>274</v>
      </c>
      <c r="C311" s="183"/>
      <c r="D311" s="183"/>
      <c r="E311" s="18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4"/>
      <c r="U311" s="78"/>
      <c r="V311" s="78"/>
      <c r="W311" s="78"/>
      <c r="X311" s="78"/>
      <c r="Y311" s="78"/>
      <c r="Z311" s="78"/>
      <c r="AA311" s="78"/>
      <c r="AB311" s="78"/>
      <c r="AC311" s="24" t="s">
        <v>28</v>
      </c>
      <c r="AD311" s="173" t="s">
        <v>71</v>
      </c>
      <c r="AE311" s="174"/>
      <c r="AF311" s="175"/>
      <c r="AG311" s="153"/>
      <c r="AH311" s="153"/>
      <c r="AI311" s="167">
        <f>AD151</f>
        <v>314000</v>
      </c>
      <c r="AJ311" s="168"/>
      <c r="AK311" s="113"/>
      <c r="AL311" s="22">
        <f t="shared" si="22"/>
        <v>314000</v>
      </c>
      <c r="AM311" s="22"/>
      <c r="AN311" s="22">
        <f>AI151</f>
        <v>314000</v>
      </c>
      <c r="AO311" s="22"/>
      <c r="AP311" s="22"/>
      <c r="AQ311" s="22">
        <f t="shared" si="23"/>
        <v>314000</v>
      </c>
      <c r="AR311" s="22"/>
      <c r="AS311" s="22">
        <f t="shared" si="24"/>
        <v>0</v>
      </c>
      <c r="AT311" s="22">
        <f t="shared" si="25"/>
        <v>0</v>
      </c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</row>
    <row r="312" spans="1:73" ht="18.75" customHeight="1" x14ac:dyDescent="0.25">
      <c r="A312" s="25"/>
      <c r="B312" s="190" t="s">
        <v>26</v>
      </c>
      <c r="C312" s="191"/>
      <c r="D312" s="191"/>
      <c r="E312" s="191"/>
      <c r="F312" s="191"/>
      <c r="G312" s="191"/>
      <c r="H312" s="191"/>
      <c r="I312" s="191"/>
      <c r="J312" s="191"/>
      <c r="K312" s="191"/>
      <c r="L312" s="191"/>
      <c r="M312" s="191"/>
      <c r="N312" s="191"/>
      <c r="O312" s="191"/>
      <c r="P312" s="191"/>
      <c r="Q312" s="191"/>
      <c r="R312" s="191"/>
      <c r="S312" s="191"/>
      <c r="T312" s="192"/>
      <c r="U312" s="78"/>
      <c r="V312" s="78"/>
      <c r="W312" s="78"/>
      <c r="X312" s="78"/>
      <c r="Y312" s="78"/>
      <c r="Z312" s="78"/>
      <c r="AA312" s="78"/>
      <c r="AB312" s="78"/>
      <c r="AC312" s="15"/>
      <c r="AD312" s="173"/>
      <c r="AE312" s="174"/>
      <c r="AF312" s="175"/>
      <c r="AG312" s="153"/>
      <c r="AH312" s="153"/>
      <c r="AI312" s="167"/>
      <c r="AJ312" s="168"/>
      <c r="AK312" s="113"/>
      <c r="AL312" s="22"/>
      <c r="AM312" s="22"/>
      <c r="AN312" s="22"/>
      <c r="AO312" s="22"/>
      <c r="AP312" s="22"/>
      <c r="AQ312" s="22"/>
      <c r="AR312" s="22"/>
      <c r="AS312" s="22"/>
      <c r="AT312" s="22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</row>
    <row r="313" spans="1:73" ht="35.1" customHeight="1" x14ac:dyDescent="0.25">
      <c r="A313" s="25"/>
      <c r="B313" s="179" t="s">
        <v>258</v>
      </c>
      <c r="C313" s="180"/>
      <c r="D313" s="180"/>
      <c r="E313" s="180"/>
      <c r="F313" s="180"/>
      <c r="G313" s="180"/>
      <c r="H313" s="180"/>
      <c r="I313" s="180"/>
      <c r="J313" s="180"/>
      <c r="K313" s="180"/>
      <c r="L313" s="180"/>
      <c r="M313" s="180"/>
      <c r="N313" s="180"/>
      <c r="O313" s="180"/>
      <c r="P313" s="180"/>
      <c r="Q313" s="180"/>
      <c r="R313" s="180"/>
      <c r="S313" s="180"/>
      <c r="T313" s="181"/>
      <c r="U313" s="78"/>
      <c r="V313" s="78"/>
      <c r="W313" s="78"/>
      <c r="X313" s="78"/>
      <c r="Y313" s="78"/>
      <c r="Z313" s="78"/>
      <c r="AA313" s="78"/>
      <c r="AB313" s="78"/>
      <c r="AC313" s="24" t="s">
        <v>29</v>
      </c>
      <c r="AD313" s="173" t="s">
        <v>74</v>
      </c>
      <c r="AE313" s="174"/>
      <c r="AF313" s="175"/>
      <c r="AG313" s="153"/>
      <c r="AH313" s="153"/>
      <c r="AI313" s="169">
        <v>1</v>
      </c>
      <c r="AJ313" s="170"/>
      <c r="AK313" s="125"/>
      <c r="AL313" s="126">
        <f t="shared" si="22"/>
        <v>1</v>
      </c>
      <c r="AM313" s="126"/>
      <c r="AN313" s="126">
        <v>1</v>
      </c>
      <c r="AO313" s="126"/>
      <c r="AP313" s="126"/>
      <c r="AQ313" s="126">
        <f t="shared" si="23"/>
        <v>1</v>
      </c>
      <c r="AR313" s="126"/>
      <c r="AS313" s="126">
        <f t="shared" si="24"/>
        <v>0</v>
      </c>
      <c r="AT313" s="126">
        <f t="shared" si="25"/>
        <v>0</v>
      </c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</row>
    <row r="314" spans="1:73" ht="35.1" customHeight="1" x14ac:dyDescent="0.25">
      <c r="A314" s="25"/>
      <c r="B314" s="179" t="s">
        <v>223</v>
      </c>
      <c r="C314" s="180"/>
      <c r="D314" s="180"/>
      <c r="E314" s="180"/>
      <c r="F314" s="180"/>
      <c r="G314" s="180"/>
      <c r="H314" s="180"/>
      <c r="I314" s="180"/>
      <c r="J314" s="180"/>
      <c r="K314" s="180"/>
      <c r="L314" s="180"/>
      <c r="M314" s="180"/>
      <c r="N314" s="180"/>
      <c r="O314" s="180"/>
      <c r="P314" s="180"/>
      <c r="Q314" s="180"/>
      <c r="R314" s="180"/>
      <c r="S314" s="180"/>
      <c r="T314" s="181"/>
      <c r="U314" s="78"/>
      <c r="V314" s="78"/>
      <c r="W314" s="78"/>
      <c r="X314" s="78"/>
      <c r="Y314" s="78"/>
      <c r="Z314" s="78"/>
      <c r="AA314" s="78"/>
      <c r="AB314" s="78"/>
      <c r="AC314" s="24" t="s">
        <v>29</v>
      </c>
      <c r="AD314" s="173" t="s">
        <v>74</v>
      </c>
      <c r="AE314" s="174"/>
      <c r="AF314" s="175"/>
      <c r="AG314" s="153"/>
      <c r="AH314" s="153"/>
      <c r="AI314" s="169">
        <v>2</v>
      </c>
      <c r="AJ314" s="170"/>
      <c r="AK314" s="125"/>
      <c r="AL314" s="126">
        <f t="shared" si="22"/>
        <v>2</v>
      </c>
      <c r="AM314" s="126"/>
      <c r="AN314" s="126">
        <v>2</v>
      </c>
      <c r="AO314" s="126"/>
      <c r="AP314" s="126"/>
      <c r="AQ314" s="126">
        <f t="shared" si="23"/>
        <v>2</v>
      </c>
      <c r="AR314" s="126"/>
      <c r="AS314" s="126">
        <f t="shared" si="24"/>
        <v>0</v>
      </c>
      <c r="AT314" s="126">
        <f t="shared" si="25"/>
        <v>0</v>
      </c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</row>
    <row r="315" spans="1:73" ht="35.1" customHeight="1" x14ac:dyDescent="0.25">
      <c r="A315" s="25"/>
      <c r="B315" s="179" t="s">
        <v>259</v>
      </c>
      <c r="C315" s="180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  <c r="P315" s="180"/>
      <c r="Q315" s="180"/>
      <c r="R315" s="180"/>
      <c r="S315" s="180"/>
      <c r="T315" s="181"/>
      <c r="U315" s="78"/>
      <c r="V315" s="78"/>
      <c r="W315" s="78"/>
      <c r="X315" s="78"/>
      <c r="Y315" s="78"/>
      <c r="Z315" s="78"/>
      <c r="AA315" s="78"/>
      <c r="AB315" s="78"/>
      <c r="AC315" s="24" t="s">
        <v>29</v>
      </c>
      <c r="AD315" s="173" t="s">
        <v>74</v>
      </c>
      <c r="AE315" s="174"/>
      <c r="AF315" s="175"/>
      <c r="AG315" s="153"/>
      <c r="AH315" s="153"/>
      <c r="AI315" s="169">
        <v>1</v>
      </c>
      <c r="AJ315" s="170"/>
      <c r="AK315" s="125"/>
      <c r="AL315" s="126">
        <f t="shared" si="22"/>
        <v>1</v>
      </c>
      <c r="AM315" s="126"/>
      <c r="AN315" s="126">
        <v>1</v>
      </c>
      <c r="AO315" s="126"/>
      <c r="AP315" s="126"/>
      <c r="AQ315" s="126">
        <f t="shared" si="23"/>
        <v>1</v>
      </c>
      <c r="AR315" s="126"/>
      <c r="AS315" s="126">
        <f t="shared" si="24"/>
        <v>0</v>
      </c>
      <c r="AT315" s="126">
        <f t="shared" si="25"/>
        <v>0</v>
      </c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</row>
    <row r="316" spans="1:73" ht="35.1" customHeight="1" x14ac:dyDescent="0.25">
      <c r="A316" s="25"/>
      <c r="B316" s="179" t="s">
        <v>275</v>
      </c>
      <c r="C316" s="180"/>
      <c r="D316" s="180"/>
      <c r="E316" s="180"/>
      <c r="F316" s="180"/>
      <c r="G316" s="180"/>
      <c r="H316" s="180"/>
      <c r="I316" s="180"/>
      <c r="J316" s="180"/>
      <c r="K316" s="180"/>
      <c r="L316" s="180"/>
      <c r="M316" s="180"/>
      <c r="N316" s="180"/>
      <c r="O316" s="180"/>
      <c r="P316" s="180"/>
      <c r="Q316" s="180"/>
      <c r="R316" s="180"/>
      <c r="S316" s="180"/>
      <c r="T316" s="181"/>
      <c r="U316" s="78"/>
      <c r="V316" s="78"/>
      <c r="W316" s="78"/>
      <c r="X316" s="78"/>
      <c r="Y316" s="78"/>
      <c r="Z316" s="78"/>
      <c r="AA316" s="78"/>
      <c r="AB316" s="78"/>
      <c r="AC316" s="24" t="s">
        <v>29</v>
      </c>
      <c r="AD316" s="173" t="s">
        <v>74</v>
      </c>
      <c r="AE316" s="174"/>
      <c r="AF316" s="175"/>
      <c r="AG316" s="153"/>
      <c r="AH316" s="153"/>
      <c r="AI316" s="169">
        <v>1</v>
      </c>
      <c r="AJ316" s="170"/>
      <c r="AK316" s="125"/>
      <c r="AL316" s="126">
        <f t="shared" si="22"/>
        <v>1</v>
      </c>
      <c r="AM316" s="126"/>
      <c r="AN316" s="126">
        <v>1</v>
      </c>
      <c r="AO316" s="126"/>
      <c r="AP316" s="126"/>
      <c r="AQ316" s="126">
        <f t="shared" si="23"/>
        <v>1</v>
      </c>
      <c r="AR316" s="126"/>
      <c r="AS316" s="126">
        <f t="shared" si="24"/>
        <v>0</v>
      </c>
      <c r="AT316" s="126">
        <f t="shared" si="25"/>
        <v>0</v>
      </c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</row>
    <row r="317" spans="1:73" ht="18.75" customHeight="1" x14ac:dyDescent="0.25">
      <c r="A317" s="25"/>
      <c r="B317" s="190" t="s">
        <v>260</v>
      </c>
      <c r="C317" s="191"/>
      <c r="D317" s="191"/>
      <c r="E317" s="191"/>
      <c r="F317" s="191"/>
      <c r="G317" s="191"/>
      <c r="H317" s="191"/>
      <c r="I317" s="191"/>
      <c r="J317" s="191"/>
      <c r="K317" s="191"/>
      <c r="L317" s="191"/>
      <c r="M317" s="191"/>
      <c r="N317" s="191"/>
      <c r="O317" s="191"/>
      <c r="P317" s="191"/>
      <c r="Q317" s="191"/>
      <c r="R317" s="191"/>
      <c r="S317" s="191"/>
      <c r="T317" s="192"/>
      <c r="U317" s="78"/>
      <c r="V317" s="78"/>
      <c r="W317" s="78"/>
      <c r="X317" s="78"/>
      <c r="Y317" s="78"/>
      <c r="Z317" s="78"/>
      <c r="AA317" s="78"/>
      <c r="AB317" s="78"/>
      <c r="AC317" s="15"/>
      <c r="AD317" s="173"/>
      <c r="AE317" s="174"/>
      <c r="AF317" s="175"/>
      <c r="AG317" s="153"/>
      <c r="AH317" s="153"/>
      <c r="AI317" s="167"/>
      <c r="AJ317" s="168"/>
      <c r="AK317" s="113"/>
      <c r="AL317" s="22"/>
      <c r="AM317" s="22"/>
      <c r="AN317" s="22"/>
      <c r="AO317" s="22"/>
      <c r="AP317" s="22"/>
      <c r="AQ317" s="22"/>
      <c r="AR317" s="22"/>
      <c r="AS317" s="22"/>
      <c r="AT317" s="22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</row>
    <row r="318" spans="1:73" ht="35.1" customHeight="1" x14ac:dyDescent="0.25">
      <c r="A318" s="25"/>
      <c r="B318" s="179" t="s">
        <v>276</v>
      </c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0"/>
      <c r="T318" s="181"/>
      <c r="U318" s="78"/>
      <c r="V318" s="78"/>
      <c r="W318" s="78"/>
      <c r="X318" s="78"/>
      <c r="Y318" s="78"/>
      <c r="Z318" s="78"/>
      <c r="AA318" s="78"/>
      <c r="AB318" s="78"/>
      <c r="AC318" s="24" t="s">
        <v>28</v>
      </c>
      <c r="AD318" s="173" t="s">
        <v>24</v>
      </c>
      <c r="AE318" s="174"/>
      <c r="AF318" s="175"/>
      <c r="AG318" s="153"/>
      <c r="AH318" s="153"/>
      <c r="AI318" s="167">
        <f>AI308/AI313</f>
        <v>1230000</v>
      </c>
      <c r="AJ318" s="168"/>
      <c r="AK318" s="113"/>
      <c r="AL318" s="22">
        <f t="shared" si="22"/>
        <v>1230000</v>
      </c>
      <c r="AM318" s="22"/>
      <c r="AN318" s="22">
        <f>AN308/AN313</f>
        <v>1164567.75</v>
      </c>
      <c r="AO318" s="22"/>
      <c r="AP318" s="22"/>
      <c r="AQ318" s="22">
        <f t="shared" si="23"/>
        <v>1164567.75</v>
      </c>
      <c r="AR318" s="22"/>
      <c r="AS318" s="22">
        <f t="shared" si="24"/>
        <v>-65432.25</v>
      </c>
      <c r="AT318" s="22">
        <f t="shared" si="25"/>
        <v>-65432.25</v>
      </c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</row>
    <row r="319" spans="1:73" ht="35.1" customHeight="1" x14ac:dyDescent="0.25">
      <c r="A319" s="25"/>
      <c r="B319" s="171" t="s">
        <v>277</v>
      </c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171"/>
      <c r="R319" s="171"/>
      <c r="S319" s="171"/>
      <c r="T319" s="171"/>
      <c r="U319" s="78"/>
      <c r="V319" s="78"/>
      <c r="W319" s="78"/>
      <c r="X319" s="78"/>
      <c r="Y319" s="78"/>
      <c r="Z319" s="78"/>
      <c r="AA319" s="78"/>
      <c r="AB319" s="78"/>
      <c r="AC319" s="24" t="s">
        <v>28</v>
      </c>
      <c r="AD319" s="173" t="s">
        <v>24</v>
      </c>
      <c r="AE319" s="174"/>
      <c r="AF319" s="175"/>
      <c r="AG319" s="153"/>
      <c r="AH319" s="153"/>
      <c r="AI319" s="167">
        <f>AI309/AI314</f>
        <v>1424687.5</v>
      </c>
      <c r="AJ319" s="168"/>
      <c r="AK319" s="113"/>
      <c r="AL319" s="22">
        <f t="shared" si="22"/>
        <v>1424687.5</v>
      </c>
      <c r="AM319" s="22"/>
      <c r="AN319" s="22">
        <f>AN309/AN314</f>
        <v>1419687.5</v>
      </c>
      <c r="AO319" s="22"/>
      <c r="AP319" s="22"/>
      <c r="AQ319" s="22">
        <f t="shared" si="23"/>
        <v>1419687.5</v>
      </c>
      <c r="AR319" s="22"/>
      <c r="AS319" s="22">
        <f t="shared" si="24"/>
        <v>-5000</v>
      </c>
      <c r="AT319" s="22">
        <f t="shared" si="25"/>
        <v>-5000</v>
      </c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</row>
    <row r="320" spans="1:73" ht="35.1" customHeight="1" x14ac:dyDescent="0.25">
      <c r="A320" s="25"/>
      <c r="B320" s="179" t="s">
        <v>278</v>
      </c>
      <c r="C320" s="180" t="s">
        <v>227</v>
      </c>
      <c r="D320" s="180" t="s">
        <v>227</v>
      </c>
      <c r="E320" s="180" t="s">
        <v>227</v>
      </c>
      <c r="F320" s="180" t="s">
        <v>227</v>
      </c>
      <c r="G320" s="180" t="s">
        <v>227</v>
      </c>
      <c r="H320" s="180" t="s">
        <v>227</v>
      </c>
      <c r="I320" s="180" t="s">
        <v>227</v>
      </c>
      <c r="J320" s="180" t="s">
        <v>227</v>
      </c>
      <c r="K320" s="180" t="s">
        <v>227</v>
      </c>
      <c r="L320" s="180" t="s">
        <v>227</v>
      </c>
      <c r="M320" s="180" t="s">
        <v>227</v>
      </c>
      <c r="N320" s="180" t="s">
        <v>227</v>
      </c>
      <c r="O320" s="180" t="s">
        <v>227</v>
      </c>
      <c r="P320" s="180" t="s">
        <v>227</v>
      </c>
      <c r="Q320" s="180" t="s">
        <v>227</v>
      </c>
      <c r="R320" s="180" t="s">
        <v>227</v>
      </c>
      <c r="S320" s="180" t="s">
        <v>227</v>
      </c>
      <c r="T320" s="181" t="s">
        <v>227</v>
      </c>
      <c r="U320" s="78"/>
      <c r="V320" s="78"/>
      <c r="W320" s="78"/>
      <c r="X320" s="78"/>
      <c r="Y320" s="78"/>
      <c r="Z320" s="78"/>
      <c r="AA320" s="78"/>
      <c r="AB320" s="78"/>
      <c r="AC320" s="24" t="s">
        <v>28</v>
      </c>
      <c r="AD320" s="173" t="s">
        <v>24</v>
      </c>
      <c r="AE320" s="174"/>
      <c r="AF320" s="175"/>
      <c r="AG320" s="153"/>
      <c r="AH320" s="153"/>
      <c r="AI320" s="167">
        <f>AI310/AI315</f>
        <v>49000</v>
      </c>
      <c r="AJ320" s="168"/>
      <c r="AK320" s="113"/>
      <c r="AL320" s="22">
        <f t="shared" si="22"/>
        <v>49000</v>
      </c>
      <c r="AM320" s="22"/>
      <c r="AN320" s="22">
        <f>AN310/AN315</f>
        <v>49000</v>
      </c>
      <c r="AO320" s="22"/>
      <c r="AP320" s="22"/>
      <c r="AQ320" s="22">
        <f t="shared" si="23"/>
        <v>49000</v>
      </c>
      <c r="AR320" s="22"/>
      <c r="AS320" s="22">
        <f t="shared" si="24"/>
        <v>0</v>
      </c>
      <c r="AT320" s="22">
        <f t="shared" si="25"/>
        <v>0</v>
      </c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</row>
    <row r="321" spans="1:73" ht="23.25" customHeight="1" x14ac:dyDescent="0.25">
      <c r="A321" s="25"/>
      <c r="B321" s="179" t="s">
        <v>279</v>
      </c>
      <c r="C321" s="180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0"/>
      <c r="Q321" s="180"/>
      <c r="R321" s="180"/>
      <c r="S321" s="180"/>
      <c r="T321" s="181"/>
      <c r="U321" s="78"/>
      <c r="V321" s="78"/>
      <c r="W321" s="78"/>
      <c r="X321" s="78"/>
      <c r="Y321" s="78"/>
      <c r="Z321" s="78"/>
      <c r="AA321" s="78"/>
      <c r="AB321" s="78"/>
      <c r="AC321" s="24" t="s">
        <v>28</v>
      </c>
      <c r="AD321" s="173" t="s">
        <v>24</v>
      </c>
      <c r="AE321" s="174"/>
      <c r="AF321" s="175"/>
      <c r="AG321" s="153"/>
      <c r="AH321" s="153"/>
      <c r="AI321" s="167">
        <f>AI311/AI316</f>
        <v>314000</v>
      </c>
      <c r="AJ321" s="168"/>
      <c r="AK321" s="113"/>
      <c r="AL321" s="22">
        <f t="shared" si="22"/>
        <v>314000</v>
      </c>
      <c r="AM321" s="22"/>
      <c r="AN321" s="22">
        <f>AN311/AN316</f>
        <v>314000</v>
      </c>
      <c r="AO321" s="22"/>
      <c r="AP321" s="22"/>
      <c r="AQ321" s="22">
        <f t="shared" si="23"/>
        <v>314000</v>
      </c>
      <c r="AR321" s="22"/>
      <c r="AS321" s="22">
        <f t="shared" si="24"/>
        <v>0</v>
      </c>
      <c r="AT321" s="22">
        <f t="shared" si="25"/>
        <v>0</v>
      </c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</row>
    <row r="322" spans="1:73" ht="18.75" customHeight="1" x14ac:dyDescent="0.25">
      <c r="A322" s="25"/>
      <c r="B322" s="193" t="s">
        <v>31</v>
      </c>
      <c r="C322" s="194"/>
      <c r="D322" s="194"/>
      <c r="E322" s="194"/>
      <c r="F322" s="194"/>
      <c r="G322" s="194"/>
      <c r="H322" s="194"/>
      <c r="I322" s="194"/>
      <c r="J322" s="194"/>
      <c r="K322" s="194"/>
      <c r="L322" s="194"/>
      <c r="M322" s="194"/>
      <c r="N322" s="194"/>
      <c r="O322" s="194"/>
      <c r="P322" s="194"/>
      <c r="Q322" s="194"/>
      <c r="R322" s="194"/>
      <c r="S322" s="194"/>
      <c r="T322" s="195"/>
      <c r="U322" s="78"/>
      <c r="V322" s="78"/>
      <c r="W322" s="78"/>
      <c r="X322" s="78"/>
      <c r="Y322" s="78"/>
      <c r="Z322" s="78"/>
      <c r="AA322" s="78"/>
      <c r="AB322" s="78"/>
      <c r="AC322" s="15"/>
      <c r="AD322" s="173"/>
      <c r="AE322" s="174"/>
      <c r="AF322" s="175"/>
      <c r="AG322" s="153"/>
      <c r="AH322" s="153"/>
      <c r="AI322" s="167"/>
      <c r="AJ322" s="168"/>
      <c r="AK322" s="113"/>
      <c r="AL322" s="22"/>
      <c r="AM322" s="22"/>
      <c r="AN322" s="22"/>
      <c r="AO322" s="22"/>
      <c r="AP322" s="22"/>
      <c r="AQ322" s="22"/>
      <c r="AR322" s="22"/>
      <c r="AS322" s="22"/>
      <c r="AT322" s="22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</row>
    <row r="323" spans="1:73" ht="49.5" customHeight="1" x14ac:dyDescent="0.25">
      <c r="A323" s="25"/>
      <c r="B323" s="185" t="s">
        <v>72</v>
      </c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78"/>
      <c r="V323" s="78"/>
      <c r="W323" s="78"/>
      <c r="X323" s="78"/>
      <c r="Y323" s="78"/>
      <c r="Z323" s="78"/>
      <c r="AA323" s="78"/>
      <c r="AB323" s="78"/>
      <c r="AC323" s="24" t="s">
        <v>92</v>
      </c>
      <c r="AD323" s="173" t="s">
        <v>24</v>
      </c>
      <c r="AE323" s="174"/>
      <c r="AF323" s="175"/>
      <c r="AG323" s="153"/>
      <c r="AH323" s="153"/>
      <c r="AI323" s="167">
        <f>AI307/9779752.59*100</f>
        <v>45.424206380664685</v>
      </c>
      <c r="AJ323" s="168">
        <f>AJ307/9779752.59*100</f>
        <v>0</v>
      </c>
      <c r="AK323" s="113"/>
      <c r="AL323" s="22">
        <f t="shared" si="22"/>
        <v>45.424206380664685</v>
      </c>
      <c r="AM323" s="22"/>
      <c r="AN323" s="22">
        <f>AN307/9779752.59*100</f>
        <v>44.652895968608547</v>
      </c>
      <c r="AO323" s="22">
        <f>AO307/9779752.59*100</f>
        <v>0</v>
      </c>
      <c r="AP323" s="22"/>
      <c r="AQ323" s="22">
        <f t="shared" si="23"/>
        <v>44.652895968608547</v>
      </c>
      <c r="AR323" s="22"/>
      <c r="AS323" s="22">
        <f t="shared" si="24"/>
        <v>-0.77131041205613826</v>
      </c>
      <c r="AT323" s="22">
        <f t="shared" si="25"/>
        <v>-0.77131041205613826</v>
      </c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</row>
    <row r="324" spans="1:73" ht="48.75" customHeight="1" x14ac:dyDescent="0.25">
      <c r="A324" s="25"/>
      <c r="B324" s="176" t="s">
        <v>295</v>
      </c>
      <c r="C324" s="177"/>
      <c r="D324" s="177"/>
      <c r="E324" s="1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15"/>
      <c r="AD324" s="173"/>
      <c r="AE324" s="174"/>
      <c r="AF324" s="175"/>
      <c r="AG324" s="153"/>
      <c r="AH324" s="153"/>
      <c r="AI324" s="167"/>
      <c r="AJ324" s="168"/>
      <c r="AK324" s="113"/>
      <c r="AL324" s="22"/>
      <c r="AM324" s="22"/>
      <c r="AN324" s="22"/>
      <c r="AO324" s="22"/>
      <c r="AP324" s="22"/>
      <c r="AQ324" s="22"/>
      <c r="AR324" s="22"/>
      <c r="AS324" s="22"/>
      <c r="AT324" s="22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</row>
    <row r="325" spans="1:73" ht="18.75" customHeight="1" x14ac:dyDescent="0.25">
      <c r="A325" s="25"/>
      <c r="B325" s="163" t="s">
        <v>30</v>
      </c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78"/>
      <c r="V325" s="78"/>
      <c r="W325" s="78"/>
      <c r="X325" s="78"/>
      <c r="Y325" s="78"/>
      <c r="Z325" s="78"/>
      <c r="AA325" s="78"/>
      <c r="AB325" s="78"/>
      <c r="AC325" s="15"/>
      <c r="AD325" s="173"/>
      <c r="AE325" s="174"/>
      <c r="AF325" s="175"/>
      <c r="AG325" s="153"/>
      <c r="AH325" s="153"/>
      <c r="AI325" s="167"/>
      <c r="AJ325" s="168"/>
      <c r="AK325" s="113"/>
      <c r="AL325" s="22"/>
      <c r="AM325" s="22"/>
      <c r="AN325" s="22"/>
      <c r="AO325" s="22"/>
      <c r="AP325" s="22"/>
      <c r="AQ325" s="22"/>
      <c r="AR325" s="22"/>
      <c r="AS325" s="22"/>
      <c r="AT325" s="22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</row>
    <row r="326" spans="1:73" ht="18.75" customHeight="1" x14ac:dyDescent="0.25">
      <c r="A326" s="25"/>
      <c r="B326" s="187" t="s">
        <v>211</v>
      </c>
      <c r="C326" s="188"/>
      <c r="D326" s="188"/>
      <c r="E326" s="188"/>
      <c r="F326" s="188"/>
      <c r="G326" s="188"/>
      <c r="H326" s="188"/>
      <c r="I326" s="188"/>
      <c r="J326" s="188"/>
      <c r="K326" s="188"/>
      <c r="L326" s="188"/>
      <c r="M326" s="188"/>
      <c r="N326" s="188"/>
      <c r="O326" s="188"/>
      <c r="P326" s="188"/>
      <c r="Q326" s="188"/>
      <c r="R326" s="188"/>
      <c r="S326" s="188"/>
      <c r="T326" s="189"/>
      <c r="U326" s="78"/>
      <c r="V326" s="78"/>
      <c r="W326" s="78"/>
      <c r="X326" s="78"/>
      <c r="Y326" s="78"/>
      <c r="Z326" s="78"/>
      <c r="AA326" s="78"/>
      <c r="AB326" s="78"/>
      <c r="AC326" s="24" t="s">
        <v>28</v>
      </c>
      <c r="AD326" s="173" t="s">
        <v>71</v>
      </c>
      <c r="AE326" s="174"/>
      <c r="AF326" s="175"/>
      <c r="AG326" s="153"/>
      <c r="AH326" s="153"/>
      <c r="AI326" s="167">
        <f>AI327+AI328</f>
        <v>2365985</v>
      </c>
      <c r="AJ326" s="168"/>
      <c r="AK326" s="113"/>
      <c r="AL326" s="22">
        <f t="shared" si="22"/>
        <v>2365985</v>
      </c>
      <c r="AM326" s="22"/>
      <c r="AN326" s="22">
        <f>AN327+AN328</f>
        <v>2313581.5</v>
      </c>
      <c r="AO326" s="22"/>
      <c r="AP326" s="22"/>
      <c r="AQ326" s="22">
        <f t="shared" si="23"/>
        <v>2313581.5</v>
      </c>
      <c r="AR326" s="22"/>
      <c r="AS326" s="22">
        <f t="shared" si="24"/>
        <v>-52403.5</v>
      </c>
      <c r="AT326" s="22">
        <f t="shared" si="25"/>
        <v>-52403.5</v>
      </c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</row>
    <row r="327" spans="1:73" ht="50.25" customHeight="1" x14ac:dyDescent="0.25">
      <c r="A327" s="25"/>
      <c r="B327" s="182" t="s">
        <v>280</v>
      </c>
      <c r="C327" s="18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4"/>
      <c r="U327" s="78"/>
      <c r="V327" s="78"/>
      <c r="W327" s="78"/>
      <c r="X327" s="78"/>
      <c r="Y327" s="78"/>
      <c r="Z327" s="78"/>
      <c r="AA327" s="78"/>
      <c r="AB327" s="78"/>
      <c r="AC327" s="24" t="s">
        <v>28</v>
      </c>
      <c r="AD327" s="173" t="s">
        <v>71</v>
      </c>
      <c r="AE327" s="174"/>
      <c r="AF327" s="175"/>
      <c r="AG327" s="153"/>
      <c r="AH327" s="153"/>
      <c r="AI327" s="167">
        <f>AD154</f>
        <v>1814685</v>
      </c>
      <c r="AJ327" s="168"/>
      <c r="AK327" s="113"/>
      <c r="AL327" s="22">
        <f t="shared" si="22"/>
        <v>1814685</v>
      </c>
      <c r="AM327" s="22"/>
      <c r="AN327" s="326">
        <f>AI154</f>
        <v>1763281.5</v>
      </c>
      <c r="AO327" s="327"/>
      <c r="AP327" s="22"/>
      <c r="AQ327" s="22">
        <f t="shared" si="23"/>
        <v>1763281.5</v>
      </c>
      <c r="AR327" s="22"/>
      <c r="AS327" s="22">
        <f t="shared" si="24"/>
        <v>-51403.5</v>
      </c>
      <c r="AT327" s="22">
        <f t="shared" si="25"/>
        <v>-51403.5</v>
      </c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</row>
    <row r="328" spans="1:73" ht="35.25" customHeight="1" x14ac:dyDescent="0.25">
      <c r="A328" s="25"/>
      <c r="B328" s="182" t="s">
        <v>216</v>
      </c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4"/>
      <c r="U328" s="78"/>
      <c r="V328" s="78"/>
      <c r="W328" s="78"/>
      <c r="X328" s="78"/>
      <c r="Y328" s="78"/>
      <c r="Z328" s="78"/>
      <c r="AA328" s="78"/>
      <c r="AB328" s="78"/>
      <c r="AC328" s="24" t="s">
        <v>28</v>
      </c>
      <c r="AD328" s="173" t="s">
        <v>71</v>
      </c>
      <c r="AE328" s="174"/>
      <c r="AF328" s="175"/>
      <c r="AG328" s="153"/>
      <c r="AH328" s="153"/>
      <c r="AI328" s="167">
        <f>SUM(AD155:AD158)</f>
        <v>551300</v>
      </c>
      <c r="AJ328" s="168"/>
      <c r="AK328" s="113"/>
      <c r="AL328" s="22">
        <f t="shared" si="22"/>
        <v>551300</v>
      </c>
      <c r="AM328" s="22"/>
      <c r="AN328" s="326">
        <f>SUM(AI155:AI158)</f>
        <v>550300</v>
      </c>
      <c r="AO328" s="327"/>
      <c r="AP328" s="22"/>
      <c r="AQ328" s="22">
        <f t="shared" si="23"/>
        <v>550300</v>
      </c>
      <c r="AR328" s="22"/>
      <c r="AS328" s="22">
        <f t="shared" si="24"/>
        <v>-1000</v>
      </c>
      <c r="AT328" s="22">
        <f t="shared" si="25"/>
        <v>-1000</v>
      </c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</row>
    <row r="329" spans="1:73" ht="18.75" customHeight="1" x14ac:dyDescent="0.25">
      <c r="A329" s="25"/>
      <c r="B329" s="172" t="s">
        <v>265</v>
      </c>
      <c r="C329" s="172"/>
      <c r="D329" s="172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/>
      <c r="S329" s="172"/>
      <c r="T329" s="172"/>
      <c r="U329" s="78"/>
      <c r="V329" s="78"/>
      <c r="W329" s="78"/>
      <c r="X329" s="78"/>
      <c r="Y329" s="78"/>
      <c r="Z329" s="78"/>
      <c r="AA329" s="78"/>
      <c r="AB329" s="78"/>
      <c r="AC329" s="15"/>
      <c r="AD329" s="173"/>
      <c r="AE329" s="174"/>
      <c r="AF329" s="175"/>
      <c r="AG329" s="153"/>
      <c r="AH329" s="153"/>
      <c r="AI329" s="167"/>
      <c r="AJ329" s="168"/>
      <c r="AK329" s="113"/>
      <c r="AL329" s="22"/>
      <c r="AM329" s="22"/>
      <c r="AN329" s="22"/>
      <c r="AO329" s="22"/>
      <c r="AP329" s="22"/>
      <c r="AQ329" s="22"/>
      <c r="AR329" s="22"/>
      <c r="AS329" s="22"/>
      <c r="AT329" s="22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</row>
    <row r="330" spans="1:73" ht="35.25" customHeight="1" x14ac:dyDescent="0.25">
      <c r="A330" s="25"/>
      <c r="B330" s="179" t="s">
        <v>266</v>
      </c>
      <c r="C330" s="180"/>
      <c r="D330" s="180"/>
      <c r="E330" s="180"/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0"/>
      <c r="T330" s="181"/>
      <c r="U330" s="78"/>
      <c r="V330" s="78"/>
      <c r="W330" s="78"/>
      <c r="X330" s="78"/>
      <c r="Y330" s="78"/>
      <c r="Z330" s="78"/>
      <c r="AA330" s="78"/>
      <c r="AB330" s="78"/>
      <c r="AC330" s="24" t="s">
        <v>29</v>
      </c>
      <c r="AD330" s="173" t="s">
        <v>416</v>
      </c>
      <c r="AE330" s="174"/>
      <c r="AF330" s="175"/>
      <c r="AG330" s="153"/>
      <c r="AH330" s="153"/>
      <c r="AI330" s="169">
        <v>1</v>
      </c>
      <c r="AJ330" s="170"/>
      <c r="AK330" s="125"/>
      <c r="AL330" s="126">
        <f t="shared" si="22"/>
        <v>1</v>
      </c>
      <c r="AM330" s="126"/>
      <c r="AN330" s="126">
        <v>1</v>
      </c>
      <c r="AO330" s="126"/>
      <c r="AP330" s="126"/>
      <c r="AQ330" s="126">
        <f t="shared" si="23"/>
        <v>1</v>
      </c>
      <c r="AR330" s="126"/>
      <c r="AS330" s="126">
        <f t="shared" si="24"/>
        <v>0</v>
      </c>
      <c r="AT330" s="126">
        <f t="shared" si="25"/>
        <v>0</v>
      </c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</row>
    <row r="331" spans="1:73" ht="36.75" customHeight="1" x14ac:dyDescent="0.25">
      <c r="A331" s="25"/>
      <c r="B331" s="171" t="s">
        <v>259</v>
      </c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  <c r="T331" s="171"/>
      <c r="U331" s="78"/>
      <c r="V331" s="78"/>
      <c r="W331" s="78"/>
      <c r="X331" s="78"/>
      <c r="Y331" s="78"/>
      <c r="Z331" s="78"/>
      <c r="AA331" s="78"/>
      <c r="AB331" s="78"/>
      <c r="AC331" s="24" t="s">
        <v>29</v>
      </c>
      <c r="AD331" s="173" t="s">
        <v>74</v>
      </c>
      <c r="AE331" s="174"/>
      <c r="AF331" s="175"/>
      <c r="AG331" s="153"/>
      <c r="AH331" s="153"/>
      <c r="AI331" s="169">
        <v>4</v>
      </c>
      <c r="AJ331" s="170"/>
      <c r="AK331" s="125"/>
      <c r="AL331" s="126">
        <f t="shared" si="22"/>
        <v>4</v>
      </c>
      <c r="AM331" s="126"/>
      <c r="AN331" s="126">
        <v>4</v>
      </c>
      <c r="AO331" s="126"/>
      <c r="AP331" s="126"/>
      <c r="AQ331" s="126">
        <f t="shared" si="23"/>
        <v>4</v>
      </c>
      <c r="AR331" s="126"/>
      <c r="AS331" s="126">
        <f t="shared" si="24"/>
        <v>0</v>
      </c>
      <c r="AT331" s="126">
        <f t="shared" si="25"/>
        <v>0</v>
      </c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</row>
    <row r="332" spans="1:73" ht="18.75" customHeight="1" x14ac:dyDescent="0.25">
      <c r="A332" s="25"/>
      <c r="B332" s="172" t="s">
        <v>27</v>
      </c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78"/>
      <c r="V332" s="78"/>
      <c r="W332" s="78"/>
      <c r="X332" s="78"/>
      <c r="Y332" s="78"/>
      <c r="Z332" s="78"/>
      <c r="AA332" s="78"/>
      <c r="AB332" s="78"/>
      <c r="AC332" s="15"/>
      <c r="AD332" s="173"/>
      <c r="AE332" s="174"/>
      <c r="AF332" s="175"/>
      <c r="AG332" s="153"/>
      <c r="AH332" s="153"/>
      <c r="AI332" s="167"/>
      <c r="AJ332" s="168"/>
      <c r="AK332" s="113"/>
      <c r="AL332" s="22"/>
      <c r="AM332" s="22"/>
      <c r="AN332" s="22"/>
      <c r="AO332" s="22"/>
      <c r="AP332" s="22"/>
      <c r="AQ332" s="22"/>
      <c r="AR332" s="22"/>
      <c r="AS332" s="22"/>
      <c r="AT332" s="22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</row>
    <row r="333" spans="1:73" ht="33.75" customHeight="1" x14ac:dyDescent="0.25">
      <c r="A333" s="25"/>
      <c r="B333" s="171" t="s">
        <v>276</v>
      </c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  <c r="T333" s="171"/>
      <c r="U333" s="78"/>
      <c r="V333" s="78"/>
      <c r="W333" s="78"/>
      <c r="X333" s="78"/>
      <c r="Y333" s="78"/>
      <c r="Z333" s="78"/>
      <c r="AA333" s="78"/>
      <c r="AB333" s="78"/>
      <c r="AC333" s="24" t="s">
        <v>28</v>
      </c>
      <c r="AD333" s="173" t="s">
        <v>24</v>
      </c>
      <c r="AE333" s="174"/>
      <c r="AF333" s="175"/>
      <c r="AG333" s="153"/>
      <c r="AH333" s="153"/>
      <c r="AI333" s="167">
        <f>AI327/AI330</f>
        <v>1814685</v>
      </c>
      <c r="AJ333" s="168"/>
      <c r="AK333" s="113"/>
      <c r="AL333" s="22">
        <f t="shared" si="22"/>
        <v>1814685</v>
      </c>
      <c r="AM333" s="22"/>
      <c r="AN333" s="22">
        <f>AN327/AN330</f>
        <v>1763281.5</v>
      </c>
      <c r="AO333" s="22"/>
      <c r="AP333" s="22"/>
      <c r="AQ333" s="22">
        <f t="shared" si="23"/>
        <v>1763281.5</v>
      </c>
      <c r="AR333" s="22"/>
      <c r="AS333" s="22">
        <f t="shared" si="24"/>
        <v>-51403.5</v>
      </c>
      <c r="AT333" s="22">
        <f t="shared" si="25"/>
        <v>-51403.5</v>
      </c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</row>
    <row r="334" spans="1:73" ht="39.75" customHeight="1" x14ac:dyDescent="0.25">
      <c r="A334" s="25"/>
      <c r="B334" s="171" t="s">
        <v>262</v>
      </c>
      <c r="C334" s="171" t="s">
        <v>227</v>
      </c>
      <c r="D334" s="171" t="s">
        <v>227</v>
      </c>
      <c r="E334" s="171" t="s">
        <v>227</v>
      </c>
      <c r="F334" s="171" t="s">
        <v>227</v>
      </c>
      <c r="G334" s="171" t="s">
        <v>227</v>
      </c>
      <c r="H334" s="171" t="s">
        <v>227</v>
      </c>
      <c r="I334" s="171" t="s">
        <v>227</v>
      </c>
      <c r="J334" s="171" t="s">
        <v>227</v>
      </c>
      <c r="K334" s="171" t="s">
        <v>227</v>
      </c>
      <c r="L334" s="171" t="s">
        <v>227</v>
      </c>
      <c r="M334" s="171" t="s">
        <v>227</v>
      </c>
      <c r="N334" s="171" t="s">
        <v>227</v>
      </c>
      <c r="O334" s="171" t="s">
        <v>227</v>
      </c>
      <c r="P334" s="171" t="s">
        <v>227</v>
      </c>
      <c r="Q334" s="171" t="s">
        <v>227</v>
      </c>
      <c r="R334" s="171" t="s">
        <v>227</v>
      </c>
      <c r="S334" s="171" t="s">
        <v>227</v>
      </c>
      <c r="T334" s="171" t="s">
        <v>227</v>
      </c>
      <c r="U334" s="78"/>
      <c r="V334" s="78"/>
      <c r="W334" s="78"/>
      <c r="X334" s="78"/>
      <c r="Y334" s="78"/>
      <c r="Z334" s="78"/>
      <c r="AA334" s="78"/>
      <c r="AB334" s="78"/>
      <c r="AC334" s="24" t="s">
        <v>28</v>
      </c>
      <c r="AD334" s="173" t="s">
        <v>24</v>
      </c>
      <c r="AE334" s="174"/>
      <c r="AF334" s="175"/>
      <c r="AG334" s="153"/>
      <c r="AH334" s="153"/>
      <c r="AI334" s="167">
        <f>AI328/AI331</f>
        <v>137825</v>
      </c>
      <c r="AJ334" s="168"/>
      <c r="AK334" s="113"/>
      <c r="AL334" s="22">
        <f t="shared" si="22"/>
        <v>137825</v>
      </c>
      <c r="AM334" s="22"/>
      <c r="AN334" s="22">
        <f>AN328/AN331</f>
        <v>137575</v>
      </c>
      <c r="AO334" s="22"/>
      <c r="AP334" s="22"/>
      <c r="AQ334" s="22">
        <f t="shared" si="23"/>
        <v>137575</v>
      </c>
      <c r="AR334" s="22"/>
      <c r="AS334" s="22">
        <f t="shared" si="24"/>
        <v>-250</v>
      </c>
      <c r="AT334" s="22">
        <f t="shared" si="25"/>
        <v>-250</v>
      </c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</row>
    <row r="335" spans="1:73" ht="18.75" customHeight="1" x14ac:dyDescent="0.25">
      <c r="A335" s="25"/>
      <c r="B335" s="163" t="s">
        <v>31</v>
      </c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78"/>
      <c r="V335" s="78"/>
      <c r="W335" s="78"/>
      <c r="X335" s="78"/>
      <c r="Y335" s="78"/>
      <c r="Z335" s="78"/>
      <c r="AA335" s="78"/>
      <c r="AB335" s="78"/>
      <c r="AC335" s="15"/>
      <c r="AD335" s="173"/>
      <c r="AE335" s="174"/>
      <c r="AF335" s="175"/>
      <c r="AG335" s="153"/>
      <c r="AH335" s="153"/>
      <c r="AI335" s="167"/>
      <c r="AJ335" s="168"/>
      <c r="AK335" s="113"/>
      <c r="AL335" s="22"/>
      <c r="AM335" s="22"/>
      <c r="AN335" s="22"/>
      <c r="AO335" s="22"/>
      <c r="AP335" s="22"/>
      <c r="AQ335" s="22"/>
      <c r="AR335" s="22"/>
      <c r="AS335" s="22"/>
      <c r="AT335" s="22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</row>
    <row r="336" spans="1:73" ht="65.25" customHeight="1" x14ac:dyDescent="0.25">
      <c r="A336" s="25"/>
      <c r="B336" s="179" t="s">
        <v>281</v>
      </c>
      <c r="C336" s="180"/>
      <c r="D336" s="180"/>
      <c r="E336" s="180"/>
      <c r="F336" s="180"/>
      <c r="G336" s="180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0"/>
      <c r="T336" s="181"/>
      <c r="U336" s="78"/>
      <c r="V336" s="78"/>
      <c r="W336" s="78"/>
      <c r="X336" s="78"/>
      <c r="Y336" s="78"/>
      <c r="Z336" s="78"/>
      <c r="AA336" s="78"/>
      <c r="AB336" s="78"/>
      <c r="AC336" s="24" t="s">
        <v>92</v>
      </c>
      <c r="AD336" s="173" t="s">
        <v>24</v>
      </c>
      <c r="AE336" s="174"/>
      <c r="AF336" s="175"/>
      <c r="AG336" s="153"/>
      <c r="AH336" s="153"/>
      <c r="AI336" s="167">
        <f>1814685/AI327*100</f>
        <v>100</v>
      </c>
      <c r="AJ336" s="168" t="e">
        <f>1814685/AJ327*100</f>
        <v>#DIV/0!</v>
      </c>
      <c r="AK336" s="113"/>
      <c r="AL336" s="22">
        <f t="shared" si="22"/>
        <v>100</v>
      </c>
      <c r="AM336" s="22"/>
      <c r="AN336" s="326">
        <f>100</f>
        <v>100</v>
      </c>
      <c r="AO336" s="327" t="e">
        <f>1814685/AO327*100</f>
        <v>#DIV/0!</v>
      </c>
      <c r="AP336" s="22"/>
      <c r="AQ336" s="22">
        <f t="shared" si="23"/>
        <v>100</v>
      </c>
      <c r="AR336" s="22"/>
      <c r="AS336" s="22">
        <f t="shared" si="24"/>
        <v>0</v>
      </c>
      <c r="AT336" s="22">
        <f t="shared" si="25"/>
        <v>0</v>
      </c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</row>
    <row r="337" spans="1:73" ht="50.25" customHeight="1" x14ac:dyDescent="0.25">
      <c r="A337" s="25"/>
      <c r="B337" s="156" t="s">
        <v>72</v>
      </c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78"/>
      <c r="V337" s="78"/>
      <c r="W337" s="78"/>
      <c r="X337" s="78"/>
      <c r="Y337" s="78"/>
      <c r="Z337" s="78"/>
      <c r="AA337" s="78"/>
      <c r="AB337" s="78"/>
      <c r="AC337" s="24" t="s">
        <v>92</v>
      </c>
      <c r="AD337" s="173" t="s">
        <v>24</v>
      </c>
      <c r="AE337" s="174"/>
      <c r="AF337" s="175"/>
      <c r="AG337" s="153"/>
      <c r="AH337" s="153"/>
      <c r="AI337" s="167">
        <f>AI326/100500</f>
        <v>23.542139303482585</v>
      </c>
      <c r="AJ337" s="168">
        <f>AJ326/100500</f>
        <v>0</v>
      </c>
      <c r="AK337" s="113"/>
      <c r="AL337" s="22">
        <f t="shared" si="22"/>
        <v>23.542139303482585</v>
      </c>
      <c r="AM337" s="22"/>
      <c r="AN337" s="326">
        <f>AN326/100500</f>
        <v>23.02071144278607</v>
      </c>
      <c r="AO337" s="327">
        <f>AO326/100500</f>
        <v>0</v>
      </c>
      <c r="AP337" s="22"/>
      <c r="AQ337" s="22">
        <f t="shared" si="23"/>
        <v>23.02071144278607</v>
      </c>
      <c r="AR337" s="22"/>
      <c r="AS337" s="22">
        <f t="shared" si="24"/>
        <v>-0.52142786069651592</v>
      </c>
      <c r="AT337" s="22">
        <f t="shared" si="25"/>
        <v>-0.52142786069651592</v>
      </c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</row>
    <row r="338" spans="1:73" ht="66" customHeight="1" x14ac:dyDescent="0.25">
      <c r="A338" s="25"/>
      <c r="B338" s="176" t="s">
        <v>296</v>
      </c>
      <c r="C338" s="177"/>
      <c r="D338" s="177"/>
      <c r="E338" s="1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15"/>
      <c r="AD338" s="173"/>
      <c r="AE338" s="174"/>
      <c r="AF338" s="175"/>
      <c r="AG338" s="153"/>
      <c r="AH338" s="153"/>
      <c r="AI338" s="167"/>
      <c r="AJ338" s="168"/>
      <c r="AK338" s="113"/>
      <c r="AL338" s="22"/>
      <c r="AM338" s="22"/>
      <c r="AN338" s="22"/>
      <c r="AO338" s="22"/>
      <c r="AP338" s="22"/>
      <c r="AQ338" s="22"/>
      <c r="AR338" s="22"/>
      <c r="AS338" s="22"/>
      <c r="AT338" s="22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</row>
    <row r="339" spans="1:73" ht="18.75" customHeight="1" x14ac:dyDescent="0.25">
      <c r="A339" s="25"/>
      <c r="B339" s="163" t="s">
        <v>30</v>
      </c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78"/>
      <c r="V339" s="78"/>
      <c r="W339" s="78"/>
      <c r="X339" s="78"/>
      <c r="Y339" s="78"/>
      <c r="Z339" s="78"/>
      <c r="AA339" s="78"/>
      <c r="AB339" s="78"/>
      <c r="AC339" s="15"/>
      <c r="AD339" s="173"/>
      <c r="AE339" s="174"/>
      <c r="AF339" s="175"/>
      <c r="AG339" s="153"/>
      <c r="AH339" s="153"/>
      <c r="AI339" s="167"/>
      <c r="AJ339" s="168"/>
      <c r="AK339" s="113"/>
      <c r="AL339" s="22"/>
      <c r="AM339" s="22"/>
      <c r="AN339" s="22"/>
      <c r="AO339" s="22"/>
      <c r="AP339" s="22"/>
      <c r="AQ339" s="22"/>
      <c r="AR339" s="22"/>
      <c r="AS339" s="22"/>
      <c r="AT339" s="22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</row>
    <row r="340" spans="1:73" ht="33" customHeight="1" x14ac:dyDescent="0.25">
      <c r="A340" s="25">
        <v>1</v>
      </c>
      <c r="B340" s="156" t="s">
        <v>217</v>
      </c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78"/>
      <c r="V340" s="78"/>
      <c r="W340" s="78"/>
      <c r="X340" s="78"/>
      <c r="Y340" s="78"/>
      <c r="Z340" s="78"/>
      <c r="AA340" s="78"/>
      <c r="AB340" s="78"/>
      <c r="AC340" s="24" t="s">
        <v>28</v>
      </c>
      <c r="AD340" s="173" t="s">
        <v>71</v>
      </c>
      <c r="AE340" s="174"/>
      <c r="AF340" s="175"/>
      <c r="AG340" s="153"/>
      <c r="AH340" s="153"/>
      <c r="AI340" s="167">
        <f>SUM(AD160:AD162)</f>
        <v>3256678</v>
      </c>
      <c r="AJ340" s="168"/>
      <c r="AK340" s="113"/>
      <c r="AL340" s="22">
        <f t="shared" si="22"/>
        <v>3256678</v>
      </c>
      <c r="AM340" s="22"/>
      <c r="AN340" s="22">
        <f>SUM(AI160:AI162)</f>
        <v>3254340</v>
      </c>
      <c r="AO340" s="22"/>
      <c r="AP340" s="22"/>
      <c r="AQ340" s="22">
        <f t="shared" si="23"/>
        <v>3254340</v>
      </c>
      <c r="AR340" s="22"/>
      <c r="AS340" s="22">
        <f t="shared" si="24"/>
        <v>-2338</v>
      </c>
      <c r="AT340" s="22">
        <f t="shared" si="25"/>
        <v>-2338</v>
      </c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</row>
    <row r="341" spans="1:73" ht="18.75" customHeight="1" x14ac:dyDescent="0.25">
      <c r="A341" s="25"/>
      <c r="B341" s="172" t="s">
        <v>265</v>
      </c>
      <c r="C341" s="172"/>
      <c r="D341" s="172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  <c r="R341" s="172"/>
      <c r="S341" s="172"/>
      <c r="T341" s="172"/>
      <c r="U341" s="78"/>
      <c r="V341" s="78"/>
      <c r="W341" s="78"/>
      <c r="X341" s="78"/>
      <c r="Y341" s="78"/>
      <c r="Z341" s="78"/>
      <c r="AA341" s="78"/>
      <c r="AB341" s="78"/>
      <c r="AC341" s="15"/>
      <c r="AD341" s="173"/>
      <c r="AE341" s="174"/>
      <c r="AF341" s="175"/>
      <c r="AG341" s="153"/>
      <c r="AH341" s="153"/>
      <c r="AI341" s="167"/>
      <c r="AJ341" s="168"/>
      <c r="AK341" s="113"/>
      <c r="AL341" s="22"/>
      <c r="AM341" s="22"/>
      <c r="AN341" s="22"/>
      <c r="AO341" s="22"/>
      <c r="AP341" s="22"/>
      <c r="AQ341" s="22"/>
      <c r="AR341" s="22"/>
      <c r="AS341" s="22"/>
      <c r="AT341" s="22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</row>
    <row r="342" spans="1:73" ht="32.25" customHeight="1" x14ac:dyDescent="0.25">
      <c r="A342" s="25">
        <v>1</v>
      </c>
      <c r="B342" s="171" t="s">
        <v>223</v>
      </c>
      <c r="C342" s="171"/>
      <c r="D342" s="171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  <c r="T342" s="171"/>
      <c r="U342" s="78"/>
      <c r="V342" s="78"/>
      <c r="W342" s="78"/>
      <c r="X342" s="78"/>
      <c r="Y342" s="78"/>
      <c r="Z342" s="78"/>
      <c r="AA342" s="78"/>
      <c r="AB342" s="78"/>
      <c r="AC342" s="24" t="s">
        <v>29</v>
      </c>
      <c r="AD342" s="173" t="s">
        <v>417</v>
      </c>
      <c r="AE342" s="174"/>
      <c r="AF342" s="175"/>
      <c r="AG342" s="153"/>
      <c r="AH342" s="153"/>
      <c r="AI342" s="169">
        <v>3</v>
      </c>
      <c r="AJ342" s="170"/>
      <c r="AK342" s="125"/>
      <c r="AL342" s="126">
        <f t="shared" si="22"/>
        <v>3</v>
      </c>
      <c r="AM342" s="126"/>
      <c r="AN342" s="126">
        <v>3</v>
      </c>
      <c r="AO342" s="126"/>
      <c r="AP342" s="126"/>
      <c r="AQ342" s="126">
        <f t="shared" si="23"/>
        <v>3</v>
      </c>
      <c r="AR342" s="126"/>
      <c r="AS342" s="126">
        <f t="shared" si="24"/>
        <v>0</v>
      </c>
      <c r="AT342" s="126">
        <f t="shared" si="25"/>
        <v>0</v>
      </c>
      <c r="AU342" s="127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</row>
    <row r="343" spans="1:73" ht="18.75" customHeight="1" x14ac:dyDescent="0.25">
      <c r="A343" s="25"/>
      <c r="B343" s="172" t="s">
        <v>27</v>
      </c>
      <c r="C343" s="172"/>
      <c r="D343" s="172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/>
      <c r="S343" s="172"/>
      <c r="T343" s="172"/>
      <c r="U343" s="78"/>
      <c r="V343" s="78"/>
      <c r="W343" s="78"/>
      <c r="X343" s="78"/>
      <c r="Y343" s="78"/>
      <c r="Z343" s="78"/>
      <c r="AA343" s="78"/>
      <c r="AB343" s="78"/>
      <c r="AC343" s="15"/>
      <c r="AD343" s="173"/>
      <c r="AE343" s="174"/>
      <c r="AF343" s="175"/>
      <c r="AG343" s="153"/>
      <c r="AH343" s="153"/>
      <c r="AI343" s="167"/>
      <c r="AJ343" s="168"/>
      <c r="AK343" s="113"/>
      <c r="AL343" s="22"/>
      <c r="AM343" s="22"/>
      <c r="AN343" s="22"/>
      <c r="AO343" s="22"/>
      <c r="AP343" s="22"/>
      <c r="AQ343" s="22"/>
      <c r="AR343" s="22"/>
      <c r="AS343" s="22"/>
      <c r="AT343" s="22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</row>
    <row r="344" spans="1:73" ht="35.25" customHeight="1" x14ac:dyDescent="0.25">
      <c r="A344" s="25">
        <v>1</v>
      </c>
      <c r="B344" s="171" t="s">
        <v>228</v>
      </c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  <c r="T344" s="171"/>
      <c r="U344" s="78"/>
      <c r="V344" s="78"/>
      <c r="W344" s="78"/>
      <c r="X344" s="78"/>
      <c r="Y344" s="78"/>
      <c r="Z344" s="78"/>
      <c r="AA344" s="78"/>
      <c r="AB344" s="78"/>
      <c r="AC344" s="24" t="s">
        <v>28</v>
      </c>
      <c r="AD344" s="173" t="s">
        <v>24</v>
      </c>
      <c r="AE344" s="174"/>
      <c r="AF344" s="175"/>
      <c r="AG344" s="153"/>
      <c r="AH344" s="153"/>
      <c r="AI344" s="167">
        <f>AI340/AI342</f>
        <v>1085559.3333333333</v>
      </c>
      <c r="AJ344" s="168"/>
      <c r="AK344" s="113"/>
      <c r="AL344" s="22">
        <f t="shared" ref="AL344:AL382" si="26">AI344</f>
        <v>1085559.3333333333</v>
      </c>
      <c r="AM344" s="22"/>
      <c r="AN344" s="22">
        <f>AN340/AN342</f>
        <v>1084780</v>
      </c>
      <c r="AO344" s="22"/>
      <c r="AP344" s="22"/>
      <c r="AQ344" s="22">
        <f t="shared" ref="AQ344:AQ382" si="27">AN344</f>
        <v>1084780</v>
      </c>
      <c r="AR344" s="22"/>
      <c r="AS344" s="22">
        <f t="shared" ref="AS344:AS382" si="28">AN344-AI344</f>
        <v>-779.33333333325572</v>
      </c>
      <c r="AT344" s="22">
        <f t="shared" ref="AT344:AT382" si="29">AS344</f>
        <v>-779.33333333325572</v>
      </c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</row>
    <row r="345" spans="1:73" ht="18.75" customHeight="1" x14ac:dyDescent="0.25">
      <c r="A345" s="25"/>
      <c r="B345" s="163" t="s">
        <v>31</v>
      </c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78"/>
      <c r="V345" s="78"/>
      <c r="W345" s="78"/>
      <c r="X345" s="78"/>
      <c r="Y345" s="78"/>
      <c r="Z345" s="78"/>
      <c r="AA345" s="78"/>
      <c r="AB345" s="78"/>
      <c r="AC345" s="15"/>
      <c r="AD345" s="173"/>
      <c r="AE345" s="174"/>
      <c r="AF345" s="175"/>
      <c r="AG345" s="153"/>
      <c r="AH345" s="153"/>
      <c r="AI345" s="167"/>
      <c r="AJ345" s="168"/>
      <c r="AK345" s="113"/>
      <c r="AL345" s="22"/>
      <c r="AM345" s="22"/>
      <c r="AN345" s="22"/>
      <c r="AO345" s="22"/>
      <c r="AP345" s="22"/>
      <c r="AQ345" s="22"/>
      <c r="AR345" s="22"/>
      <c r="AS345" s="22"/>
      <c r="AT345" s="22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</row>
    <row r="346" spans="1:73" ht="54" customHeight="1" x14ac:dyDescent="0.25">
      <c r="A346" s="25">
        <v>1</v>
      </c>
      <c r="B346" s="156" t="s">
        <v>72</v>
      </c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78"/>
      <c r="V346" s="78"/>
      <c r="W346" s="78"/>
      <c r="X346" s="78"/>
      <c r="Y346" s="78"/>
      <c r="Z346" s="78"/>
      <c r="AA346" s="78"/>
      <c r="AB346" s="78"/>
      <c r="AC346" s="24" t="s">
        <v>92</v>
      </c>
      <c r="AD346" s="173" t="s">
        <v>24</v>
      </c>
      <c r="AE346" s="174"/>
      <c r="AF346" s="175"/>
      <c r="AG346" s="153"/>
      <c r="AH346" s="153"/>
      <c r="AI346" s="167">
        <f>AI340/1356719.16</f>
        <v>2.4004068756573029</v>
      </c>
      <c r="AJ346" s="168">
        <f>AJ340/1356719.16</f>
        <v>0</v>
      </c>
      <c r="AK346" s="113"/>
      <c r="AL346" s="22">
        <f t="shared" si="26"/>
        <v>2.4004068756573029</v>
      </c>
      <c r="AM346" s="22"/>
      <c r="AN346" s="22">
        <f>AN340/1356719.16</f>
        <v>2.398683600812419</v>
      </c>
      <c r="AO346" s="22">
        <f>AO340/1356719.16</f>
        <v>0</v>
      </c>
      <c r="AP346" s="22"/>
      <c r="AQ346" s="22">
        <f t="shared" si="27"/>
        <v>2.398683600812419</v>
      </c>
      <c r="AR346" s="22"/>
      <c r="AS346" s="22">
        <f t="shared" si="28"/>
        <v>-1.7232748448838819E-3</v>
      </c>
      <c r="AT346" s="22">
        <f t="shared" si="29"/>
        <v>-1.7232748448838819E-3</v>
      </c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</row>
    <row r="347" spans="1:73" ht="69.75" customHeight="1" x14ac:dyDescent="0.25">
      <c r="A347" s="25"/>
      <c r="B347" s="176" t="s">
        <v>297</v>
      </c>
      <c r="C347" s="177"/>
      <c r="D347" s="177"/>
      <c r="E347" s="1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15"/>
      <c r="AD347" s="173"/>
      <c r="AE347" s="174"/>
      <c r="AF347" s="175"/>
      <c r="AG347" s="153"/>
      <c r="AH347" s="153"/>
      <c r="AI347" s="167"/>
      <c r="AJ347" s="168"/>
      <c r="AK347" s="113"/>
      <c r="AL347" s="22"/>
      <c r="AM347" s="22"/>
      <c r="AN347" s="22"/>
      <c r="AO347" s="22"/>
      <c r="AP347" s="22"/>
      <c r="AQ347" s="22"/>
      <c r="AR347" s="22"/>
      <c r="AS347" s="22"/>
      <c r="AT347" s="22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</row>
    <row r="348" spans="1:73" ht="18.75" customHeight="1" x14ac:dyDescent="0.25">
      <c r="A348" s="25"/>
      <c r="B348" s="163" t="s">
        <v>30</v>
      </c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78"/>
      <c r="V348" s="78"/>
      <c r="W348" s="78"/>
      <c r="X348" s="78"/>
      <c r="Y348" s="78"/>
      <c r="Z348" s="78"/>
      <c r="AA348" s="78"/>
      <c r="AB348" s="78"/>
      <c r="AC348" s="15"/>
      <c r="AD348" s="173"/>
      <c r="AE348" s="174"/>
      <c r="AF348" s="175"/>
      <c r="AG348" s="153"/>
      <c r="AH348" s="153"/>
      <c r="AI348" s="167"/>
      <c r="AJ348" s="168"/>
      <c r="AK348" s="113"/>
      <c r="AL348" s="22"/>
      <c r="AM348" s="22"/>
      <c r="AN348" s="22"/>
      <c r="AO348" s="22"/>
      <c r="AP348" s="22"/>
      <c r="AQ348" s="22"/>
      <c r="AR348" s="22"/>
      <c r="AS348" s="22"/>
      <c r="AT348" s="22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</row>
    <row r="349" spans="1:73" ht="18.75" customHeight="1" x14ac:dyDescent="0.25">
      <c r="A349" s="25">
        <v>1</v>
      </c>
      <c r="B349" s="185" t="s">
        <v>211</v>
      </c>
      <c r="C349" s="186"/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78"/>
      <c r="V349" s="78"/>
      <c r="W349" s="78"/>
      <c r="X349" s="78"/>
      <c r="Y349" s="78"/>
      <c r="Z349" s="78"/>
      <c r="AA349" s="78"/>
      <c r="AB349" s="78"/>
      <c r="AC349" s="24" t="s">
        <v>28</v>
      </c>
      <c r="AD349" s="173" t="s">
        <v>71</v>
      </c>
      <c r="AE349" s="174"/>
      <c r="AF349" s="175"/>
      <c r="AG349" s="153"/>
      <c r="AH349" s="153"/>
      <c r="AI349" s="167">
        <f>SUM(AI350:AJ353)</f>
        <v>25157745</v>
      </c>
      <c r="AJ349" s="168"/>
      <c r="AK349" s="113"/>
      <c r="AL349" s="22">
        <f t="shared" si="26"/>
        <v>25157745</v>
      </c>
      <c r="AM349" s="22"/>
      <c r="AN349" s="22">
        <f>SUM(AN350:AO353)</f>
        <v>24999959.690000001</v>
      </c>
      <c r="AO349" s="22"/>
      <c r="AP349" s="22"/>
      <c r="AQ349" s="22">
        <f t="shared" si="27"/>
        <v>24999959.690000001</v>
      </c>
      <c r="AR349" s="22"/>
      <c r="AS349" s="22">
        <f t="shared" si="28"/>
        <v>-157785.30999999866</v>
      </c>
      <c r="AT349" s="22">
        <f t="shared" si="29"/>
        <v>-157785.30999999866</v>
      </c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</row>
    <row r="350" spans="1:73" ht="32.25" customHeight="1" x14ac:dyDescent="0.25">
      <c r="A350" s="25">
        <v>2</v>
      </c>
      <c r="B350" s="156" t="s">
        <v>282</v>
      </c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78"/>
      <c r="V350" s="78"/>
      <c r="W350" s="78"/>
      <c r="X350" s="78"/>
      <c r="Y350" s="78"/>
      <c r="Z350" s="78"/>
      <c r="AA350" s="78"/>
      <c r="AB350" s="78"/>
      <c r="AC350" s="24" t="s">
        <v>28</v>
      </c>
      <c r="AD350" s="173" t="s">
        <v>71</v>
      </c>
      <c r="AE350" s="174"/>
      <c r="AF350" s="175"/>
      <c r="AG350" s="153"/>
      <c r="AH350" s="153"/>
      <c r="AI350" s="167">
        <f>AD164</f>
        <v>4500000</v>
      </c>
      <c r="AJ350" s="168"/>
      <c r="AK350" s="113"/>
      <c r="AL350" s="22">
        <f t="shared" si="26"/>
        <v>4500000</v>
      </c>
      <c r="AM350" s="22"/>
      <c r="AN350" s="22">
        <f>AI164</f>
        <v>4498589.6900000004</v>
      </c>
      <c r="AO350" s="22"/>
      <c r="AP350" s="22"/>
      <c r="AQ350" s="22">
        <f t="shared" si="27"/>
        <v>4498589.6900000004</v>
      </c>
      <c r="AR350" s="22"/>
      <c r="AS350" s="22">
        <f t="shared" si="28"/>
        <v>-1410.3099999995902</v>
      </c>
      <c r="AT350" s="22">
        <f t="shared" si="29"/>
        <v>-1410.3099999995902</v>
      </c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</row>
    <row r="351" spans="1:73" ht="34.5" customHeight="1" x14ac:dyDescent="0.25">
      <c r="A351" s="25">
        <v>3</v>
      </c>
      <c r="B351" s="156" t="s">
        <v>217</v>
      </c>
      <c r="C351" s="156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78"/>
      <c r="V351" s="78"/>
      <c r="W351" s="78"/>
      <c r="X351" s="78"/>
      <c r="Y351" s="78"/>
      <c r="Z351" s="78"/>
      <c r="AA351" s="78"/>
      <c r="AB351" s="78"/>
      <c r="AC351" s="24" t="s">
        <v>28</v>
      </c>
      <c r="AD351" s="173" t="s">
        <v>71</v>
      </c>
      <c r="AE351" s="174"/>
      <c r="AF351" s="175"/>
      <c r="AG351" s="153"/>
      <c r="AH351" s="153"/>
      <c r="AI351" s="167">
        <f>AD165+AD166</f>
        <v>20169000</v>
      </c>
      <c r="AJ351" s="168"/>
      <c r="AK351" s="113"/>
      <c r="AL351" s="22">
        <f t="shared" si="26"/>
        <v>20169000</v>
      </c>
      <c r="AM351" s="22"/>
      <c r="AN351" s="22">
        <f>AI165+AI166</f>
        <v>20169000</v>
      </c>
      <c r="AO351" s="22"/>
      <c r="AP351" s="22"/>
      <c r="AQ351" s="22">
        <f t="shared" si="27"/>
        <v>20169000</v>
      </c>
      <c r="AR351" s="22"/>
      <c r="AS351" s="22">
        <f t="shared" si="28"/>
        <v>0</v>
      </c>
      <c r="AT351" s="22">
        <f t="shared" si="29"/>
        <v>0</v>
      </c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</row>
    <row r="352" spans="1:73" ht="32.25" customHeight="1" x14ac:dyDescent="0.25">
      <c r="A352" s="25">
        <v>4</v>
      </c>
      <c r="B352" s="156" t="s">
        <v>283</v>
      </c>
      <c r="C352" s="156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78"/>
      <c r="V352" s="78"/>
      <c r="W352" s="78"/>
      <c r="X352" s="78"/>
      <c r="Y352" s="78"/>
      <c r="Z352" s="78"/>
      <c r="AA352" s="78"/>
      <c r="AB352" s="78"/>
      <c r="AC352" s="24" t="s">
        <v>28</v>
      </c>
      <c r="AD352" s="173" t="s">
        <v>71</v>
      </c>
      <c r="AE352" s="174"/>
      <c r="AF352" s="175"/>
      <c r="AG352" s="153"/>
      <c r="AH352" s="153"/>
      <c r="AI352" s="167">
        <f>AD167</f>
        <v>96120</v>
      </c>
      <c r="AJ352" s="168"/>
      <c r="AK352" s="113"/>
      <c r="AL352" s="22">
        <f t="shared" si="26"/>
        <v>96120</v>
      </c>
      <c r="AM352" s="22"/>
      <c r="AN352" s="22">
        <f>AI167</f>
        <v>0</v>
      </c>
      <c r="AO352" s="22"/>
      <c r="AP352" s="22"/>
      <c r="AQ352" s="22">
        <f t="shared" si="27"/>
        <v>0</v>
      </c>
      <c r="AR352" s="22"/>
      <c r="AS352" s="22">
        <f t="shared" si="28"/>
        <v>-96120</v>
      </c>
      <c r="AT352" s="22">
        <f t="shared" si="29"/>
        <v>-96120</v>
      </c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</row>
    <row r="353" spans="1:73" ht="36" customHeight="1" x14ac:dyDescent="0.25">
      <c r="A353" s="25">
        <v>5</v>
      </c>
      <c r="B353" s="182" t="s">
        <v>284</v>
      </c>
      <c r="C353" s="18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4"/>
      <c r="U353" s="78"/>
      <c r="V353" s="78"/>
      <c r="W353" s="78"/>
      <c r="X353" s="78"/>
      <c r="Y353" s="78"/>
      <c r="Z353" s="78"/>
      <c r="AA353" s="78"/>
      <c r="AB353" s="78"/>
      <c r="AC353" s="24" t="s">
        <v>28</v>
      </c>
      <c r="AD353" s="173" t="s">
        <v>71</v>
      </c>
      <c r="AE353" s="174"/>
      <c r="AF353" s="175"/>
      <c r="AG353" s="153"/>
      <c r="AH353" s="153"/>
      <c r="AI353" s="167">
        <f>AD168</f>
        <v>392625</v>
      </c>
      <c r="AJ353" s="168"/>
      <c r="AK353" s="113"/>
      <c r="AL353" s="22">
        <f t="shared" si="26"/>
        <v>392625</v>
      </c>
      <c r="AM353" s="22"/>
      <c r="AN353" s="22">
        <f>AI168</f>
        <v>332370</v>
      </c>
      <c r="AO353" s="22"/>
      <c r="AP353" s="22"/>
      <c r="AQ353" s="22">
        <f t="shared" si="27"/>
        <v>332370</v>
      </c>
      <c r="AR353" s="22"/>
      <c r="AS353" s="22">
        <f t="shared" si="28"/>
        <v>-60255</v>
      </c>
      <c r="AT353" s="22">
        <f t="shared" si="29"/>
        <v>-60255</v>
      </c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</row>
    <row r="354" spans="1:73" ht="18.75" customHeight="1" x14ac:dyDescent="0.25">
      <c r="A354" s="25"/>
      <c r="B354" s="172" t="s">
        <v>265</v>
      </c>
      <c r="C354" s="172"/>
      <c r="D354" s="172"/>
      <c r="E354" s="172"/>
      <c r="F354" s="172"/>
      <c r="G354" s="172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78"/>
      <c r="V354" s="78"/>
      <c r="W354" s="78"/>
      <c r="X354" s="78"/>
      <c r="Y354" s="78"/>
      <c r="Z354" s="78"/>
      <c r="AA354" s="78"/>
      <c r="AB354" s="78"/>
      <c r="AC354" s="15"/>
      <c r="AD354" s="173"/>
      <c r="AE354" s="174"/>
      <c r="AF354" s="175"/>
      <c r="AG354" s="153"/>
      <c r="AH354" s="153"/>
      <c r="AI354" s="167"/>
      <c r="AJ354" s="168"/>
      <c r="AK354" s="113"/>
      <c r="AL354" s="22"/>
      <c r="AM354" s="22"/>
      <c r="AN354" s="22"/>
      <c r="AO354" s="22"/>
      <c r="AP354" s="22"/>
      <c r="AQ354" s="22"/>
      <c r="AR354" s="22"/>
      <c r="AS354" s="22"/>
      <c r="AT354" s="22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</row>
    <row r="355" spans="1:73" ht="21.75" customHeight="1" x14ac:dyDescent="0.25">
      <c r="A355" s="25"/>
      <c r="B355" s="171" t="s">
        <v>266</v>
      </c>
      <c r="C355" s="171"/>
      <c r="D355" s="171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  <c r="R355" s="171"/>
      <c r="S355" s="171"/>
      <c r="T355" s="171"/>
      <c r="U355" s="78"/>
      <c r="V355" s="78"/>
      <c r="W355" s="78"/>
      <c r="X355" s="78"/>
      <c r="Y355" s="78"/>
      <c r="Z355" s="78"/>
      <c r="AA355" s="78"/>
      <c r="AB355" s="78"/>
      <c r="AC355" s="24" t="s">
        <v>29</v>
      </c>
      <c r="AD355" s="173" t="s">
        <v>74</v>
      </c>
      <c r="AE355" s="174"/>
      <c r="AF355" s="175"/>
      <c r="AG355" s="153"/>
      <c r="AH355" s="153"/>
      <c r="AI355" s="169">
        <v>1</v>
      </c>
      <c r="AJ355" s="170"/>
      <c r="AK355" s="125"/>
      <c r="AL355" s="126">
        <f t="shared" si="26"/>
        <v>1</v>
      </c>
      <c r="AM355" s="126"/>
      <c r="AN355" s="126">
        <v>1</v>
      </c>
      <c r="AO355" s="126"/>
      <c r="AP355" s="126"/>
      <c r="AQ355" s="126">
        <f t="shared" si="27"/>
        <v>1</v>
      </c>
      <c r="AR355" s="126"/>
      <c r="AS355" s="126">
        <f t="shared" si="28"/>
        <v>0</v>
      </c>
      <c r="AT355" s="126">
        <f t="shared" si="29"/>
        <v>0</v>
      </c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</row>
    <row r="356" spans="1:73" ht="35.1" customHeight="1" x14ac:dyDescent="0.25">
      <c r="A356" s="25"/>
      <c r="B356" s="171" t="s">
        <v>223</v>
      </c>
      <c r="C356" s="171"/>
      <c r="D356" s="171"/>
      <c r="E356" s="171"/>
      <c r="F356" s="171"/>
      <c r="G356" s="171"/>
      <c r="H356" s="171"/>
      <c r="I356" s="171"/>
      <c r="J356" s="171"/>
      <c r="K356" s="171"/>
      <c r="L356" s="171"/>
      <c r="M356" s="171"/>
      <c r="N356" s="171"/>
      <c r="O356" s="171"/>
      <c r="P356" s="171"/>
      <c r="Q356" s="171"/>
      <c r="R356" s="171"/>
      <c r="S356" s="171"/>
      <c r="T356" s="171"/>
      <c r="U356" s="78"/>
      <c r="V356" s="78"/>
      <c r="W356" s="78"/>
      <c r="X356" s="78"/>
      <c r="Y356" s="78"/>
      <c r="Z356" s="78"/>
      <c r="AA356" s="78"/>
      <c r="AB356" s="78"/>
      <c r="AC356" s="24" t="s">
        <v>29</v>
      </c>
      <c r="AD356" s="173" t="s">
        <v>417</v>
      </c>
      <c r="AE356" s="174"/>
      <c r="AF356" s="175"/>
      <c r="AG356" s="153"/>
      <c r="AH356" s="153"/>
      <c r="AI356" s="169">
        <v>3</v>
      </c>
      <c r="AJ356" s="170"/>
      <c r="AK356" s="125"/>
      <c r="AL356" s="126">
        <f t="shared" si="26"/>
        <v>3</v>
      </c>
      <c r="AM356" s="126"/>
      <c r="AN356" s="126">
        <v>3</v>
      </c>
      <c r="AO356" s="126"/>
      <c r="AP356" s="126"/>
      <c r="AQ356" s="126">
        <f t="shared" si="27"/>
        <v>3</v>
      </c>
      <c r="AR356" s="126"/>
      <c r="AS356" s="126">
        <f t="shared" si="28"/>
        <v>0</v>
      </c>
      <c r="AT356" s="126">
        <f t="shared" si="29"/>
        <v>0</v>
      </c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</row>
    <row r="357" spans="1:73" ht="35.1" customHeight="1" x14ac:dyDescent="0.25">
      <c r="A357" s="25"/>
      <c r="B357" s="179" t="s">
        <v>285</v>
      </c>
      <c r="C357" s="180"/>
      <c r="D357" s="180"/>
      <c r="E357" s="180"/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0"/>
      <c r="T357" s="181"/>
      <c r="U357" s="78"/>
      <c r="V357" s="78"/>
      <c r="W357" s="78"/>
      <c r="X357" s="78"/>
      <c r="Y357" s="78"/>
      <c r="Z357" s="78"/>
      <c r="AA357" s="78"/>
      <c r="AB357" s="78"/>
      <c r="AC357" s="24" t="s">
        <v>29</v>
      </c>
      <c r="AD357" s="173" t="s">
        <v>417</v>
      </c>
      <c r="AE357" s="174"/>
      <c r="AF357" s="175"/>
      <c r="AG357" s="153"/>
      <c r="AH357" s="153"/>
      <c r="AI357" s="169">
        <v>15</v>
      </c>
      <c r="AJ357" s="170"/>
      <c r="AK357" s="125"/>
      <c r="AL357" s="126">
        <f t="shared" si="26"/>
        <v>15</v>
      </c>
      <c r="AM357" s="126"/>
      <c r="AN357" s="126">
        <v>15</v>
      </c>
      <c r="AO357" s="126"/>
      <c r="AP357" s="126"/>
      <c r="AQ357" s="126">
        <f t="shared" si="27"/>
        <v>15</v>
      </c>
      <c r="AR357" s="126"/>
      <c r="AS357" s="126">
        <f t="shared" si="28"/>
        <v>0</v>
      </c>
      <c r="AT357" s="126">
        <f t="shared" si="29"/>
        <v>0</v>
      </c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</row>
    <row r="358" spans="1:73" ht="18.75" customHeight="1" x14ac:dyDescent="0.25">
      <c r="A358" s="25"/>
      <c r="B358" s="172" t="s">
        <v>27</v>
      </c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78"/>
      <c r="V358" s="78"/>
      <c r="W358" s="78"/>
      <c r="X358" s="78"/>
      <c r="Y358" s="78"/>
      <c r="Z358" s="78"/>
      <c r="AA358" s="78"/>
      <c r="AB358" s="78"/>
      <c r="AC358" s="15"/>
      <c r="AD358" s="173"/>
      <c r="AE358" s="174"/>
      <c r="AF358" s="175"/>
      <c r="AG358" s="153"/>
      <c r="AH358" s="153"/>
      <c r="AI358" s="142"/>
      <c r="AJ358" s="143"/>
      <c r="AK358" s="113"/>
      <c r="AL358" s="22"/>
      <c r="AM358" s="22"/>
      <c r="AN358" s="22"/>
      <c r="AO358" s="22"/>
      <c r="AP358" s="22"/>
      <c r="AQ358" s="22"/>
      <c r="AR358" s="22"/>
      <c r="AS358" s="22"/>
      <c r="AT358" s="22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</row>
    <row r="359" spans="1:73" ht="18.75" customHeight="1" x14ac:dyDescent="0.25">
      <c r="A359" s="25"/>
      <c r="B359" s="171" t="s">
        <v>286</v>
      </c>
      <c r="C359" s="171"/>
      <c r="D359" s="171"/>
      <c r="E359" s="171"/>
      <c r="F359" s="171"/>
      <c r="G359" s="171"/>
      <c r="H359" s="171"/>
      <c r="I359" s="171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  <c r="T359" s="171"/>
      <c r="U359" s="78"/>
      <c r="V359" s="78"/>
      <c r="W359" s="78"/>
      <c r="X359" s="78"/>
      <c r="Y359" s="78"/>
      <c r="Z359" s="78"/>
      <c r="AA359" s="78"/>
      <c r="AB359" s="78"/>
      <c r="AC359" s="24" t="s">
        <v>28</v>
      </c>
      <c r="AD359" s="173" t="s">
        <v>24</v>
      </c>
      <c r="AE359" s="174"/>
      <c r="AF359" s="175"/>
      <c r="AG359" s="153"/>
      <c r="AH359" s="153"/>
      <c r="AI359" s="167">
        <f>AI350/AI355</f>
        <v>4500000</v>
      </c>
      <c r="AJ359" s="168"/>
      <c r="AK359" s="113"/>
      <c r="AL359" s="22">
        <f t="shared" si="26"/>
        <v>4500000</v>
      </c>
      <c r="AM359" s="22"/>
      <c r="AN359" s="22">
        <f>AN350/AN355</f>
        <v>4498589.6900000004</v>
      </c>
      <c r="AO359" s="22"/>
      <c r="AP359" s="22"/>
      <c r="AQ359" s="22">
        <f t="shared" si="27"/>
        <v>4498589.6900000004</v>
      </c>
      <c r="AR359" s="22"/>
      <c r="AS359" s="22">
        <f t="shared" si="28"/>
        <v>-1410.3099999995902</v>
      </c>
      <c r="AT359" s="22">
        <f t="shared" si="29"/>
        <v>-1410.3099999995902</v>
      </c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</row>
    <row r="360" spans="1:73" ht="36" customHeight="1" x14ac:dyDescent="0.25">
      <c r="A360" s="25"/>
      <c r="B360" s="171" t="s">
        <v>277</v>
      </c>
      <c r="C360" s="171"/>
      <c r="D360" s="171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  <c r="S360" s="171"/>
      <c r="T360" s="171"/>
      <c r="U360" s="78"/>
      <c r="V360" s="78"/>
      <c r="W360" s="78"/>
      <c r="X360" s="78"/>
      <c r="Y360" s="78"/>
      <c r="Z360" s="78"/>
      <c r="AA360" s="78"/>
      <c r="AB360" s="78"/>
      <c r="AC360" s="24" t="s">
        <v>28</v>
      </c>
      <c r="AD360" s="173" t="s">
        <v>24</v>
      </c>
      <c r="AE360" s="174"/>
      <c r="AF360" s="175"/>
      <c r="AG360" s="153"/>
      <c r="AH360" s="153"/>
      <c r="AI360" s="167">
        <f>AI351/AI356</f>
        <v>6723000</v>
      </c>
      <c r="AJ360" s="168"/>
      <c r="AK360" s="113"/>
      <c r="AL360" s="22">
        <f t="shared" si="26"/>
        <v>6723000</v>
      </c>
      <c r="AM360" s="22"/>
      <c r="AN360" s="22">
        <f>AN351/AN356</f>
        <v>6723000</v>
      </c>
      <c r="AO360" s="22"/>
      <c r="AP360" s="22"/>
      <c r="AQ360" s="22">
        <f t="shared" si="27"/>
        <v>6723000</v>
      </c>
      <c r="AR360" s="22"/>
      <c r="AS360" s="22">
        <f t="shared" si="28"/>
        <v>0</v>
      </c>
      <c r="AT360" s="22">
        <f t="shared" si="29"/>
        <v>0</v>
      </c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</row>
    <row r="361" spans="1:73" ht="51.75" customHeight="1" x14ac:dyDescent="0.25">
      <c r="A361" s="25"/>
      <c r="B361" s="171" t="s">
        <v>287</v>
      </c>
      <c r="C361" s="171"/>
      <c r="D361" s="171"/>
      <c r="E361" s="171"/>
      <c r="F361" s="171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  <c r="T361" s="171"/>
      <c r="U361" s="78"/>
      <c r="V361" s="78"/>
      <c r="W361" s="78"/>
      <c r="X361" s="78"/>
      <c r="Y361" s="78"/>
      <c r="Z361" s="78"/>
      <c r="AA361" s="78"/>
      <c r="AB361" s="78"/>
      <c r="AC361" s="24" t="s">
        <v>28</v>
      </c>
      <c r="AD361" s="173" t="s">
        <v>24</v>
      </c>
      <c r="AE361" s="174"/>
      <c r="AF361" s="175"/>
      <c r="AG361" s="153"/>
      <c r="AH361" s="153"/>
      <c r="AI361" s="167">
        <f>AI352</f>
        <v>96120</v>
      </c>
      <c r="AJ361" s="168"/>
      <c r="AK361" s="113"/>
      <c r="AL361" s="22">
        <f t="shared" si="26"/>
        <v>96120</v>
      </c>
      <c r="AM361" s="22"/>
      <c r="AN361" s="22">
        <f>AN352</f>
        <v>0</v>
      </c>
      <c r="AO361" s="22"/>
      <c r="AP361" s="22"/>
      <c r="AQ361" s="22">
        <f t="shared" si="27"/>
        <v>0</v>
      </c>
      <c r="AR361" s="22"/>
      <c r="AS361" s="22">
        <f t="shared" si="28"/>
        <v>-96120</v>
      </c>
      <c r="AT361" s="22">
        <f t="shared" si="29"/>
        <v>-96120</v>
      </c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</row>
    <row r="362" spans="1:73" ht="33" customHeight="1" x14ac:dyDescent="0.25">
      <c r="A362" s="25"/>
      <c r="B362" s="179" t="s">
        <v>288</v>
      </c>
      <c r="C362" s="180"/>
      <c r="D362" s="180"/>
      <c r="E362" s="180"/>
      <c r="F362" s="180"/>
      <c r="G362" s="180"/>
      <c r="H362" s="180"/>
      <c r="I362" s="180"/>
      <c r="J362" s="180"/>
      <c r="K362" s="180"/>
      <c r="L362" s="180"/>
      <c r="M362" s="180"/>
      <c r="N362" s="180"/>
      <c r="O362" s="180"/>
      <c r="P362" s="180"/>
      <c r="Q362" s="180"/>
      <c r="R362" s="180"/>
      <c r="S362" s="180"/>
      <c r="T362" s="181"/>
      <c r="U362" s="78"/>
      <c r="V362" s="78"/>
      <c r="W362" s="78"/>
      <c r="X362" s="78"/>
      <c r="Y362" s="78"/>
      <c r="Z362" s="78"/>
      <c r="AA362" s="78"/>
      <c r="AB362" s="78"/>
      <c r="AC362" s="24" t="s">
        <v>28</v>
      </c>
      <c r="AD362" s="173" t="s">
        <v>24</v>
      </c>
      <c r="AE362" s="174"/>
      <c r="AF362" s="175"/>
      <c r="AG362" s="153"/>
      <c r="AH362" s="153"/>
      <c r="AI362" s="167">
        <f>AI353/AI357</f>
        <v>26175</v>
      </c>
      <c r="AJ362" s="168"/>
      <c r="AK362" s="113"/>
      <c r="AL362" s="22">
        <f t="shared" si="26"/>
        <v>26175</v>
      </c>
      <c r="AM362" s="22"/>
      <c r="AN362" s="22">
        <f>AN353/AN357</f>
        <v>22158</v>
      </c>
      <c r="AO362" s="22"/>
      <c r="AP362" s="22"/>
      <c r="AQ362" s="22">
        <f t="shared" si="27"/>
        <v>22158</v>
      </c>
      <c r="AR362" s="22"/>
      <c r="AS362" s="22">
        <f t="shared" si="28"/>
        <v>-4017</v>
      </c>
      <c r="AT362" s="22">
        <f t="shared" si="29"/>
        <v>-4017</v>
      </c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</row>
    <row r="363" spans="1:73" ht="18.75" customHeight="1" x14ac:dyDescent="0.25">
      <c r="A363" s="25"/>
      <c r="B363" s="163" t="s">
        <v>31</v>
      </c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78"/>
      <c r="V363" s="78"/>
      <c r="W363" s="78"/>
      <c r="X363" s="78"/>
      <c r="Y363" s="78"/>
      <c r="Z363" s="78"/>
      <c r="AA363" s="78"/>
      <c r="AB363" s="78"/>
      <c r="AC363" s="15"/>
      <c r="AD363" s="173"/>
      <c r="AE363" s="174"/>
      <c r="AF363" s="175"/>
      <c r="AG363" s="153"/>
      <c r="AH363" s="153"/>
      <c r="AI363" s="167"/>
      <c r="AJ363" s="168"/>
      <c r="AK363" s="113"/>
      <c r="AL363" s="22"/>
      <c r="AM363" s="22"/>
      <c r="AN363" s="22"/>
      <c r="AO363" s="22"/>
      <c r="AP363" s="22"/>
      <c r="AQ363" s="22"/>
      <c r="AR363" s="22"/>
      <c r="AS363" s="22"/>
      <c r="AT363" s="22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</row>
    <row r="364" spans="1:73" ht="50.25" customHeight="1" x14ac:dyDescent="0.25">
      <c r="A364" s="25"/>
      <c r="B364" s="156" t="s">
        <v>72</v>
      </c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78"/>
      <c r="V364" s="78"/>
      <c r="W364" s="78"/>
      <c r="X364" s="78"/>
      <c r="Y364" s="78"/>
      <c r="Z364" s="78"/>
      <c r="AA364" s="78"/>
      <c r="AB364" s="78"/>
      <c r="AC364" s="24" t="s">
        <v>92</v>
      </c>
      <c r="AD364" s="173" t="s">
        <v>24</v>
      </c>
      <c r="AE364" s="174"/>
      <c r="AF364" s="175"/>
      <c r="AG364" s="153"/>
      <c r="AH364" s="153"/>
      <c r="AI364" s="167">
        <f>AI349/55378873.23*100</f>
        <v>45.428416167867205</v>
      </c>
      <c r="AJ364" s="168">
        <f>AJ349/55378873.23*100</f>
        <v>0</v>
      </c>
      <c r="AK364" s="113"/>
      <c r="AL364" s="22">
        <f t="shared" si="26"/>
        <v>45.428416167867205</v>
      </c>
      <c r="AM364" s="22"/>
      <c r="AN364" s="22">
        <f>AN349/55378873.23*100</f>
        <v>45.143496484968118</v>
      </c>
      <c r="AO364" s="22"/>
      <c r="AP364" s="22"/>
      <c r="AQ364" s="22">
        <f t="shared" si="27"/>
        <v>45.143496484968118</v>
      </c>
      <c r="AR364" s="22"/>
      <c r="AS364" s="22">
        <f t="shared" si="28"/>
        <v>-0.28491968289908698</v>
      </c>
      <c r="AT364" s="22">
        <f t="shared" si="29"/>
        <v>-0.28491968289908698</v>
      </c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</row>
    <row r="365" spans="1:73" ht="64.5" customHeight="1" x14ac:dyDescent="0.25">
      <c r="A365" s="25"/>
      <c r="B365" s="176" t="s">
        <v>298</v>
      </c>
      <c r="C365" s="177"/>
      <c r="D365" s="177"/>
      <c r="E365" s="1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15"/>
      <c r="AD365" s="173"/>
      <c r="AE365" s="174"/>
      <c r="AF365" s="175"/>
      <c r="AG365" s="153"/>
      <c r="AH365" s="153"/>
      <c r="AI365" s="167"/>
      <c r="AJ365" s="168"/>
      <c r="AK365" s="113"/>
      <c r="AL365" s="22"/>
      <c r="AM365" s="22"/>
      <c r="AN365" s="22"/>
      <c r="AO365" s="22"/>
      <c r="AP365" s="22"/>
      <c r="AQ365" s="22"/>
      <c r="AR365" s="22"/>
      <c r="AS365" s="22"/>
      <c r="AT365" s="22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</row>
    <row r="366" spans="1:73" ht="18.75" customHeight="1" x14ac:dyDescent="0.25">
      <c r="A366" s="25"/>
      <c r="B366" s="163" t="s">
        <v>30</v>
      </c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78"/>
      <c r="V366" s="78"/>
      <c r="W366" s="78"/>
      <c r="X366" s="78"/>
      <c r="Y366" s="78"/>
      <c r="Z366" s="78"/>
      <c r="AA366" s="78"/>
      <c r="AB366" s="78"/>
      <c r="AC366" s="15"/>
      <c r="AD366" s="173"/>
      <c r="AE366" s="174"/>
      <c r="AF366" s="175"/>
      <c r="AG366" s="153"/>
      <c r="AH366" s="153"/>
      <c r="AI366" s="167"/>
      <c r="AJ366" s="168"/>
      <c r="AK366" s="113"/>
      <c r="AL366" s="22"/>
      <c r="AM366" s="22"/>
      <c r="AN366" s="22"/>
      <c r="AO366" s="22"/>
      <c r="AP366" s="22"/>
      <c r="AQ366" s="22"/>
      <c r="AR366" s="22"/>
      <c r="AS366" s="22"/>
      <c r="AT366" s="22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</row>
    <row r="367" spans="1:73" ht="36.75" customHeight="1" x14ac:dyDescent="0.25">
      <c r="A367" s="25"/>
      <c r="B367" s="156" t="s">
        <v>217</v>
      </c>
      <c r="C367" s="156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78"/>
      <c r="V367" s="78"/>
      <c r="W367" s="78"/>
      <c r="X367" s="78"/>
      <c r="Y367" s="78"/>
      <c r="Z367" s="78"/>
      <c r="AA367" s="78"/>
      <c r="AB367" s="78"/>
      <c r="AC367" s="24" t="s">
        <v>28</v>
      </c>
      <c r="AD367" s="173" t="s">
        <v>71</v>
      </c>
      <c r="AE367" s="174"/>
      <c r="AF367" s="175"/>
      <c r="AG367" s="153"/>
      <c r="AH367" s="153"/>
      <c r="AI367" s="167">
        <f>AD170</f>
        <v>6112980</v>
      </c>
      <c r="AJ367" s="168"/>
      <c r="AK367" s="113"/>
      <c r="AL367" s="22">
        <f t="shared" si="26"/>
        <v>6112980</v>
      </c>
      <c r="AM367" s="22"/>
      <c r="AN367" s="326">
        <f>AI170</f>
        <v>6112980</v>
      </c>
      <c r="AO367" s="327"/>
      <c r="AP367" s="22"/>
      <c r="AQ367" s="22">
        <f t="shared" si="27"/>
        <v>6112980</v>
      </c>
      <c r="AR367" s="22"/>
      <c r="AS367" s="22">
        <f t="shared" si="28"/>
        <v>0</v>
      </c>
      <c r="AT367" s="22">
        <f t="shared" si="29"/>
        <v>0</v>
      </c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</row>
    <row r="368" spans="1:73" ht="18.75" customHeight="1" x14ac:dyDescent="0.25">
      <c r="A368" s="25"/>
      <c r="B368" s="172" t="s">
        <v>265</v>
      </c>
      <c r="C368" s="172"/>
      <c r="D368" s="172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78"/>
      <c r="V368" s="78"/>
      <c r="W368" s="78"/>
      <c r="X368" s="78"/>
      <c r="Y368" s="78"/>
      <c r="Z368" s="78"/>
      <c r="AA368" s="78"/>
      <c r="AB368" s="78"/>
      <c r="AC368" s="15"/>
      <c r="AD368" s="173"/>
      <c r="AE368" s="174"/>
      <c r="AF368" s="175"/>
      <c r="AG368" s="153"/>
      <c r="AH368" s="153"/>
      <c r="AI368" s="167"/>
      <c r="AJ368" s="168"/>
      <c r="AK368" s="113"/>
      <c r="AL368" s="22"/>
      <c r="AM368" s="22"/>
      <c r="AN368" s="326"/>
      <c r="AO368" s="327"/>
      <c r="AP368" s="22"/>
      <c r="AQ368" s="22"/>
      <c r="AR368" s="22"/>
      <c r="AS368" s="22"/>
      <c r="AT368" s="22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</row>
    <row r="369" spans="1:73" ht="34.5" customHeight="1" x14ac:dyDescent="0.25">
      <c r="A369" s="25"/>
      <c r="B369" s="171" t="s">
        <v>223</v>
      </c>
      <c r="C369" s="171"/>
      <c r="D369" s="171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  <c r="T369" s="171"/>
      <c r="U369" s="78"/>
      <c r="V369" s="78"/>
      <c r="W369" s="78"/>
      <c r="X369" s="78"/>
      <c r="Y369" s="78"/>
      <c r="Z369" s="78"/>
      <c r="AA369" s="78"/>
      <c r="AB369" s="78"/>
      <c r="AC369" s="24" t="s">
        <v>29</v>
      </c>
      <c r="AD369" s="173" t="s">
        <v>417</v>
      </c>
      <c r="AE369" s="174"/>
      <c r="AF369" s="175"/>
      <c r="AG369" s="153"/>
      <c r="AH369" s="153"/>
      <c r="AI369" s="169">
        <v>1</v>
      </c>
      <c r="AJ369" s="170"/>
      <c r="AK369" s="125"/>
      <c r="AL369" s="126">
        <f t="shared" si="26"/>
        <v>1</v>
      </c>
      <c r="AM369" s="22"/>
      <c r="AN369" s="328">
        <v>1</v>
      </c>
      <c r="AO369" s="329"/>
      <c r="AP369" s="22"/>
      <c r="AQ369" s="22">
        <f t="shared" si="27"/>
        <v>1</v>
      </c>
      <c r="AR369" s="22"/>
      <c r="AS369" s="22">
        <f t="shared" si="28"/>
        <v>0</v>
      </c>
      <c r="AT369" s="22">
        <f t="shared" si="29"/>
        <v>0</v>
      </c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</row>
    <row r="370" spans="1:73" ht="18.75" customHeight="1" x14ac:dyDescent="0.25">
      <c r="A370" s="25"/>
      <c r="B370" s="172" t="s">
        <v>27</v>
      </c>
      <c r="C370" s="172"/>
      <c r="D370" s="172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78"/>
      <c r="V370" s="78"/>
      <c r="W370" s="78"/>
      <c r="X370" s="78"/>
      <c r="Y370" s="78"/>
      <c r="Z370" s="78"/>
      <c r="AA370" s="78"/>
      <c r="AB370" s="78"/>
      <c r="AC370" s="15"/>
      <c r="AD370" s="173"/>
      <c r="AE370" s="174"/>
      <c r="AF370" s="175"/>
      <c r="AG370" s="153"/>
      <c r="AH370" s="153"/>
      <c r="AI370" s="167"/>
      <c r="AJ370" s="168"/>
      <c r="AK370" s="113"/>
      <c r="AL370" s="22"/>
      <c r="AM370" s="22"/>
      <c r="AN370" s="326"/>
      <c r="AO370" s="327"/>
      <c r="AP370" s="22"/>
      <c r="AQ370" s="22"/>
      <c r="AR370" s="22"/>
      <c r="AS370" s="22"/>
      <c r="AT370" s="22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</row>
    <row r="371" spans="1:73" ht="33.75" customHeight="1" x14ac:dyDescent="0.25">
      <c r="A371" s="25"/>
      <c r="B371" s="171" t="s">
        <v>277</v>
      </c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78"/>
      <c r="V371" s="78"/>
      <c r="W371" s="78"/>
      <c r="X371" s="78"/>
      <c r="Y371" s="78"/>
      <c r="Z371" s="78"/>
      <c r="AA371" s="78"/>
      <c r="AB371" s="78"/>
      <c r="AC371" s="24" t="s">
        <v>28</v>
      </c>
      <c r="AD371" s="173" t="s">
        <v>24</v>
      </c>
      <c r="AE371" s="174"/>
      <c r="AF371" s="175"/>
      <c r="AG371" s="153"/>
      <c r="AH371" s="153"/>
      <c r="AI371" s="167">
        <f>AI367/AI369</f>
        <v>6112980</v>
      </c>
      <c r="AJ371" s="168"/>
      <c r="AK371" s="113"/>
      <c r="AL371" s="22">
        <f t="shared" si="26"/>
        <v>6112980</v>
      </c>
      <c r="AM371" s="22"/>
      <c r="AN371" s="326">
        <f>AN367/AN369</f>
        <v>6112980</v>
      </c>
      <c r="AO371" s="327"/>
      <c r="AP371" s="22"/>
      <c r="AQ371" s="22">
        <f t="shared" si="27"/>
        <v>6112980</v>
      </c>
      <c r="AR371" s="22"/>
      <c r="AS371" s="22">
        <f t="shared" si="28"/>
        <v>0</v>
      </c>
      <c r="AT371" s="22">
        <f t="shared" si="29"/>
        <v>0</v>
      </c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</row>
    <row r="372" spans="1:73" ht="18.75" customHeight="1" x14ac:dyDescent="0.25">
      <c r="A372" s="25"/>
      <c r="B372" s="163" t="s">
        <v>31</v>
      </c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78"/>
      <c r="V372" s="78"/>
      <c r="W372" s="78"/>
      <c r="X372" s="78"/>
      <c r="Y372" s="78"/>
      <c r="Z372" s="78"/>
      <c r="AA372" s="78"/>
      <c r="AB372" s="78"/>
      <c r="AC372" s="15"/>
      <c r="AD372" s="173"/>
      <c r="AE372" s="174"/>
      <c r="AF372" s="175"/>
      <c r="AG372" s="153"/>
      <c r="AH372" s="153"/>
      <c r="AI372" s="167"/>
      <c r="AJ372" s="168"/>
      <c r="AK372" s="113"/>
      <c r="AL372" s="22"/>
      <c r="AM372" s="22"/>
      <c r="AN372" s="326"/>
      <c r="AO372" s="327"/>
      <c r="AP372" s="22"/>
      <c r="AQ372" s="22"/>
      <c r="AR372" s="22"/>
      <c r="AS372" s="22"/>
      <c r="AT372" s="22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</row>
    <row r="373" spans="1:73" ht="49.5" customHeight="1" x14ac:dyDescent="0.25">
      <c r="A373" s="25"/>
      <c r="B373" s="156" t="s">
        <v>72</v>
      </c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78"/>
      <c r="V373" s="78"/>
      <c r="W373" s="78"/>
      <c r="X373" s="78"/>
      <c r="Y373" s="78"/>
      <c r="Z373" s="78"/>
      <c r="AA373" s="78"/>
      <c r="AB373" s="78"/>
      <c r="AC373" s="24" t="s">
        <v>92</v>
      </c>
      <c r="AD373" s="173" t="s">
        <v>24</v>
      </c>
      <c r="AE373" s="174"/>
      <c r="AF373" s="175"/>
      <c r="AG373" s="153"/>
      <c r="AH373" s="153"/>
      <c r="AI373" s="167">
        <f>(AI367)/7306614.61*100</f>
        <v>83.663643510547757</v>
      </c>
      <c r="AJ373" s="168">
        <f>(AJ367)/7306614.61*100</f>
        <v>0</v>
      </c>
      <c r="AK373" s="113"/>
      <c r="AL373" s="22">
        <f t="shared" si="26"/>
        <v>83.663643510547757</v>
      </c>
      <c r="AM373" s="22"/>
      <c r="AN373" s="326">
        <f>(AN367)/7306614.61*100</f>
        <v>83.663643510547757</v>
      </c>
      <c r="AO373" s="327">
        <f>(AO367)/7306614.61*100</f>
        <v>0</v>
      </c>
      <c r="AP373" s="22"/>
      <c r="AQ373" s="22">
        <f t="shared" si="27"/>
        <v>83.663643510547757</v>
      </c>
      <c r="AR373" s="22"/>
      <c r="AS373" s="22">
        <f t="shared" si="28"/>
        <v>0</v>
      </c>
      <c r="AT373" s="22">
        <f t="shared" si="29"/>
        <v>0</v>
      </c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</row>
    <row r="374" spans="1:73" ht="50.25" customHeight="1" x14ac:dyDescent="0.25">
      <c r="A374" s="25"/>
      <c r="B374" s="176" t="s">
        <v>299</v>
      </c>
      <c r="C374" s="177"/>
      <c r="D374" s="177"/>
      <c r="E374" s="1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15"/>
      <c r="AD374" s="173"/>
      <c r="AE374" s="174"/>
      <c r="AF374" s="175"/>
      <c r="AG374" s="153"/>
      <c r="AH374" s="153"/>
      <c r="AI374" s="167"/>
      <c r="AJ374" s="168"/>
      <c r="AK374" s="113"/>
      <c r="AL374" s="22"/>
      <c r="AM374" s="22"/>
      <c r="AN374" s="22"/>
      <c r="AO374" s="22"/>
      <c r="AP374" s="22"/>
      <c r="AQ374" s="22"/>
      <c r="AR374" s="22"/>
      <c r="AS374" s="22"/>
      <c r="AT374" s="22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</row>
    <row r="375" spans="1:73" ht="18.75" customHeight="1" x14ac:dyDescent="0.25">
      <c r="A375" s="25"/>
      <c r="B375" s="163" t="s">
        <v>30</v>
      </c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78"/>
      <c r="V375" s="78"/>
      <c r="W375" s="78"/>
      <c r="X375" s="78"/>
      <c r="Y375" s="78"/>
      <c r="Z375" s="78"/>
      <c r="AA375" s="78"/>
      <c r="AB375" s="78"/>
      <c r="AC375" s="15"/>
      <c r="AD375" s="173"/>
      <c r="AE375" s="174"/>
      <c r="AF375" s="175"/>
      <c r="AG375" s="153"/>
      <c r="AH375" s="153"/>
      <c r="AI375" s="167"/>
      <c r="AJ375" s="168"/>
      <c r="AK375" s="113"/>
      <c r="AL375" s="22"/>
      <c r="AM375" s="22"/>
      <c r="AN375" s="22"/>
      <c r="AO375" s="22"/>
      <c r="AP375" s="22"/>
      <c r="AQ375" s="22"/>
      <c r="AR375" s="22"/>
      <c r="AS375" s="22"/>
      <c r="AT375" s="22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</row>
    <row r="376" spans="1:73" ht="35.25" customHeight="1" x14ac:dyDescent="0.25">
      <c r="A376" s="25"/>
      <c r="B376" s="156" t="s">
        <v>289</v>
      </c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78"/>
      <c r="V376" s="78"/>
      <c r="W376" s="78"/>
      <c r="X376" s="78"/>
      <c r="Y376" s="78"/>
      <c r="Z376" s="78"/>
      <c r="AA376" s="78"/>
      <c r="AB376" s="78"/>
      <c r="AC376" s="24" t="s">
        <v>28</v>
      </c>
      <c r="AD376" s="173" t="s">
        <v>71</v>
      </c>
      <c r="AE376" s="174"/>
      <c r="AF376" s="175"/>
      <c r="AG376" s="153"/>
      <c r="AH376" s="153"/>
      <c r="AI376" s="167">
        <f>AD172</f>
        <v>481000</v>
      </c>
      <c r="AJ376" s="168"/>
      <c r="AK376" s="113"/>
      <c r="AL376" s="22">
        <f t="shared" si="26"/>
        <v>481000</v>
      </c>
      <c r="AM376" s="22"/>
      <c r="AN376" s="22">
        <f>AI172</f>
        <v>408200</v>
      </c>
      <c r="AO376" s="22"/>
      <c r="AP376" s="22"/>
      <c r="AQ376" s="22">
        <f t="shared" si="27"/>
        <v>408200</v>
      </c>
      <c r="AR376" s="22"/>
      <c r="AS376" s="22">
        <f t="shared" si="28"/>
        <v>-72800</v>
      </c>
      <c r="AT376" s="22">
        <f t="shared" si="29"/>
        <v>-72800</v>
      </c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</row>
    <row r="377" spans="1:73" ht="18.75" customHeight="1" x14ac:dyDescent="0.25">
      <c r="A377" s="25"/>
      <c r="B377" s="172" t="s">
        <v>265</v>
      </c>
      <c r="C377" s="172"/>
      <c r="D377" s="17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78"/>
      <c r="V377" s="78"/>
      <c r="W377" s="78"/>
      <c r="X377" s="78"/>
      <c r="Y377" s="78"/>
      <c r="Z377" s="78"/>
      <c r="AA377" s="78"/>
      <c r="AB377" s="78"/>
      <c r="AC377" s="15"/>
      <c r="AD377" s="173"/>
      <c r="AE377" s="174"/>
      <c r="AF377" s="175"/>
      <c r="AG377" s="153"/>
      <c r="AH377" s="153"/>
      <c r="AI377" s="167"/>
      <c r="AJ377" s="168"/>
      <c r="AK377" s="113"/>
      <c r="AL377" s="22"/>
      <c r="AM377" s="22"/>
      <c r="AN377" s="22"/>
      <c r="AO377" s="22"/>
      <c r="AP377" s="22"/>
      <c r="AQ377" s="22"/>
      <c r="AR377" s="22"/>
      <c r="AS377" s="22"/>
      <c r="AT377" s="22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</row>
    <row r="378" spans="1:73" ht="33.75" customHeight="1" x14ac:dyDescent="0.25">
      <c r="A378" s="25"/>
      <c r="B378" s="171" t="s">
        <v>290</v>
      </c>
      <c r="C378" s="171"/>
      <c r="D378" s="171"/>
      <c r="E378" s="171"/>
      <c r="F378" s="171"/>
      <c r="G378" s="171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78"/>
      <c r="V378" s="78"/>
      <c r="W378" s="78"/>
      <c r="X378" s="78"/>
      <c r="Y378" s="78"/>
      <c r="Z378" s="78"/>
      <c r="AA378" s="78"/>
      <c r="AB378" s="78"/>
      <c r="AC378" s="24" t="s">
        <v>29</v>
      </c>
      <c r="AD378" s="173" t="s">
        <v>417</v>
      </c>
      <c r="AE378" s="174"/>
      <c r="AF378" s="175"/>
      <c r="AG378" s="153"/>
      <c r="AH378" s="153"/>
      <c r="AI378" s="169">
        <v>26</v>
      </c>
      <c r="AJ378" s="170"/>
      <c r="AK378" s="125"/>
      <c r="AL378" s="126">
        <f t="shared" si="26"/>
        <v>26</v>
      </c>
      <c r="AM378" s="126"/>
      <c r="AN378" s="126">
        <v>26</v>
      </c>
      <c r="AO378" s="126"/>
      <c r="AP378" s="126"/>
      <c r="AQ378" s="126">
        <f t="shared" si="27"/>
        <v>26</v>
      </c>
      <c r="AR378" s="126"/>
      <c r="AS378" s="126">
        <f t="shared" si="28"/>
        <v>0</v>
      </c>
      <c r="AT378" s="126">
        <f t="shared" si="29"/>
        <v>0</v>
      </c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</row>
    <row r="379" spans="1:73" ht="18.75" customHeight="1" x14ac:dyDescent="0.25">
      <c r="A379" s="25"/>
      <c r="B379" s="172" t="s">
        <v>27</v>
      </c>
      <c r="C379" s="172"/>
      <c r="D379" s="17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78"/>
      <c r="V379" s="78"/>
      <c r="W379" s="78"/>
      <c r="X379" s="78"/>
      <c r="Y379" s="78"/>
      <c r="Z379" s="78"/>
      <c r="AA379" s="78"/>
      <c r="AB379" s="78"/>
      <c r="AC379" s="15"/>
      <c r="AD379" s="173"/>
      <c r="AE379" s="174"/>
      <c r="AF379" s="175"/>
      <c r="AG379" s="153"/>
      <c r="AH379" s="153"/>
      <c r="AI379" s="167"/>
      <c r="AJ379" s="168"/>
      <c r="AK379" s="113"/>
      <c r="AL379" s="22"/>
      <c r="AM379" s="22"/>
      <c r="AN379" s="22"/>
      <c r="AO379" s="22"/>
      <c r="AP379" s="22"/>
      <c r="AQ379" s="22"/>
      <c r="AR379" s="22"/>
      <c r="AS379" s="22"/>
      <c r="AT379" s="22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</row>
    <row r="380" spans="1:73" ht="18.75" customHeight="1" x14ac:dyDescent="0.25">
      <c r="A380" s="25"/>
      <c r="B380" s="171" t="s">
        <v>291</v>
      </c>
      <c r="C380" s="171"/>
      <c r="D380" s="171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  <c r="T380" s="171"/>
      <c r="U380" s="78"/>
      <c r="V380" s="78"/>
      <c r="W380" s="78"/>
      <c r="X380" s="78"/>
      <c r="Y380" s="78"/>
      <c r="Z380" s="78"/>
      <c r="AA380" s="78"/>
      <c r="AB380" s="78"/>
      <c r="AC380" s="24" t="s">
        <v>28</v>
      </c>
      <c r="AD380" s="173" t="s">
        <v>24</v>
      </c>
      <c r="AE380" s="174"/>
      <c r="AF380" s="175"/>
      <c r="AG380" s="153"/>
      <c r="AH380" s="153"/>
      <c r="AI380" s="167">
        <f>AI376/AI378</f>
        <v>18500</v>
      </c>
      <c r="AJ380" s="168"/>
      <c r="AK380" s="113"/>
      <c r="AL380" s="22">
        <f t="shared" si="26"/>
        <v>18500</v>
      </c>
      <c r="AM380" s="22"/>
      <c r="AN380" s="22">
        <f>AN376/AN378</f>
        <v>15700</v>
      </c>
      <c r="AO380" s="22"/>
      <c r="AP380" s="22"/>
      <c r="AQ380" s="22">
        <f t="shared" si="27"/>
        <v>15700</v>
      </c>
      <c r="AR380" s="22"/>
      <c r="AS380" s="22">
        <f t="shared" si="28"/>
        <v>-2800</v>
      </c>
      <c r="AT380" s="22">
        <f t="shared" si="29"/>
        <v>-2800</v>
      </c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</row>
    <row r="381" spans="1:73" ht="18.75" customHeight="1" x14ac:dyDescent="0.25">
      <c r="A381" s="25"/>
      <c r="B381" s="163" t="s">
        <v>31</v>
      </c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78"/>
      <c r="V381" s="78"/>
      <c r="W381" s="78"/>
      <c r="X381" s="78"/>
      <c r="Y381" s="78"/>
      <c r="Z381" s="78"/>
      <c r="AA381" s="78"/>
      <c r="AB381" s="78"/>
      <c r="AC381" s="15"/>
      <c r="AD381" s="173"/>
      <c r="AE381" s="174"/>
      <c r="AF381" s="175"/>
      <c r="AG381" s="153"/>
      <c r="AH381" s="153"/>
      <c r="AI381" s="167"/>
      <c r="AJ381" s="168"/>
      <c r="AK381" s="113"/>
      <c r="AL381" s="22"/>
      <c r="AM381" s="22"/>
      <c r="AN381" s="22"/>
      <c r="AO381" s="22"/>
      <c r="AP381" s="22"/>
      <c r="AQ381" s="22"/>
      <c r="AR381" s="22"/>
      <c r="AS381" s="22"/>
      <c r="AT381" s="22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</row>
    <row r="382" spans="1:73" ht="51.75" customHeight="1" x14ac:dyDescent="0.25">
      <c r="A382" s="25"/>
      <c r="B382" s="156" t="s">
        <v>72</v>
      </c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78"/>
      <c r="V382" s="78"/>
      <c r="W382" s="78"/>
      <c r="X382" s="78"/>
      <c r="Y382" s="78"/>
      <c r="Z382" s="78"/>
      <c r="AA382" s="78"/>
      <c r="AB382" s="78"/>
      <c r="AC382" s="24" t="s">
        <v>92</v>
      </c>
      <c r="AD382" s="173" t="s">
        <v>24</v>
      </c>
      <c r="AE382" s="174"/>
      <c r="AF382" s="175"/>
      <c r="AG382" s="153"/>
      <c r="AH382" s="153"/>
      <c r="AI382" s="167">
        <f>AI376/222000</f>
        <v>2.1666666666666665</v>
      </c>
      <c r="AJ382" s="168">
        <f>AJ376/222000</f>
        <v>0</v>
      </c>
      <c r="AK382" s="113"/>
      <c r="AL382" s="22">
        <f t="shared" si="26"/>
        <v>2.1666666666666665</v>
      </c>
      <c r="AM382" s="22"/>
      <c r="AN382" s="22">
        <f>AN376/222000</f>
        <v>1.8387387387387388</v>
      </c>
      <c r="AO382" s="22">
        <f>AO376/222000</f>
        <v>0</v>
      </c>
      <c r="AP382" s="22"/>
      <c r="AQ382" s="22">
        <f t="shared" si="27"/>
        <v>1.8387387387387388</v>
      </c>
      <c r="AR382" s="22"/>
      <c r="AS382" s="22">
        <f t="shared" si="28"/>
        <v>-0.32792792792792769</v>
      </c>
      <c r="AT382" s="22">
        <f t="shared" si="29"/>
        <v>-0.32792792792792769</v>
      </c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</row>
    <row r="383" spans="1:73" ht="18" customHeight="1" x14ac:dyDescent="0.25">
      <c r="A383" s="8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5"/>
      <c r="AD383" s="65"/>
      <c r="AE383" s="65"/>
      <c r="AF383" s="65"/>
      <c r="AG383" s="14"/>
      <c r="AH383" s="14"/>
      <c r="AI383" s="144"/>
      <c r="AJ383" s="144"/>
      <c r="AK383" s="66"/>
      <c r="AL383" s="67"/>
      <c r="AM383" s="33"/>
      <c r="AN383" s="66"/>
      <c r="AO383" s="66"/>
      <c r="AP383" s="66"/>
      <c r="AQ383" s="66"/>
      <c r="AR383" s="33"/>
      <c r="AS383" s="34"/>
      <c r="AT383" s="34"/>
    </row>
    <row r="384" spans="1:73" ht="18" customHeight="1" x14ac:dyDescent="0.25">
      <c r="A384" s="93" t="s">
        <v>84</v>
      </c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65"/>
      <c r="AD384" s="65"/>
      <c r="AE384" s="65"/>
      <c r="AF384" s="65"/>
      <c r="AG384" s="14"/>
      <c r="AH384" s="14"/>
      <c r="AI384" s="144"/>
      <c r="AJ384" s="144"/>
      <c r="AK384" s="66"/>
      <c r="AL384" s="67"/>
      <c r="AM384" s="33"/>
      <c r="AN384" s="66"/>
      <c r="AO384" s="66"/>
      <c r="AP384" s="66"/>
      <c r="AQ384" s="66"/>
      <c r="AR384" s="33"/>
      <c r="AS384" s="34"/>
      <c r="AT384" s="34"/>
    </row>
    <row r="385" spans="1:46" ht="18" customHeight="1" x14ac:dyDescent="0.25">
      <c r="A385" s="95"/>
      <c r="B385"/>
      <c r="C385"/>
      <c r="D385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65"/>
      <c r="AD385" s="65"/>
      <c r="AE385" s="65"/>
      <c r="AF385" s="65"/>
      <c r="AG385" s="14"/>
      <c r="AH385" s="14"/>
      <c r="AI385" s="144"/>
      <c r="AJ385" s="144"/>
      <c r="AK385" s="66"/>
      <c r="AL385" s="67"/>
      <c r="AM385" s="33"/>
      <c r="AN385" s="66"/>
      <c r="AO385" s="66"/>
      <c r="AP385" s="66"/>
      <c r="AQ385" s="66"/>
      <c r="AR385" s="33"/>
      <c r="AS385" s="34"/>
      <c r="AT385" s="34"/>
    </row>
    <row r="386" spans="1:46" ht="33.75" customHeight="1" x14ac:dyDescent="0.25">
      <c r="A386" s="89" t="s">
        <v>13</v>
      </c>
      <c r="B386" s="89" t="s">
        <v>19</v>
      </c>
      <c r="C386" s="89" t="s">
        <v>17</v>
      </c>
      <c r="D386" s="164" t="s">
        <v>85</v>
      </c>
      <c r="E386" s="165"/>
      <c r="F386" s="165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  <c r="AA386" s="165"/>
      <c r="AB386" s="165"/>
      <c r="AC386" s="165"/>
      <c r="AD386" s="165"/>
      <c r="AE386" s="165"/>
      <c r="AF386" s="165"/>
      <c r="AG386" s="165"/>
      <c r="AH386" s="165"/>
      <c r="AI386" s="165"/>
      <c r="AJ386" s="165"/>
      <c r="AK386" s="165"/>
      <c r="AL386" s="165"/>
      <c r="AM386" s="165"/>
      <c r="AN386" s="165"/>
      <c r="AO386" s="165"/>
      <c r="AP386" s="165"/>
      <c r="AQ386" s="165"/>
      <c r="AR386" s="165"/>
      <c r="AS386" s="166"/>
      <c r="AT386" s="34"/>
    </row>
    <row r="387" spans="1:46" ht="18" customHeight="1" x14ac:dyDescent="0.25">
      <c r="A387" s="89">
        <v>1</v>
      </c>
      <c r="B387" s="89">
        <v>2</v>
      </c>
      <c r="C387" s="89">
        <v>3</v>
      </c>
      <c r="D387" s="164">
        <v>4</v>
      </c>
      <c r="E387" s="165"/>
      <c r="F387" s="165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  <c r="AA387" s="165"/>
      <c r="AB387" s="165"/>
      <c r="AC387" s="165"/>
      <c r="AD387" s="165"/>
      <c r="AE387" s="165"/>
      <c r="AF387" s="165"/>
      <c r="AG387" s="165"/>
      <c r="AH387" s="165"/>
      <c r="AI387" s="165"/>
      <c r="AJ387" s="165"/>
      <c r="AK387" s="165"/>
      <c r="AL387" s="165"/>
      <c r="AM387" s="165"/>
      <c r="AN387" s="165"/>
      <c r="AO387" s="165"/>
      <c r="AP387" s="165"/>
      <c r="AQ387" s="165"/>
      <c r="AR387" s="165"/>
      <c r="AS387" s="166"/>
      <c r="AT387" s="34"/>
    </row>
    <row r="388" spans="1:46" ht="18" customHeight="1" x14ac:dyDescent="0.25">
      <c r="A388" s="97"/>
      <c r="B388" s="251" t="s">
        <v>300</v>
      </c>
      <c r="C388" s="251"/>
      <c r="D388" s="251"/>
      <c r="E388" s="251"/>
      <c r="F388" s="251"/>
      <c r="G388" s="251"/>
      <c r="H388" s="251"/>
      <c r="I388" s="251"/>
      <c r="J388" s="251"/>
      <c r="K388" s="251"/>
      <c r="L388" s="251"/>
      <c r="M388" s="251"/>
      <c r="N388" s="251"/>
      <c r="O388" s="251"/>
      <c r="P388" s="251"/>
      <c r="Q388" s="251"/>
      <c r="R388" s="251"/>
      <c r="S388" s="251"/>
      <c r="T388" s="251"/>
      <c r="U388" s="251"/>
      <c r="V388" s="251"/>
      <c r="W388" s="251"/>
      <c r="X388" s="251"/>
      <c r="Y388" s="251"/>
      <c r="Z388" s="251"/>
      <c r="AA388" s="251"/>
      <c r="AB388" s="251"/>
      <c r="AC388" s="251"/>
      <c r="AD388" s="251"/>
      <c r="AE388" s="251"/>
      <c r="AF388" s="251"/>
      <c r="AG388" s="251"/>
      <c r="AH388" s="251"/>
      <c r="AI388" s="251"/>
      <c r="AJ388" s="251"/>
      <c r="AK388" s="251"/>
      <c r="AL388" s="251"/>
      <c r="AM388" s="251"/>
      <c r="AN388" s="251"/>
      <c r="AO388" s="251"/>
      <c r="AP388" s="251"/>
      <c r="AQ388" s="251"/>
      <c r="AR388" s="251"/>
      <c r="AS388" s="251"/>
      <c r="AT388" s="34"/>
    </row>
    <row r="389" spans="1:46" ht="36" customHeight="1" x14ac:dyDescent="0.25">
      <c r="A389" s="89">
        <v>1</v>
      </c>
      <c r="B389" s="89" t="s">
        <v>30</v>
      </c>
      <c r="C389" s="89" t="s">
        <v>28</v>
      </c>
      <c r="D389" s="218" t="s">
        <v>418</v>
      </c>
      <c r="E389" s="219"/>
      <c r="F389" s="219"/>
      <c r="G389" s="219"/>
      <c r="H389" s="219"/>
      <c r="I389" s="219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  <c r="X389" s="219"/>
      <c r="Y389" s="219"/>
      <c r="Z389" s="219"/>
      <c r="AA389" s="219"/>
      <c r="AB389" s="219"/>
      <c r="AC389" s="219"/>
      <c r="AD389" s="219"/>
      <c r="AE389" s="219"/>
      <c r="AF389" s="219"/>
      <c r="AG389" s="219"/>
      <c r="AH389" s="219"/>
      <c r="AI389" s="219"/>
      <c r="AJ389" s="219"/>
      <c r="AK389" s="219"/>
      <c r="AL389" s="219"/>
      <c r="AM389" s="219"/>
      <c r="AN389" s="219"/>
      <c r="AO389" s="219"/>
      <c r="AP389" s="219"/>
      <c r="AQ389" s="219"/>
      <c r="AR389" s="219"/>
      <c r="AS389" s="220"/>
      <c r="AT389" s="34"/>
    </row>
    <row r="390" spans="1:46" ht="35.25" customHeight="1" x14ac:dyDescent="0.25">
      <c r="A390" s="89">
        <v>2</v>
      </c>
      <c r="B390" s="89" t="s">
        <v>26</v>
      </c>
      <c r="C390" s="89" t="s">
        <v>29</v>
      </c>
      <c r="D390" s="218" t="s">
        <v>420</v>
      </c>
      <c r="E390" s="219"/>
      <c r="F390" s="219"/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9"/>
      <c r="W390" s="219"/>
      <c r="X390" s="219"/>
      <c r="Y390" s="219"/>
      <c r="Z390" s="219"/>
      <c r="AA390" s="219"/>
      <c r="AB390" s="219"/>
      <c r="AC390" s="219"/>
      <c r="AD390" s="219"/>
      <c r="AE390" s="219"/>
      <c r="AF390" s="219"/>
      <c r="AG390" s="219"/>
      <c r="AH390" s="219"/>
      <c r="AI390" s="219"/>
      <c r="AJ390" s="219"/>
      <c r="AK390" s="219"/>
      <c r="AL390" s="219"/>
      <c r="AM390" s="219"/>
      <c r="AN390" s="219"/>
      <c r="AO390" s="219"/>
      <c r="AP390" s="219"/>
      <c r="AQ390" s="219"/>
      <c r="AR390" s="219"/>
      <c r="AS390" s="220"/>
      <c r="AT390" s="34"/>
    </row>
    <row r="391" spans="1:46" ht="18" customHeight="1" x14ac:dyDescent="0.25">
      <c r="A391" s="89">
        <v>3</v>
      </c>
      <c r="B391" s="89" t="s">
        <v>27</v>
      </c>
      <c r="C391" s="89" t="s">
        <v>28</v>
      </c>
      <c r="D391" s="218" t="s">
        <v>421</v>
      </c>
      <c r="E391" s="219"/>
      <c r="F391" s="219"/>
      <c r="G391" s="219"/>
      <c r="H391" s="219"/>
      <c r="I391" s="219"/>
      <c r="J391" s="219"/>
      <c r="K391" s="219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9"/>
      <c r="W391" s="219"/>
      <c r="X391" s="219"/>
      <c r="Y391" s="219"/>
      <c r="Z391" s="219"/>
      <c r="AA391" s="219"/>
      <c r="AB391" s="219"/>
      <c r="AC391" s="219"/>
      <c r="AD391" s="219"/>
      <c r="AE391" s="219"/>
      <c r="AF391" s="219"/>
      <c r="AG391" s="219"/>
      <c r="AH391" s="219"/>
      <c r="AI391" s="219"/>
      <c r="AJ391" s="219"/>
      <c r="AK391" s="219"/>
      <c r="AL391" s="219"/>
      <c r="AM391" s="219"/>
      <c r="AN391" s="219"/>
      <c r="AO391" s="219"/>
      <c r="AP391" s="219"/>
      <c r="AQ391" s="219"/>
      <c r="AR391" s="219"/>
      <c r="AS391" s="220"/>
      <c r="AT391" s="34"/>
    </row>
    <row r="392" spans="1:46" ht="18" customHeight="1" x14ac:dyDescent="0.25">
      <c r="A392" s="89">
        <v>4</v>
      </c>
      <c r="B392" s="89" t="s">
        <v>31</v>
      </c>
      <c r="C392" s="24" t="s">
        <v>92</v>
      </c>
      <c r="D392" s="218" t="s">
        <v>419</v>
      </c>
      <c r="E392" s="219"/>
      <c r="F392" s="219"/>
      <c r="G392" s="219"/>
      <c r="H392" s="219"/>
      <c r="I392" s="219"/>
      <c r="J392" s="219"/>
      <c r="K392" s="219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9"/>
      <c r="W392" s="219"/>
      <c r="X392" s="219"/>
      <c r="Y392" s="219"/>
      <c r="Z392" s="219"/>
      <c r="AA392" s="219"/>
      <c r="AB392" s="219"/>
      <c r="AC392" s="219"/>
      <c r="AD392" s="219"/>
      <c r="AE392" s="219"/>
      <c r="AF392" s="219"/>
      <c r="AG392" s="219"/>
      <c r="AH392" s="219"/>
      <c r="AI392" s="219"/>
      <c r="AJ392" s="219"/>
      <c r="AK392" s="219"/>
      <c r="AL392" s="219"/>
      <c r="AM392" s="219"/>
      <c r="AN392" s="219"/>
      <c r="AO392" s="219"/>
      <c r="AP392" s="219"/>
      <c r="AQ392" s="219"/>
      <c r="AR392" s="219"/>
      <c r="AS392" s="220"/>
      <c r="AT392" s="34"/>
    </row>
    <row r="393" spans="1:46" ht="18" customHeight="1" x14ac:dyDescent="0.25">
      <c r="A393" s="97"/>
      <c r="B393" s="251" t="s">
        <v>263</v>
      </c>
      <c r="C393" s="251"/>
      <c r="D393" s="251"/>
      <c r="E393" s="251"/>
      <c r="F393" s="251"/>
      <c r="G393" s="251"/>
      <c r="H393" s="251"/>
      <c r="I393" s="251"/>
      <c r="J393" s="251"/>
      <c r="K393" s="251"/>
      <c r="L393" s="251"/>
      <c r="M393" s="251"/>
      <c r="N393" s="251"/>
      <c r="O393" s="251"/>
      <c r="P393" s="251"/>
      <c r="Q393" s="251"/>
      <c r="R393" s="251"/>
      <c r="S393" s="251"/>
      <c r="T393" s="251"/>
      <c r="U393" s="251"/>
      <c r="V393" s="251"/>
      <c r="W393" s="251"/>
      <c r="X393" s="251"/>
      <c r="Y393" s="251"/>
      <c r="Z393" s="251"/>
      <c r="AA393" s="251"/>
      <c r="AB393" s="251"/>
      <c r="AC393" s="251"/>
      <c r="AD393" s="251"/>
      <c r="AE393" s="251"/>
      <c r="AF393" s="251"/>
      <c r="AG393" s="251"/>
      <c r="AH393" s="251"/>
      <c r="AI393" s="251"/>
      <c r="AJ393" s="251"/>
      <c r="AK393" s="251"/>
      <c r="AL393" s="251"/>
      <c r="AM393" s="251"/>
      <c r="AN393" s="251"/>
      <c r="AO393" s="251"/>
      <c r="AP393" s="251"/>
      <c r="AQ393" s="251"/>
      <c r="AR393" s="251"/>
      <c r="AS393" s="251"/>
      <c r="AT393" s="34"/>
    </row>
    <row r="394" spans="1:46" ht="18" customHeight="1" x14ac:dyDescent="0.25">
      <c r="A394" s="89">
        <v>1</v>
      </c>
      <c r="B394" s="89" t="s">
        <v>30</v>
      </c>
      <c r="C394" s="89" t="s">
        <v>28</v>
      </c>
      <c r="D394" s="218" t="s">
        <v>424</v>
      </c>
      <c r="E394" s="219"/>
      <c r="F394" s="219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9"/>
      <c r="W394" s="219"/>
      <c r="X394" s="219"/>
      <c r="Y394" s="219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9"/>
      <c r="AK394" s="219"/>
      <c r="AL394" s="219"/>
      <c r="AM394" s="219"/>
      <c r="AN394" s="219"/>
      <c r="AO394" s="219"/>
      <c r="AP394" s="219"/>
      <c r="AQ394" s="219"/>
      <c r="AR394" s="219"/>
      <c r="AS394" s="220"/>
      <c r="AT394" s="34"/>
    </row>
    <row r="395" spans="1:46" ht="21" customHeight="1" x14ac:dyDescent="0.25">
      <c r="A395" s="89">
        <v>2</v>
      </c>
      <c r="B395" s="89" t="s">
        <v>26</v>
      </c>
      <c r="C395" s="89" t="s">
        <v>29</v>
      </c>
      <c r="D395" s="218" t="s">
        <v>422</v>
      </c>
      <c r="E395" s="219"/>
      <c r="F395" s="219"/>
      <c r="G395" s="219"/>
      <c r="H395" s="219"/>
      <c r="I395" s="219"/>
      <c r="J395" s="219"/>
      <c r="K395" s="219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9"/>
      <c r="W395" s="219"/>
      <c r="X395" s="219"/>
      <c r="Y395" s="219"/>
      <c r="Z395" s="219"/>
      <c r="AA395" s="219"/>
      <c r="AB395" s="219"/>
      <c r="AC395" s="219"/>
      <c r="AD395" s="219"/>
      <c r="AE395" s="219"/>
      <c r="AF395" s="219"/>
      <c r="AG395" s="219"/>
      <c r="AH395" s="219"/>
      <c r="AI395" s="219"/>
      <c r="AJ395" s="219"/>
      <c r="AK395" s="219"/>
      <c r="AL395" s="219"/>
      <c r="AM395" s="219"/>
      <c r="AN395" s="219"/>
      <c r="AO395" s="219"/>
      <c r="AP395" s="219"/>
      <c r="AQ395" s="219"/>
      <c r="AR395" s="219"/>
      <c r="AS395" s="220"/>
      <c r="AT395" s="34"/>
    </row>
    <row r="396" spans="1:46" ht="18" customHeight="1" x14ac:dyDescent="0.25">
      <c r="A396" s="89">
        <v>3</v>
      </c>
      <c r="B396" s="89" t="s">
        <v>27</v>
      </c>
      <c r="C396" s="89" t="s">
        <v>28</v>
      </c>
      <c r="D396" s="218" t="s">
        <v>424</v>
      </c>
      <c r="E396" s="219"/>
      <c r="F396" s="219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9"/>
      <c r="W396" s="219"/>
      <c r="X396" s="219"/>
      <c r="Y396" s="219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9"/>
      <c r="AK396" s="219"/>
      <c r="AL396" s="219"/>
      <c r="AM396" s="219"/>
      <c r="AN396" s="219"/>
      <c r="AO396" s="219"/>
      <c r="AP396" s="219"/>
      <c r="AQ396" s="219"/>
      <c r="AR396" s="219"/>
      <c r="AS396" s="220"/>
      <c r="AT396" s="34"/>
    </row>
    <row r="397" spans="1:46" ht="18" customHeight="1" x14ac:dyDescent="0.25">
      <c r="A397" s="89">
        <v>4</v>
      </c>
      <c r="B397" s="89" t="s">
        <v>31</v>
      </c>
      <c r="C397" s="24" t="s">
        <v>92</v>
      </c>
      <c r="D397" s="252" t="s">
        <v>425</v>
      </c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  <c r="W397" s="252"/>
      <c r="X397" s="252"/>
      <c r="Y397" s="252"/>
      <c r="Z397" s="252"/>
      <c r="AA397" s="252"/>
      <c r="AB397" s="252"/>
      <c r="AC397" s="252"/>
      <c r="AD397" s="252"/>
      <c r="AE397" s="252"/>
      <c r="AF397" s="252"/>
      <c r="AG397" s="252"/>
      <c r="AH397" s="252"/>
      <c r="AI397" s="252"/>
      <c r="AJ397" s="252"/>
      <c r="AK397" s="252"/>
      <c r="AL397" s="252"/>
      <c r="AM397" s="252"/>
      <c r="AN397" s="252"/>
      <c r="AO397" s="252"/>
      <c r="AP397" s="252"/>
      <c r="AQ397" s="252"/>
      <c r="AR397" s="252"/>
      <c r="AS397" s="252"/>
      <c r="AT397" s="34"/>
    </row>
    <row r="398" spans="1:46" ht="18" customHeight="1" x14ac:dyDescent="0.25">
      <c r="A398" s="97"/>
      <c r="B398" s="154" t="s">
        <v>83</v>
      </c>
      <c r="C398" s="155"/>
      <c r="D398" s="155"/>
      <c r="E398" s="155"/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34"/>
    </row>
    <row r="399" spans="1:46" ht="18" customHeight="1" x14ac:dyDescent="0.25">
      <c r="A399" s="89">
        <v>1</v>
      </c>
      <c r="B399" s="89" t="s">
        <v>30</v>
      </c>
      <c r="C399" s="89" t="s">
        <v>28</v>
      </c>
      <c r="D399" s="218" t="s">
        <v>424</v>
      </c>
      <c r="E399" s="219"/>
      <c r="F399" s="219"/>
      <c r="G399" s="219"/>
      <c r="H399" s="219"/>
      <c r="I399" s="219"/>
      <c r="J399" s="219"/>
      <c r="K399" s="219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9"/>
      <c r="W399" s="219"/>
      <c r="X399" s="219"/>
      <c r="Y399" s="219"/>
      <c r="Z399" s="219"/>
      <c r="AA399" s="219"/>
      <c r="AB399" s="219"/>
      <c r="AC399" s="219"/>
      <c r="AD399" s="219"/>
      <c r="AE399" s="219"/>
      <c r="AF399" s="219"/>
      <c r="AG399" s="219"/>
      <c r="AH399" s="219"/>
      <c r="AI399" s="219"/>
      <c r="AJ399" s="219"/>
      <c r="AK399" s="219"/>
      <c r="AL399" s="219"/>
      <c r="AM399" s="219"/>
      <c r="AN399" s="219"/>
      <c r="AO399" s="219"/>
      <c r="AP399" s="219"/>
      <c r="AQ399" s="219"/>
      <c r="AR399" s="219"/>
      <c r="AS399" s="220"/>
      <c r="AT399" s="34"/>
    </row>
    <row r="400" spans="1:46" ht="18" customHeight="1" x14ac:dyDescent="0.25">
      <c r="A400" s="89">
        <v>2</v>
      </c>
      <c r="B400" s="89" t="s">
        <v>26</v>
      </c>
      <c r="C400" s="89" t="s">
        <v>29</v>
      </c>
      <c r="D400" s="218" t="s">
        <v>423</v>
      </c>
      <c r="E400" s="219"/>
      <c r="F400" s="219"/>
      <c r="G400" s="219"/>
      <c r="H400" s="219"/>
      <c r="I400" s="219"/>
      <c r="J400" s="219"/>
      <c r="K400" s="219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9"/>
      <c r="W400" s="219"/>
      <c r="X400" s="219"/>
      <c r="Y400" s="219"/>
      <c r="Z400" s="219"/>
      <c r="AA400" s="219"/>
      <c r="AB400" s="219"/>
      <c r="AC400" s="219"/>
      <c r="AD400" s="219"/>
      <c r="AE400" s="219"/>
      <c r="AF400" s="219"/>
      <c r="AG400" s="219"/>
      <c r="AH400" s="219"/>
      <c r="AI400" s="219"/>
      <c r="AJ400" s="219"/>
      <c r="AK400" s="219"/>
      <c r="AL400" s="219"/>
      <c r="AM400" s="219"/>
      <c r="AN400" s="219"/>
      <c r="AO400" s="219"/>
      <c r="AP400" s="219"/>
      <c r="AQ400" s="219"/>
      <c r="AR400" s="219"/>
      <c r="AS400" s="220"/>
      <c r="AT400" s="34"/>
    </row>
    <row r="401" spans="1:46" ht="18" customHeight="1" x14ac:dyDescent="0.25">
      <c r="A401" s="89">
        <v>3</v>
      </c>
      <c r="B401" s="89" t="s">
        <v>27</v>
      </c>
      <c r="C401" s="89" t="s">
        <v>28</v>
      </c>
      <c r="D401" s="218" t="s">
        <v>424</v>
      </c>
      <c r="E401" s="219"/>
      <c r="F401" s="219"/>
      <c r="G401" s="219"/>
      <c r="H401" s="219"/>
      <c r="I401" s="219"/>
      <c r="J401" s="219"/>
      <c r="K401" s="219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9"/>
      <c r="W401" s="219"/>
      <c r="X401" s="219"/>
      <c r="Y401" s="219"/>
      <c r="Z401" s="219"/>
      <c r="AA401" s="219"/>
      <c r="AB401" s="219"/>
      <c r="AC401" s="219"/>
      <c r="AD401" s="219"/>
      <c r="AE401" s="219"/>
      <c r="AF401" s="219"/>
      <c r="AG401" s="219"/>
      <c r="AH401" s="219"/>
      <c r="AI401" s="219"/>
      <c r="AJ401" s="219"/>
      <c r="AK401" s="219"/>
      <c r="AL401" s="219"/>
      <c r="AM401" s="219"/>
      <c r="AN401" s="219"/>
      <c r="AO401" s="219"/>
      <c r="AP401" s="219"/>
      <c r="AQ401" s="219"/>
      <c r="AR401" s="219"/>
      <c r="AS401" s="220"/>
      <c r="AT401" s="34"/>
    </row>
    <row r="402" spans="1:46" ht="18" customHeight="1" x14ac:dyDescent="0.25">
      <c r="A402" s="89">
        <v>4</v>
      </c>
      <c r="B402" s="89" t="s">
        <v>31</v>
      </c>
      <c r="C402" s="24" t="s">
        <v>92</v>
      </c>
      <c r="D402" s="218" t="s">
        <v>424</v>
      </c>
      <c r="E402" s="219"/>
      <c r="F402" s="219"/>
      <c r="G402" s="219"/>
      <c r="H402" s="219"/>
      <c r="I402" s="219"/>
      <c r="J402" s="219"/>
      <c r="K402" s="219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9"/>
      <c r="W402" s="219"/>
      <c r="X402" s="219"/>
      <c r="Y402" s="219"/>
      <c r="Z402" s="219"/>
      <c r="AA402" s="219"/>
      <c r="AB402" s="219"/>
      <c r="AC402" s="219"/>
      <c r="AD402" s="219"/>
      <c r="AE402" s="219"/>
      <c r="AF402" s="219"/>
      <c r="AG402" s="219"/>
      <c r="AH402" s="219"/>
      <c r="AI402" s="219"/>
      <c r="AJ402" s="219"/>
      <c r="AK402" s="219"/>
      <c r="AL402" s="219"/>
      <c r="AM402" s="219"/>
      <c r="AN402" s="219"/>
      <c r="AO402" s="219"/>
      <c r="AP402" s="219"/>
      <c r="AQ402" s="219"/>
      <c r="AR402" s="219"/>
      <c r="AS402" s="220"/>
      <c r="AT402" s="34"/>
    </row>
    <row r="403" spans="1:46" ht="18" customHeight="1" x14ac:dyDescent="0.25">
      <c r="A403" s="97"/>
      <c r="B403" s="154" t="s">
        <v>293</v>
      </c>
      <c r="C403" s="155"/>
      <c r="D403" s="155"/>
      <c r="E403" s="155"/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5"/>
      <c r="Z403" s="155"/>
      <c r="AA403" s="155"/>
      <c r="AB403" s="155"/>
      <c r="AC403" s="155"/>
      <c r="AD403" s="155"/>
      <c r="AE403" s="155"/>
      <c r="AF403" s="155"/>
      <c r="AG403" s="155"/>
      <c r="AH403" s="155"/>
      <c r="AI403" s="155"/>
      <c r="AJ403" s="155"/>
      <c r="AK403" s="155"/>
      <c r="AL403" s="155"/>
      <c r="AM403" s="155"/>
      <c r="AN403" s="155"/>
      <c r="AO403" s="155"/>
      <c r="AP403" s="155"/>
      <c r="AQ403" s="155"/>
      <c r="AR403" s="155"/>
      <c r="AS403" s="155"/>
      <c r="AT403" s="34"/>
    </row>
    <row r="404" spans="1:46" ht="18" customHeight="1" x14ac:dyDescent="0.25">
      <c r="A404" s="89">
        <v>1</v>
      </c>
      <c r="B404" s="89" t="s">
        <v>30</v>
      </c>
      <c r="C404" s="89" t="s">
        <v>28</v>
      </c>
      <c r="D404" s="218" t="s">
        <v>424</v>
      </c>
      <c r="E404" s="219"/>
      <c r="F404" s="219"/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9"/>
      <c r="W404" s="219"/>
      <c r="X404" s="219"/>
      <c r="Y404" s="219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9"/>
      <c r="AK404" s="219"/>
      <c r="AL404" s="219"/>
      <c r="AM404" s="219"/>
      <c r="AN404" s="219"/>
      <c r="AO404" s="219"/>
      <c r="AP404" s="219"/>
      <c r="AQ404" s="219"/>
      <c r="AR404" s="219"/>
      <c r="AS404" s="220"/>
      <c r="AT404" s="34"/>
    </row>
    <row r="405" spans="1:46" ht="18" customHeight="1" x14ac:dyDescent="0.25">
      <c r="A405" s="89">
        <v>2</v>
      </c>
      <c r="B405" s="89" t="s">
        <v>26</v>
      </c>
      <c r="C405" s="89" t="s">
        <v>29</v>
      </c>
      <c r="D405" s="218" t="s">
        <v>423</v>
      </c>
      <c r="E405" s="219"/>
      <c r="F405" s="219"/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9"/>
      <c r="W405" s="219"/>
      <c r="X405" s="219"/>
      <c r="Y405" s="219"/>
      <c r="Z405" s="219"/>
      <c r="AA405" s="219"/>
      <c r="AB405" s="219"/>
      <c r="AC405" s="219"/>
      <c r="AD405" s="219"/>
      <c r="AE405" s="219"/>
      <c r="AF405" s="219"/>
      <c r="AG405" s="219"/>
      <c r="AH405" s="219"/>
      <c r="AI405" s="219"/>
      <c r="AJ405" s="219"/>
      <c r="AK405" s="219"/>
      <c r="AL405" s="219"/>
      <c r="AM405" s="219"/>
      <c r="AN405" s="219"/>
      <c r="AO405" s="219"/>
      <c r="AP405" s="219"/>
      <c r="AQ405" s="219"/>
      <c r="AR405" s="219"/>
      <c r="AS405" s="220"/>
      <c r="AT405" s="34"/>
    </row>
    <row r="406" spans="1:46" ht="18" customHeight="1" x14ac:dyDescent="0.25">
      <c r="A406" s="89">
        <v>3</v>
      </c>
      <c r="B406" s="89" t="s">
        <v>27</v>
      </c>
      <c r="C406" s="89" t="s">
        <v>28</v>
      </c>
      <c r="D406" s="218" t="s">
        <v>424</v>
      </c>
      <c r="E406" s="219"/>
      <c r="F406" s="219"/>
      <c r="G406" s="219"/>
      <c r="H406" s="219"/>
      <c r="I406" s="219"/>
      <c r="J406" s="219"/>
      <c r="K406" s="219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9"/>
      <c r="W406" s="219"/>
      <c r="X406" s="219"/>
      <c r="Y406" s="219"/>
      <c r="Z406" s="219"/>
      <c r="AA406" s="219"/>
      <c r="AB406" s="219"/>
      <c r="AC406" s="219"/>
      <c r="AD406" s="219"/>
      <c r="AE406" s="219"/>
      <c r="AF406" s="219"/>
      <c r="AG406" s="219"/>
      <c r="AH406" s="219"/>
      <c r="AI406" s="219"/>
      <c r="AJ406" s="219"/>
      <c r="AK406" s="219"/>
      <c r="AL406" s="219"/>
      <c r="AM406" s="219"/>
      <c r="AN406" s="219"/>
      <c r="AO406" s="219"/>
      <c r="AP406" s="219"/>
      <c r="AQ406" s="219"/>
      <c r="AR406" s="219"/>
      <c r="AS406" s="220"/>
      <c r="AT406" s="34"/>
    </row>
    <row r="407" spans="1:46" ht="18" customHeight="1" x14ac:dyDescent="0.25">
      <c r="A407" s="89">
        <v>4</v>
      </c>
      <c r="B407" s="89" t="s">
        <v>31</v>
      </c>
      <c r="C407" s="24" t="s">
        <v>92</v>
      </c>
      <c r="D407" s="218" t="s">
        <v>424</v>
      </c>
      <c r="E407" s="219"/>
      <c r="F407" s="219"/>
      <c r="G407" s="219"/>
      <c r="H407" s="219"/>
      <c r="I407" s="219"/>
      <c r="J407" s="219"/>
      <c r="K407" s="219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9"/>
      <c r="W407" s="219"/>
      <c r="X407" s="219"/>
      <c r="Y407" s="219"/>
      <c r="Z407" s="219"/>
      <c r="AA407" s="219"/>
      <c r="AB407" s="219"/>
      <c r="AC407" s="219"/>
      <c r="AD407" s="219"/>
      <c r="AE407" s="219"/>
      <c r="AF407" s="219"/>
      <c r="AG407" s="219"/>
      <c r="AH407" s="219"/>
      <c r="AI407" s="219"/>
      <c r="AJ407" s="219"/>
      <c r="AK407" s="219"/>
      <c r="AL407" s="219"/>
      <c r="AM407" s="219"/>
      <c r="AN407" s="219"/>
      <c r="AO407" s="219"/>
      <c r="AP407" s="219"/>
      <c r="AQ407" s="219"/>
      <c r="AR407" s="219"/>
      <c r="AS407" s="220"/>
      <c r="AT407" s="34"/>
    </row>
    <row r="408" spans="1:46" ht="18" customHeight="1" x14ac:dyDescent="0.25">
      <c r="A408" s="97"/>
      <c r="B408" s="154" t="s">
        <v>294</v>
      </c>
      <c r="C408" s="155"/>
      <c r="D408" s="155"/>
      <c r="E408" s="155"/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  <c r="Z408" s="155"/>
      <c r="AA408" s="155"/>
      <c r="AB408" s="155"/>
      <c r="AC408" s="155"/>
      <c r="AD408" s="155"/>
      <c r="AE408" s="155"/>
      <c r="AF408" s="155"/>
      <c r="AG408" s="155"/>
      <c r="AH408" s="155"/>
      <c r="AI408" s="155"/>
      <c r="AJ408" s="155"/>
      <c r="AK408" s="155"/>
      <c r="AL408" s="155"/>
      <c r="AM408" s="155"/>
      <c r="AN408" s="155"/>
      <c r="AO408" s="155"/>
      <c r="AP408" s="155"/>
      <c r="AQ408" s="155"/>
      <c r="AR408" s="155"/>
      <c r="AS408" s="155"/>
      <c r="AT408" s="34"/>
    </row>
    <row r="409" spans="1:46" ht="18" customHeight="1" x14ac:dyDescent="0.25">
      <c r="A409" s="89">
        <v>1</v>
      </c>
      <c r="B409" s="89" t="s">
        <v>30</v>
      </c>
      <c r="C409" s="89" t="s">
        <v>28</v>
      </c>
      <c r="D409" s="218" t="s">
        <v>424</v>
      </c>
      <c r="E409" s="219"/>
      <c r="F409" s="219"/>
      <c r="G409" s="219"/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9"/>
      <c r="W409" s="219"/>
      <c r="X409" s="219"/>
      <c r="Y409" s="219"/>
      <c r="Z409" s="219"/>
      <c r="AA409" s="219"/>
      <c r="AB409" s="219"/>
      <c r="AC409" s="219"/>
      <c r="AD409" s="219"/>
      <c r="AE409" s="219"/>
      <c r="AF409" s="219"/>
      <c r="AG409" s="219"/>
      <c r="AH409" s="219"/>
      <c r="AI409" s="219"/>
      <c r="AJ409" s="219"/>
      <c r="AK409" s="219"/>
      <c r="AL409" s="219"/>
      <c r="AM409" s="219"/>
      <c r="AN409" s="219"/>
      <c r="AO409" s="219"/>
      <c r="AP409" s="219"/>
      <c r="AQ409" s="219"/>
      <c r="AR409" s="219"/>
      <c r="AS409" s="220"/>
      <c r="AT409" s="34"/>
    </row>
    <row r="410" spans="1:46" ht="18" customHeight="1" x14ac:dyDescent="0.25">
      <c r="A410" s="89">
        <v>2</v>
      </c>
      <c r="B410" s="89" t="s">
        <v>26</v>
      </c>
      <c r="C410" s="89" t="s">
        <v>29</v>
      </c>
      <c r="D410" s="218" t="s">
        <v>423</v>
      </c>
      <c r="E410" s="219"/>
      <c r="F410" s="219"/>
      <c r="G410" s="219"/>
      <c r="H410" s="219"/>
      <c r="I410" s="219"/>
      <c r="J410" s="219"/>
      <c r="K410" s="219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9"/>
      <c r="W410" s="219"/>
      <c r="X410" s="219"/>
      <c r="Y410" s="219"/>
      <c r="Z410" s="219"/>
      <c r="AA410" s="219"/>
      <c r="AB410" s="219"/>
      <c r="AC410" s="219"/>
      <c r="AD410" s="219"/>
      <c r="AE410" s="219"/>
      <c r="AF410" s="219"/>
      <c r="AG410" s="219"/>
      <c r="AH410" s="219"/>
      <c r="AI410" s="219"/>
      <c r="AJ410" s="219"/>
      <c r="AK410" s="219"/>
      <c r="AL410" s="219"/>
      <c r="AM410" s="219"/>
      <c r="AN410" s="219"/>
      <c r="AO410" s="219"/>
      <c r="AP410" s="219"/>
      <c r="AQ410" s="219"/>
      <c r="AR410" s="219"/>
      <c r="AS410" s="220"/>
      <c r="AT410" s="34"/>
    </row>
    <row r="411" spans="1:46" ht="18" customHeight="1" x14ac:dyDescent="0.25">
      <c r="A411" s="89">
        <v>3</v>
      </c>
      <c r="B411" s="89" t="s">
        <v>27</v>
      </c>
      <c r="C411" s="89" t="s">
        <v>28</v>
      </c>
      <c r="D411" s="218" t="s">
        <v>424</v>
      </c>
      <c r="E411" s="219"/>
      <c r="F411" s="219"/>
      <c r="G411" s="219"/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9"/>
      <c r="W411" s="219"/>
      <c r="X411" s="219"/>
      <c r="Y411" s="219"/>
      <c r="Z411" s="219"/>
      <c r="AA411" s="219"/>
      <c r="AB411" s="219"/>
      <c r="AC411" s="219"/>
      <c r="AD411" s="219"/>
      <c r="AE411" s="219"/>
      <c r="AF411" s="219"/>
      <c r="AG411" s="219"/>
      <c r="AH411" s="219"/>
      <c r="AI411" s="219"/>
      <c r="AJ411" s="219"/>
      <c r="AK411" s="219"/>
      <c r="AL411" s="219"/>
      <c r="AM411" s="219"/>
      <c r="AN411" s="219"/>
      <c r="AO411" s="219"/>
      <c r="AP411" s="219"/>
      <c r="AQ411" s="219"/>
      <c r="AR411" s="219"/>
      <c r="AS411" s="220"/>
      <c r="AT411" s="34"/>
    </row>
    <row r="412" spans="1:46" ht="18" customHeight="1" x14ac:dyDescent="0.25">
      <c r="A412" s="89">
        <v>4</v>
      </c>
      <c r="B412" s="89" t="s">
        <v>31</v>
      </c>
      <c r="C412" s="24" t="s">
        <v>92</v>
      </c>
      <c r="D412" s="218" t="s">
        <v>424</v>
      </c>
      <c r="E412" s="219"/>
      <c r="F412" s="219"/>
      <c r="G412" s="219"/>
      <c r="H412" s="219"/>
      <c r="I412" s="219"/>
      <c r="J412" s="219"/>
      <c r="K412" s="219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9"/>
      <c r="W412" s="219"/>
      <c r="X412" s="219"/>
      <c r="Y412" s="219"/>
      <c r="Z412" s="219"/>
      <c r="AA412" s="219"/>
      <c r="AB412" s="219"/>
      <c r="AC412" s="219"/>
      <c r="AD412" s="219"/>
      <c r="AE412" s="219"/>
      <c r="AF412" s="219"/>
      <c r="AG412" s="219"/>
      <c r="AH412" s="219"/>
      <c r="AI412" s="219"/>
      <c r="AJ412" s="219"/>
      <c r="AK412" s="219"/>
      <c r="AL412" s="219"/>
      <c r="AM412" s="219"/>
      <c r="AN412" s="219"/>
      <c r="AO412" s="219"/>
      <c r="AP412" s="219"/>
      <c r="AQ412" s="219"/>
      <c r="AR412" s="219"/>
      <c r="AS412" s="220"/>
      <c r="AT412" s="34"/>
    </row>
    <row r="413" spans="1:46" ht="18" customHeight="1" x14ac:dyDescent="0.25">
      <c r="A413" s="97"/>
      <c r="B413" s="154" t="s">
        <v>295</v>
      </c>
      <c r="C413" s="155"/>
      <c r="D413" s="155"/>
      <c r="E413" s="155"/>
      <c r="F413" s="155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55"/>
      <c r="AE413" s="155"/>
      <c r="AF413" s="155"/>
      <c r="AG413" s="155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34"/>
    </row>
    <row r="414" spans="1:46" ht="18" customHeight="1" x14ac:dyDescent="0.25">
      <c r="A414" s="89">
        <v>1</v>
      </c>
      <c r="B414" s="89" t="s">
        <v>30</v>
      </c>
      <c r="C414" s="89" t="s">
        <v>28</v>
      </c>
      <c r="D414" s="218" t="s">
        <v>424</v>
      </c>
      <c r="E414" s="219"/>
      <c r="F414" s="219"/>
      <c r="G414" s="219"/>
      <c r="H414" s="219"/>
      <c r="I414" s="219"/>
      <c r="J414" s="219"/>
      <c r="K414" s="219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9"/>
      <c r="W414" s="219"/>
      <c r="X414" s="219"/>
      <c r="Y414" s="219"/>
      <c r="Z414" s="219"/>
      <c r="AA414" s="219"/>
      <c r="AB414" s="219"/>
      <c r="AC414" s="219"/>
      <c r="AD414" s="219"/>
      <c r="AE414" s="219"/>
      <c r="AF414" s="219"/>
      <c r="AG414" s="219"/>
      <c r="AH414" s="219"/>
      <c r="AI414" s="219"/>
      <c r="AJ414" s="219"/>
      <c r="AK414" s="219"/>
      <c r="AL414" s="219"/>
      <c r="AM414" s="219"/>
      <c r="AN414" s="219"/>
      <c r="AO414" s="219"/>
      <c r="AP414" s="219"/>
      <c r="AQ414" s="219"/>
      <c r="AR414" s="219"/>
      <c r="AS414" s="220"/>
      <c r="AT414" s="34"/>
    </row>
    <row r="415" spans="1:46" ht="18" customHeight="1" x14ac:dyDescent="0.25">
      <c r="A415" s="89">
        <v>2</v>
      </c>
      <c r="B415" s="89" t="s">
        <v>26</v>
      </c>
      <c r="C415" s="89" t="s">
        <v>29</v>
      </c>
      <c r="D415" s="218" t="s">
        <v>423</v>
      </c>
      <c r="E415" s="219"/>
      <c r="F415" s="219"/>
      <c r="G415" s="219"/>
      <c r="H415" s="219"/>
      <c r="I415" s="219"/>
      <c r="J415" s="219"/>
      <c r="K415" s="219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  <c r="X415" s="219"/>
      <c r="Y415" s="219"/>
      <c r="Z415" s="219"/>
      <c r="AA415" s="219"/>
      <c r="AB415" s="219"/>
      <c r="AC415" s="219"/>
      <c r="AD415" s="219"/>
      <c r="AE415" s="219"/>
      <c r="AF415" s="219"/>
      <c r="AG415" s="219"/>
      <c r="AH415" s="219"/>
      <c r="AI415" s="219"/>
      <c r="AJ415" s="219"/>
      <c r="AK415" s="219"/>
      <c r="AL415" s="219"/>
      <c r="AM415" s="219"/>
      <c r="AN415" s="219"/>
      <c r="AO415" s="219"/>
      <c r="AP415" s="219"/>
      <c r="AQ415" s="219"/>
      <c r="AR415" s="219"/>
      <c r="AS415" s="220"/>
      <c r="AT415" s="34"/>
    </row>
    <row r="416" spans="1:46" ht="18" customHeight="1" x14ac:dyDescent="0.25">
      <c r="A416" s="89">
        <v>3</v>
      </c>
      <c r="B416" s="89" t="s">
        <v>27</v>
      </c>
      <c r="C416" s="89" t="s">
        <v>28</v>
      </c>
      <c r="D416" s="218" t="s">
        <v>424</v>
      </c>
      <c r="E416" s="219"/>
      <c r="F416" s="219"/>
      <c r="G416" s="219"/>
      <c r="H416" s="219"/>
      <c r="I416" s="219"/>
      <c r="J416" s="219"/>
      <c r="K416" s="219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9"/>
      <c r="W416" s="219"/>
      <c r="X416" s="219"/>
      <c r="Y416" s="219"/>
      <c r="Z416" s="219"/>
      <c r="AA416" s="219"/>
      <c r="AB416" s="219"/>
      <c r="AC416" s="219"/>
      <c r="AD416" s="219"/>
      <c r="AE416" s="219"/>
      <c r="AF416" s="219"/>
      <c r="AG416" s="219"/>
      <c r="AH416" s="219"/>
      <c r="AI416" s="219"/>
      <c r="AJ416" s="219"/>
      <c r="AK416" s="219"/>
      <c r="AL416" s="219"/>
      <c r="AM416" s="219"/>
      <c r="AN416" s="219"/>
      <c r="AO416" s="219"/>
      <c r="AP416" s="219"/>
      <c r="AQ416" s="219"/>
      <c r="AR416" s="219"/>
      <c r="AS416" s="220"/>
      <c r="AT416" s="34"/>
    </row>
    <row r="417" spans="1:46" ht="18" customHeight="1" x14ac:dyDescent="0.25">
      <c r="A417" s="89">
        <v>4</v>
      </c>
      <c r="B417" s="89" t="s">
        <v>31</v>
      </c>
      <c r="C417" s="24" t="s">
        <v>92</v>
      </c>
      <c r="D417" s="218" t="s">
        <v>424</v>
      </c>
      <c r="E417" s="219"/>
      <c r="F417" s="219"/>
      <c r="G417" s="219"/>
      <c r="H417" s="219"/>
      <c r="I417" s="219"/>
      <c r="J417" s="219"/>
      <c r="K417" s="219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9"/>
      <c r="W417" s="219"/>
      <c r="X417" s="219"/>
      <c r="Y417" s="219"/>
      <c r="Z417" s="219"/>
      <c r="AA417" s="219"/>
      <c r="AB417" s="219"/>
      <c r="AC417" s="219"/>
      <c r="AD417" s="219"/>
      <c r="AE417" s="219"/>
      <c r="AF417" s="219"/>
      <c r="AG417" s="219"/>
      <c r="AH417" s="219"/>
      <c r="AI417" s="219"/>
      <c r="AJ417" s="219"/>
      <c r="AK417" s="219"/>
      <c r="AL417" s="219"/>
      <c r="AM417" s="219"/>
      <c r="AN417" s="219"/>
      <c r="AO417" s="219"/>
      <c r="AP417" s="219"/>
      <c r="AQ417" s="219"/>
      <c r="AR417" s="219"/>
      <c r="AS417" s="220"/>
      <c r="AT417" s="34"/>
    </row>
    <row r="418" spans="1:46" ht="18" customHeight="1" x14ac:dyDescent="0.25">
      <c r="A418" s="97"/>
      <c r="B418" s="154" t="s">
        <v>296</v>
      </c>
      <c r="C418" s="155"/>
      <c r="D418" s="155"/>
      <c r="E418" s="155"/>
      <c r="F418" s="155"/>
      <c r="G418" s="155"/>
      <c r="H418" s="155"/>
      <c r="I418" s="155"/>
      <c r="J418" s="155"/>
      <c r="K418" s="155"/>
      <c r="L418" s="155"/>
      <c r="M418" s="155"/>
      <c r="N418" s="155"/>
      <c r="O418" s="155"/>
      <c r="P418" s="155"/>
      <c r="Q418" s="155"/>
      <c r="R418" s="155"/>
      <c r="S418" s="155"/>
      <c r="T418" s="155"/>
      <c r="U418" s="155"/>
      <c r="V418" s="155"/>
      <c r="W418" s="155"/>
      <c r="X418" s="155"/>
      <c r="Y418" s="155"/>
      <c r="Z418" s="155"/>
      <c r="AA418" s="155"/>
      <c r="AB418" s="155"/>
      <c r="AC418" s="155"/>
      <c r="AD418" s="155"/>
      <c r="AE418" s="155"/>
      <c r="AF418" s="155"/>
      <c r="AG418" s="155"/>
      <c r="AH418" s="155"/>
      <c r="AI418" s="155"/>
      <c r="AJ418" s="155"/>
      <c r="AK418" s="155"/>
      <c r="AL418" s="155"/>
      <c r="AM418" s="155"/>
      <c r="AN418" s="155"/>
      <c r="AO418" s="155"/>
      <c r="AP418" s="155"/>
      <c r="AQ418" s="155"/>
      <c r="AR418" s="155"/>
      <c r="AS418" s="155"/>
      <c r="AT418" s="34"/>
    </row>
    <row r="419" spans="1:46" ht="18" customHeight="1" x14ac:dyDescent="0.25">
      <c r="A419" s="89">
        <v>1</v>
      </c>
      <c r="B419" s="89" t="s">
        <v>30</v>
      </c>
      <c r="C419" s="89" t="s">
        <v>28</v>
      </c>
      <c r="D419" s="218" t="s">
        <v>424</v>
      </c>
      <c r="E419" s="219"/>
      <c r="F419" s="219"/>
      <c r="G419" s="219"/>
      <c r="H419" s="219"/>
      <c r="I419" s="219"/>
      <c r="J419" s="219"/>
      <c r="K419" s="219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  <c r="AA419" s="219"/>
      <c r="AB419" s="219"/>
      <c r="AC419" s="219"/>
      <c r="AD419" s="219"/>
      <c r="AE419" s="219"/>
      <c r="AF419" s="219"/>
      <c r="AG419" s="219"/>
      <c r="AH419" s="219"/>
      <c r="AI419" s="219"/>
      <c r="AJ419" s="219"/>
      <c r="AK419" s="219"/>
      <c r="AL419" s="219"/>
      <c r="AM419" s="219"/>
      <c r="AN419" s="219"/>
      <c r="AO419" s="219"/>
      <c r="AP419" s="219"/>
      <c r="AQ419" s="219"/>
      <c r="AR419" s="219"/>
      <c r="AS419" s="220"/>
      <c r="AT419" s="34"/>
    </row>
    <row r="420" spans="1:46" ht="18" customHeight="1" x14ac:dyDescent="0.25">
      <c r="A420" s="89">
        <v>2</v>
      </c>
      <c r="B420" s="89" t="s">
        <v>26</v>
      </c>
      <c r="C420" s="89" t="s">
        <v>29</v>
      </c>
      <c r="D420" s="218" t="s">
        <v>423</v>
      </c>
      <c r="E420" s="219"/>
      <c r="F420" s="219"/>
      <c r="G420" s="219"/>
      <c r="H420" s="219"/>
      <c r="I420" s="219"/>
      <c r="J420" s="219"/>
      <c r="K420" s="219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9"/>
      <c r="W420" s="219"/>
      <c r="X420" s="219"/>
      <c r="Y420" s="219"/>
      <c r="Z420" s="219"/>
      <c r="AA420" s="219"/>
      <c r="AB420" s="219"/>
      <c r="AC420" s="219"/>
      <c r="AD420" s="219"/>
      <c r="AE420" s="219"/>
      <c r="AF420" s="219"/>
      <c r="AG420" s="219"/>
      <c r="AH420" s="219"/>
      <c r="AI420" s="219"/>
      <c r="AJ420" s="219"/>
      <c r="AK420" s="219"/>
      <c r="AL420" s="219"/>
      <c r="AM420" s="219"/>
      <c r="AN420" s="219"/>
      <c r="AO420" s="219"/>
      <c r="AP420" s="219"/>
      <c r="AQ420" s="219"/>
      <c r="AR420" s="219"/>
      <c r="AS420" s="220"/>
      <c r="AT420" s="34"/>
    </row>
    <row r="421" spans="1:46" ht="18" customHeight="1" x14ac:dyDescent="0.25">
      <c r="A421" s="89">
        <v>3</v>
      </c>
      <c r="B421" s="89" t="s">
        <v>27</v>
      </c>
      <c r="C421" s="89" t="s">
        <v>28</v>
      </c>
      <c r="D421" s="218" t="s">
        <v>424</v>
      </c>
      <c r="E421" s="219"/>
      <c r="F421" s="219"/>
      <c r="G421" s="219"/>
      <c r="H421" s="219"/>
      <c r="I421" s="219"/>
      <c r="J421" s="219"/>
      <c r="K421" s="219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9"/>
      <c r="W421" s="219"/>
      <c r="X421" s="219"/>
      <c r="Y421" s="219"/>
      <c r="Z421" s="219"/>
      <c r="AA421" s="219"/>
      <c r="AB421" s="219"/>
      <c r="AC421" s="219"/>
      <c r="AD421" s="219"/>
      <c r="AE421" s="219"/>
      <c r="AF421" s="219"/>
      <c r="AG421" s="219"/>
      <c r="AH421" s="219"/>
      <c r="AI421" s="219"/>
      <c r="AJ421" s="219"/>
      <c r="AK421" s="219"/>
      <c r="AL421" s="219"/>
      <c r="AM421" s="219"/>
      <c r="AN421" s="219"/>
      <c r="AO421" s="219"/>
      <c r="AP421" s="219"/>
      <c r="AQ421" s="219"/>
      <c r="AR421" s="219"/>
      <c r="AS421" s="220"/>
      <c r="AT421" s="34"/>
    </row>
    <row r="422" spans="1:46" ht="18" customHeight="1" x14ac:dyDescent="0.25">
      <c r="A422" s="89">
        <v>4</v>
      </c>
      <c r="B422" s="89" t="s">
        <v>31</v>
      </c>
      <c r="C422" s="24" t="s">
        <v>92</v>
      </c>
      <c r="D422" s="218" t="s">
        <v>423</v>
      </c>
      <c r="E422" s="219"/>
      <c r="F422" s="219"/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9"/>
      <c r="W422" s="219"/>
      <c r="X422" s="219"/>
      <c r="Y422" s="219"/>
      <c r="Z422" s="219"/>
      <c r="AA422" s="219"/>
      <c r="AB422" s="219"/>
      <c r="AC422" s="219"/>
      <c r="AD422" s="219"/>
      <c r="AE422" s="219"/>
      <c r="AF422" s="219"/>
      <c r="AG422" s="219"/>
      <c r="AH422" s="219"/>
      <c r="AI422" s="219"/>
      <c r="AJ422" s="219"/>
      <c r="AK422" s="219"/>
      <c r="AL422" s="219"/>
      <c r="AM422" s="219"/>
      <c r="AN422" s="219"/>
      <c r="AO422" s="219"/>
      <c r="AP422" s="219"/>
      <c r="AQ422" s="219"/>
      <c r="AR422" s="219"/>
      <c r="AS422" s="220"/>
      <c r="AT422" s="34"/>
    </row>
    <row r="423" spans="1:46" ht="18" customHeight="1" x14ac:dyDescent="0.25">
      <c r="A423" s="89"/>
      <c r="B423" s="224" t="s">
        <v>301</v>
      </c>
      <c r="C423" s="225"/>
      <c r="D423" s="225"/>
      <c r="E423" s="225"/>
      <c r="F423" s="225"/>
      <c r="G423" s="225"/>
      <c r="H423" s="225"/>
      <c r="I423" s="225"/>
      <c r="J423" s="225"/>
      <c r="K423" s="225"/>
      <c r="L423" s="225"/>
      <c r="M423" s="225"/>
      <c r="N423" s="225"/>
      <c r="O423" s="225"/>
      <c r="P423" s="225"/>
      <c r="Q423" s="225"/>
      <c r="R423" s="225"/>
      <c r="S423" s="225"/>
      <c r="T423" s="225"/>
      <c r="U423" s="225"/>
      <c r="V423" s="225"/>
      <c r="W423" s="225"/>
      <c r="X423" s="225"/>
      <c r="Y423" s="225"/>
      <c r="Z423" s="225"/>
      <c r="AA423" s="225"/>
      <c r="AB423" s="225"/>
      <c r="AC423" s="225"/>
      <c r="AD423" s="225"/>
      <c r="AE423" s="225"/>
      <c r="AF423" s="225"/>
      <c r="AG423" s="225"/>
      <c r="AH423" s="225"/>
      <c r="AI423" s="225"/>
      <c r="AJ423" s="225"/>
      <c r="AK423" s="225"/>
      <c r="AL423" s="225"/>
      <c r="AM423" s="225"/>
      <c r="AN423" s="225"/>
      <c r="AO423" s="225"/>
      <c r="AP423" s="225"/>
      <c r="AQ423" s="225"/>
      <c r="AR423" s="225"/>
      <c r="AS423" s="226"/>
      <c r="AT423" s="34"/>
    </row>
    <row r="424" spans="1:46" ht="18" customHeight="1" x14ac:dyDescent="0.25">
      <c r="A424" s="89">
        <v>1</v>
      </c>
      <c r="B424" s="89" t="s">
        <v>30</v>
      </c>
      <c r="C424" s="89" t="s">
        <v>28</v>
      </c>
      <c r="D424" s="218" t="s">
        <v>442</v>
      </c>
      <c r="E424" s="219"/>
      <c r="F424" s="219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9"/>
      <c r="W424" s="219"/>
      <c r="X424" s="219"/>
      <c r="Y424" s="219"/>
      <c r="Z424" s="219"/>
      <c r="AA424" s="219"/>
      <c r="AB424" s="219"/>
      <c r="AC424" s="219"/>
      <c r="AD424" s="219"/>
      <c r="AE424" s="219"/>
      <c r="AF424" s="219"/>
      <c r="AG424" s="219"/>
      <c r="AH424" s="219"/>
      <c r="AI424" s="219"/>
      <c r="AJ424" s="219"/>
      <c r="AK424" s="219"/>
      <c r="AL424" s="219"/>
      <c r="AM424" s="219"/>
      <c r="AN424" s="219"/>
      <c r="AO424" s="219"/>
      <c r="AP424" s="219"/>
      <c r="AQ424" s="219"/>
      <c r="AR424" s="219"/>
      <c r="AS424" s="220"/>
      <c r="AT424" s="34"/>
    </row>
    <row r="425" spans="1:46" ht="18" customHeight="1" x14ac:dyDescent="0.25">
      <c r="A425" s="89">
        <v>2</v>
      </c>
      <c r="B425" s="89" t="s">
        <v>26</v>
      </c>
      <c r="C425" s="89" t="s">
        <v>29</v>
      </c>
      <c r="D425" s="218" t="s">
        <v>423</v>
      </c>
      <c r="E425" s="219"/>
      <c r="F425" s="219"/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9"/>
      <c r="W425" s="219"/>
      <c r="X425" s="219"/>
      <c r="Y425" s="219"/>
      <c r="Z425" s="219"/>
      <c r="AA425" s="219"/>
      <c r="AB425" s="219"/>
      <c r="AC425" s="219"/>
      <c r="AD425" s="219"/>
      <c r="AE425" s="219"/>
      <c r="AF425" s="219"/>
      <c r="AG425" s="219"/>
      <c r="AH425" s="219"/>
      <c r="AI425" s="219"/>
      <c r="AJ425" s="219"/>
      <c r="AK425" s="219"/>
      <c r="AL425" s="219"/>
      <c r="AM425" s="219"/>
      <c r="AN425" s="219"/>
      <c r="AO425" s="219"/>
      <c r="AP425" s="219"/>
      <c r="AQ425" s="219"/>
      <c r="AR425" s="219"/>
      <c r="AS425" s="220"/>
      <c r="AT425" s="34"/>
    </row>
    <row r="426" spans="1:46" ht="18" customHeight="1" x14ac:dyDescent="0.25">
      <c r="A426" s="89">
        <v>3</v>
      </c>
      <c r="B426" s="89" t="s">
        <v>27</v>
      </c>
      <c r="C426" s="89" t="s">
        <v>28</v>
      </c>
      <c r="D426" s="218" t="s">
        <v>444</v>
      </c>
      <c r="E426" s="219"/>
      <c r="F426" s="219"/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9"/>
      <c r="W426" s="219"/>
      <c r="X426" s="219"/>
      <c r="Y426" s="219"/>
      <c r="Z426" s="219"/>
      <c r="AA426" s="219"/>
      <c r="AB426" s="219"/>
      <c r="AC426" s="219"/>
      <c r="AD426" s="219"/>
      <c r="AE426" s="219"/>
      <c r="AF426" s="219"/>
      <c r="AG426" s="219"/>
      <c r="AH426" s="219"/>
      <c r="AI426" s="219"/>
      <c r="AJ426" s="219"/>
      <c r="AK426" s="219"/>
      <c r="AL426" s="219"/>
      <c r="AM426" s="219"/>
      <c r="AN426" s="219"/>
      <c r="AO426" s="219"/>
      <c r="AP426" s="219"/>
      <c r="AQ426" s="219"/>
      <c r="AR426" s="219"/>
      <c r="AS426" s="220"/>
      <c r="AT426" s="34"/>
    </row>
    <row r="427" spans="1:46" ht="18" customHeight="1" x14ac:dyDescent="0.25">
      <c r="A427" s="89">
        <v>4</v>
      </c>
      <c r="B427" s="89" t="s">
        <v>31</v>
      </c>
      <c r="C427" s="24" t="s">
        <v>92</v>
      </c>
      <c r="D427" s="218" t="s">
        <v>439</v>
      </c>
      <c r="E427" s="219"/>
      <c r="F427" s="219"/>
      <c r="G427" s="219"/>
      <c r="H427" s="219"/>
      <c r="I427" s="219"/>
      <c r="J427" s="219"/>
      <c r="K427" s="219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9"/>
      <c r="W427" s="219"/>
      <c r="X427" s="219"/>
      <c r="Y427" s="219"/>
      <c r="Z427" s="219"/>
      <c r="AA427" s="219"/>
      <c r="AB427" s="219"/>
      <c r="AC427" s="219"/>
      <c r="AD427" s="219"/>
      <c r="AE427" s="219"/>
      <c r="AF427" s="219"/>
      <c r="AG427" s="219"/>
      <c r="AH427" s="219"/>
      <c r="AI427" s="219"/>
      <c r="AJ427" s="219"/>
      <c r="AK427" s="219"/>
      <c r="AL427" s="219"/>
      <c r="AM427" s="219"/>
      <c r="AN427" s="219"/>
      <c r="AO427" s="219"/>
      <c r="AP427" s="219"/>
      <c r="AQ427" s="219"/>
      <c r="AR427" s="219"/>
      <c r="AS427" s="220"/>
      <c r="AT427" s="34"/>
    </row>
    <row r="428" spans="1:46" ht="18" customHeight="1" x14ac:dyDescent="0.25">
      <c r="A428" s="97"/>
      <c r="B428" s="154" t="s">
        <v>298</v>
      </c>
      <c r="C428" s="155"/>
      <c r="D428" s="155"/>
      <c r="E428" s="155"/>
      <c r="F428" s="155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55"/>
      <c r="R428" s="155"/>
      <c r="S428" s="155"/>
      <c r="T428" s="155"/>
      <c r="U428" s="155"/>
      <c r="V428" s="155"/>
      <c r="W428" s="155"/>
      <c r="X428" s="155"/>
      <c r="Y428" s="155"/>
      <c r="Z428" s="155"/>
      <c r="AA428" s="155"/>
      <c r="AB428" s="155"/>
      <c r="AC428" s="155"/>
      <c r="AD428" s="155"/>
      <c r="AE428" s="155"/>
      <c r="AF428" s="155"/>
      <c r="AG428" s="155"/>
      <c r="AH428" s="155"/>
      <c r="AI428" s="155"/>
      <c r="AJ428" s="155"/>
      <c r="AK428" s="155"/>
      <c r="AL428" s="155"/>
      <c r="AM428" s="155"/>
      <c r="AN428" s="155"/>
      <c r="AO428" s="155"/>
      <c r="AP428" s="155"/>
      <c r="AQ428" s="155"/>
      <c r="AR428" s="155"/>
      <c r="AS428" s="155"/>
      <c r="AT428" s="34"/>
    </row>
    <row r="429" spans="1:46" ht="18" customHeight="1" x14ac:dyDescent="0.25">
      <c r="A429" s="89">
        <v>1</v>
      </c>
      <c r="B429" s="89" t="s">
        <v>30</v>
      </c>
      <c r="C429" s="89" t="s">
        <v>28</v>
      </c>
      <c r="D429" s="339" t="s">
        <v>423</v>
      </c>
      <c r="E429" s="340"/>
      <c r="F429" s="340"/>
      <c r="G429" s="340"/>
      <c r="H429" s="340"/>
      <c r="I429" s="340"/>
      <c r="J429" s="340"/>
      <c r="K429" s="340"/>
      <c r="L429" s="340"/>
      <c r="M429" s="340"/>
      <c r="N429" s="340"/>
      <c r="O429" s="340"/>
      <c r="P429" s="340"/>
      <c r="Q429" s="340"/>
      <c r="R429" s="340"/>
      <c r="S429" s="340"/>
      <c r="T429" s="340"/>
      <c r="U429" s="340"/>
      <c r="V429" s="340"/>
      <c r="W429" s="340"/>
      <c r="X429" s="340"/>
      <c r="Y429" s="340"/>
      <c r="Z429" s="340"/>
      <c r="AA429" s="340"/>
      <c r="AB429" s="340"/>
      <c r="AC429" s="340"/>
      <c r="AD429" s="340"/>
      <c r="AE429" s="340"/>
      <c r="AF429" s="340"/>
      <c r="AG429" s="340"/>
      <c r="AH429" s="340"/>
      <c r="AI429" s="340"/>
      <c r="AJ429" s="340"/>
      <c r="AK429" s="340"/>
      <c r="AL429" s="340"/>
      <c r="AM429" s="340"/>
      <c r="AN429" s="340"/>
      <c r="AO429" s="340"/>
      <c r="AP429" s="340"/>
      <c r="AQ429" s="340"/>
      <c r="AR429" s="340"/>
      <c r="AS429" s="341"/>
      <c r="AT429" s="34"/>
    </row>
    <row r="430" spans="1:46" ht="18" customHeight="1" x14ac:dyDescent="0.25">
      <c r="A430" s="89">
        <v>2</v>
      </c>
      <c r="B430" s="89" t="s">
        <v>26</v>
      </c>
      <c r="C430" s="89" t="s">
        <v>29</v>
      </c>
      <c r="D430" s="342"/>
      <c r="E430" s="343"/>
      <c r="F430" s="343"/>
      <c r="G430" s="343"/>
      <c r="H430" s="343"/>
      <c r="I430" s="343"/>
      <c r="J430" s="343"/>
      <c r="K430" s="343"/>
      <c r="L430" s="343"/>
      <c r="M430" s="343"/>
      <c r="N430" s="343"/>
      <c r="O430" s="343"/>
      <c r="P430" s="343"/>
      <c r="Q430" s="343"/>
      <c r="R430" s="343"/>
      <c r="S430" s="343"/>
      <c r="T430" s="343"/>
      <c r="U430" s="343"/>
      <c r="V430" s="343"/>
      <c r="W430" s="343"/>
      <c r="X430" s="343"/>
      <c r="Y430" s="343"/>
      <c r="Z430" s="343"/>
      <c r="AA430" s="343"/>
      <c r="AB430" s="343"/>
      <c r="AC430" s="343"/>
      <c r="AD430" s="343"/>
      <c r="AE430" s="343"/>
      <c r="AF430" s="343"/>
      <c r="AG430" s="343"/>
      <c r="AH430" s="343"/>
      <c r="AI430" s="343"/>
      <c r="AJ430" s="343"/>
      <c r="AK430" s="343"/>
      <c r="AL430" s="343"/>
      <c r="AM430" s="343"/>
      <c r="AN430" s="343"/>
      <c r="AO430" s="343"/>
      <c r="AP430" s="343"/>
      <c r="AQ430" s="343"/>
      <c r="AR430" s="343"/>
      <c r="AS430" s="344"/>
      <c r="AT430" s="34"/>
    </row>
    <row r="431" spans="1:46" ht="18" customHeight="1" x14ac:dyDescent="0.25">
      <c r="A431" s="89">
        <v>3</v>
      </c>
      <c r="B431" s="89" t="s">
        <v>27</v>
      </c>
      <c r="C431" s="89" t="s">
        <v>28</v>
      </c>
      <c r="D431" s="342"/>
      <c r="E431" s="343"/>
      <c r="F431" s="343"/>
      <c r="G431" s="343"/>
      <c r="H431" s="343"/>
      <c r="I431" s="343"/>
      <c r="J431" s="343"/>
      <c r="K431" s="343"/>
      <c r="L431" s="343"/>
      <c r="M431" s="343"/>
      <c r="N431" s="343"/>
      <c r="O431" s="343"/>
      <c r="P431" s="343"/>
      <c r="Q431" s="343"/>
      <c r="R431" s="343"/>
      <c r="S431" s="343"/>
      <c r="T431" s="343"/>
      <c r="U431" s="343"/>
      <c r="V431" s="343"/>
      <c r="W431" s="343"/>
      <c r="X431" s="343"/>
      <c r="Y431" s="343"/>
      <c r="Z431" s="343"/>
      <c r="AA431" s="343"/>
      <c r="AB431" s="343"/>
      <c r="AC431" s="343"/>
      <c r="AD431" s="343"/>
      <c r="AE431" s="343"/>
      <c r="AF431" s="343"/>
      <c r="AG431" s="343"/>
      <c r="AH431" s="343"/>
      <c r="AI431" s="343"/>
      <c r="AJ431" s="343"/>
      <c r="AK431" s="343"/>
      <c r="AL431" s="343"/>
      <c r="AM431" s="343"/>
      <c r="AN431" s="343"/>
      <c r="AO431" s="343"/>
      <c r="AP431" s="343"/>
      <c r="AQ431" s="343"/>
      <c r="AR431" s="343"/>
      <c r="AS431" s="344"/>
      <c r="AT431" s="34"/>
    </row>
    <row r="432" spans="1:46" ht="18" customHeight="1" x14ac:dyDescent="0.25">
      <c r="A432" s="89">
        <v>4</v>
      </c>
      <c r="B432" s="89" t="s">
        <v>31</v>
      </c>
      <c r="C432" s="24" t="s">
        <v>92</v>
      </c>
      <c r="D432" s="345"/>
      <c r="E432" s="346"/>
      <c r="F432" s="346"/>
      <c r="G432" s="346"/>
      <c r="H432" s="346"/>
      <c r="I432" s="346"/>
      <c r="J432" s="346"/>
      <c r="K432" s="346"/>
      <c r="L432" s="346"/>
      <c r="M432" s="346"/>
      <c r="N432" s="346"/>
      <c r="O432" s="346"/>
      <c r="P432" s="346"/>
      <c r="Q432" s="346"/>
      <c r="R432" s="346"/>
      <c r="S432" s="346"/>
      <c r="T432" s="346"/>
      <c r="U432" s="346"/>
      <c r="V432" s="346"/>
      <c r="W432" s="346"/>
      <c r="X432" s="346"/>
      <c r="Y432" s="346"/>
      <c r="Z432" s="346"/>
      <c r="AA432" s="346"/>
      <c r="AB432" s="346"/>
      <c r="AC432" s="346"/>
      <c r="AD432" s="346"/>
      <c r="AE432" s="346"/>
      <c r="AF432" s="346"/>
      <c r="AG432" s="346"/>
      <c r="AH432" s="346"/>
      <c r="AI432" s="346"/>
      <c r="AJ432" s="346"/>
      <c r="AK432" s="346"/>
      <c r="AL432" s="346"/>
      <c r="AM432" s="346"/>
      <c r="AN432" s="346"/>
      <c r="AO432" s="346"/>
      <c r="AP432" s="346"/>
      <c r="AQ432" s="346"/>
      <c r="AR432" s="346"/>
      <c r="AS432" s="347"/>
      <c r="AT432" s="34"/>
    </row>
    <row r="433" spans="1:46" ht="18" customHeight="1" x14ac:dyDescent="0.25">
      <c r="A433" s="97"/>
      <c r="B433" s="154" t="s">
        <v>299</v>
      </c>
      <c r="C433" s="155"/>
      <c r="D433" s="155"/>
      <c r="E433" s="155"/>
      <c r="F433" s="155"/>
      <c r="G433" s="155"/>
      <c r="H433" s="155"/>
      <c r="I433" s="155"/>
      <c r="J433" s="155"/>
      <c r="K433" s="155"/>
      <c r="L433" s="155"/>
      <c r="M433" s="155"/>
      <c r="N433" s="155"/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  <c r="AC433" s="155"/>
      <c r="AD433" s="155"/>
      <c r="AE433" s="155"/>
      <c r="AF433" s="155"/>
      <c r="AG433" s="155"/>
      <c r="AH433" s="155"/>
      <c r="AI433" s="155"/>
      <c r="AJ433" s="155"/>
      <c r="AK433" s="155"/>
      <c r="AL433" s="155"/>
      <c r="AM433" s="155"/>
      <c r="AN433" s="155"/>
      <c r="AO433" s="155"/>
      <c r="AP433" s="155"/>
      <c r="AQ433" s="155"/>
      <c r="AR433" s="155"/>
      <c r="AS433" s="155"/>
      <c r="AT433" s="34"/>
    </row>
    <row r="434" spans="1:46" ht="18" customHeight="1" x14ac:dyDescent="0.25">
      <c r="A434" s="89">
        <v>1</v>
      </c>
      <c r="B434" s="89" t="s">
        <v>30</v>
      </c>
      <c r="C434" s="89" t="s">
        <v>28</v>
      </c>
      <c r="D434" s="218" t="s">
        <v>424</v>
      </c>
      <c r="E434" s="219"/>
      <c r="F434" s="219"/>
      <c r="G434" s="219"/>
      <c r="H434" s="219"/>
      <c r="I434" s="219"/>
      <c r="J434" s="219"/>
      <c r="K434" s="219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9"/>
      <c r="W434" s="219"/>
      <c r="X434" s="219"/>
      <c r="Y434" s="219"/>
      <c r="Z434" s="219"/>
      <c r="AA434" s="219"/>
      <c r="AB434" s="219"/>
      <c r="AC434" s="219"/>
      <c r="AD434" s="219"/>
      <c r="AE434" s="219"/>
      <c r="AF434" s="219"/>
      <c r="AG434" s="219"/>
      <c r="AH434" s="219"/>
      <c r="AI434" s="219"/>
      <c r="AJ434" s="219"/>
      <c r="AK434" s="219"/>
      <c r="AL434" s="219"/>
      <c r="AM434" s="219"/>
      <c r="AN434" s="219"/>
      <c r="AO434" s="219"/>
      <c r="AP434" s="219"/>
      <c r="AQ434" s="219"/>
      <c r="AR434" s="219"/>
      <c r="AS434" s="220"/>
      <c r="AT434" s="34"/>
    </row>
    <row r="435" spans="1:46" ht="18" customHeight="1" x14ac:dyDescent="0.25">
      <c r="A435" s="89">
        <v>2</v>
      </c>
      <c r="B435" s="89" t="s">
        <v>26</v>
      </c>
      <c r="C435" s="89" t="s">
        <v>29</v>
      </c>
      <c r="D435" s="218" t="s">
        <v>423</v>
      </c>
      <c r="E435" s="219"/>
      <c r="F435" s="219"/>
      <c r="G435" s="219"/>
      <c r="H435" s="219"/>
      <c r="I435" s="219"/>
      <c r="J435" s="219"/>
      <c r="K435" s="219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9"/>
      <c r="W435" s="219"/>
      <c r="X435" s="219"/>
      <c r="Y435" s="219"/>
      <c r="Z435" s="219"/>
      <c r="AA435" s="219"/>
      <c r="AB435" s="219"/>
      <c r="AC435" s="219"/>
      <c r="AD435" s="219"/>
      <c r="AE435" s="219"/>
      <c r="AF435" s="219"/>
      <c r="AG435" s="219"/>
      <c r="AH435" s="219"/>
      <c r="AI435" s="219"/>
      <c r="AJ435" s="219"/>
      <c r="AK435" s="219"/>
      <c r="AL435" s="219"/>
      <c r="AM435" s="219"/>
      <c r="AN435" s="219"/>
      <c r="AO435" s="219"/>
      <c r="AP435" s="219"/>
      <c r="AQ435" s="219"/>
      <c r="AR435" s="219"/>
      <c r="AS435" s="220"/>
      <c r="AT435" s="34"/>
    </row>
    <row r="436" spans="1:46" ht="18" customHeight="1" x14ac:dyDescent="0.25">
      <c r="A436" s="89">
        <v>3</v>
      </c>
      <c r="B436" s="89" t="s">
        <v>27</v>
      </c>
      <c r="C436" s="89" t="s">
        <v>28</v>
      </c>
      <c r="D436" s="218" t="s">
        <v>424</v>
      </c>
      <c r="E436" s="219"/>
      <c r="F436" s="219"/>
      <c r="G436" s="219"/>
      <c r="H436" s="219"/>
      <c r="I436" s="219"/>
      <c r="J436" s="219"/>
      <c r="K436" s="219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9"/>
      <c r="W436" s="219"/>
      <c r="X436" s="219"/>
      <c r="Y436" s="219"/>
      <c r="Z436" s="219"/>
      <c r="AA436" s="219"/>
      <c r="AB436" s="219"/>
      <c r="AC436" s="219"/>
      <c r="AD436" s="219"/>
      <c r="AE436" s="219"/>
      <c r="AF436" s="219"/>
      <c r="AG436" s="219"/>
      <c r="AH436" s="219"/>
      <c r="AI436" s="219"/>
      <c r="AJ436" s="219"/>
      <c r="AK436" s="219"/>
      <c r="AL436" s="219"/>
      <c r="AM436" s="219"/>
      <c r="AN436" s="219"/>
      <c r="AO436" s="219"/>
      <c r="AP436" s="219"/>
      <c r="AQ436" s="219"/>
      <c r="AR436" s="219"/>
      <c r="AS436" s="220"/>
      <c r="AT436" s="34"/>
    </row>
    <row r="437" spans="1:46" ht="18" customHeight="1" x14ac:dyDescent="0.25">
      <c r="A437" s="89">
        <v>4</v>
      </c>
      <c r="B437" s="89" t="s">
        <v>31</v>
      </c>
      <c r="C437" s="24" t="s">
        <v>92</v>
      </c>
      <c r="D437" s="218" t="s">
        <v>423</v>
      </c>
      <c r="E437" s="219"/>
      <c r="F437" s="219"/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9"/>
      <c r="W437" s="219"/>
      <c r="X437" s="219"/>
      <c r="Y437" s="219"/>
      <c r="Z437" s="219"/>
      <c r="AA437" s="219"/>
      <c r="AB437" s="219"/>
      <c r="AC437" s="219"/>
      <c r="AD437" s="219"/>
      <c r="AE437" s="219"/>
      <c r="AF437" s="219"/>
      <c r="AG437" s="219"/>
      <c r="AH437" s="219"/>
      <c r="AI437" s="219"/>
      <c r="AJ437" s="219"/>
      <c r="AK437" s="219"/>
      <c r="AL437" s="219"/>
      <c r="AM437" s="219"/>
      <c r="AN437" s="219"/>
      <c r="AO437" s="219"/>
      <c r="AP437" s="219"/>
      <c r="AQ437" s="219"/>
      <c r="AR437" s="219"/>
      <c r="AS437" s="220"/>
      <c r="AT437" s="34"/>
    </row>
    <row r="438" spans="1:46" ht="18" customHeight="1" x14ac:dyDescent="0.25">
      <c r="AT438" s="34"/>
    </row>
    <row r="439" spans="1:46" ht="18" customHeight="1" x14ac:dyDescent="0.25">
      <c r="A439" s="98" t="s">
        <v>86</v>
      </c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T439" s="13"/>
      <c r="U439" s="13"/>
      <c r="V439" s="13"/>
      <c r="W439" s="13"/>
      <c r="X439" s="13"/>
      <c r="Y439" s="13"/>
      <c r="Z439" s="13"/>
      <c r="AA439" s="13"/>
      <c r="AB439" s="13"/>
      <c r="AC439" s="65"/>
      <c r="AD439" s="65"/>
      <c r="AE439" s="65"/>
      <c r="AF439" s="65"/>
      <c r="AG439" s="14"/>
      <c r="AH439" s="14"/>
      <c r="AI439" s="144"/>
      <c r="AJ439" s="144"/>
      <c r="AK439" s="66"/>
      <c r="AL439" s="67"/>
      <c r="AM439" s="33"/>
      <c r="AN439" s="66"/>
      <c r="AO439" s="66"/>
      <c r="AP439" s="66"/>
      <c r="AQ439" s="66"/>
      <c r="AR439" s="33"/>
      <c r="AS439" s="34"/>
      <c r="AT439" s="34"/>
    </row>
    <row r="440" spans="1:46" ht="35.25" customHeight="1" x14ac:dyDescent="0.25">
      <c r="A440" s="314" t="s">
        <v>441</v>
      </c>
      <c r="B440" s="314"/>
      <c r="C440" s="314"/>
      <c r="D440" s="314"/>
      <c r="E440" s="314"/>
      <c r="F440" s="314"/>
      <c r="G440" s="314"/>
      <c r="H440" s="314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4"/>
      <c r="W440" s="314"/>
      <c r="X440" s="314"/>
      <c r="Y440" s="314"/>
      <c r="Z440" s="314"/>
      <c r="AA440" s="314"/>
      <c r="AB440" s="314"/>
      <c r="AC440" s="314"/>
      <c r="AD440" s="314"/>
      <c r="AE440" s="314"/>
      <c r="AF440" s="314"/>
      <c r="AG440" s="314"/>
      <c r="AH440" s="314"/>
      <c r="AI440" s="314"/>
      <c r="AJ440" s="314"/>
      <c r="AK440" s="314"/>
      <c r="AL440" s="314"/>
      <c r="AM440" s="314"/>
      <c r="AN440" s="314"/>
      <c r="AO440" s="314"/>
      <c r="AP440" s="314"/>
      <c r="AQ440" s="314"/>
      <c r="AR440" s="314"/>
      <c r="AS440" s="314"/>
      <c r="AT440" s="34"/>
    </row>
    <row r="441" spans="1:46" x14ac:dyDescent="0.25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3"/>
      <c r="AD441" s="13"/>
      <c r="AE441" s="13"/>
      <c r="AF441" s="13"/>
      <c r="AG441" s="13"/>
      <c r="AH441" s="13"/>
    </row>
    <row r="442" spans="1:46" ht="15.75" x14ac:dyDescent="0.25">
      <c r="A442" s="62" t="s">
        <v>63</v>
      </c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3"/>
      <c r="AD442" s="13"/>
      <c r="AE442" s="13"/>
      <c r="AF442" s="13"/>
      <c r="AG442" s="13"/>
      <c r="AH442" s="13"/>
    </row>
    <row r="443" spans="1:46" x14ac:dyDescent="0.25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3"/>
      <c r="AD443" s="13"/>
      <c r="AE443" s="13"/>
      <c r="AF443" s="13"/>
      <c r="AG443" s="13"/>
      <c r="AH443" s="13"/>
    </row>
    <row r="444" spans="1:46" ht="15.75" x14ac:dyDescent="0.25">
      <c r="B444" s="62" t="s">
        <v>443</v>
      </c>
    </row>
    <row r="446" spans="1:46" ht="15.75" x14ac:dyDescent="0.25">
      <c r="B446" s="3"/>
    </row>
    <row r="447" spans="1:46" ht="32.25" customHeight="1" x14ac:dyDescent="0.25">
      <c r="B447" s="150" t="s">
        <v>210</v>
      </c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F447" s="318"/>
      <c r="AG447" s="318"/>
      <c r="AL447" s="315" t="s">
        <v>87</v>
      </c>
      <c r="AM447" s="315"/>
      <c r="AN447" s="315"/>
    </row>
    <row r="448" spans="1:46" ht="15.75" x14ac:dyDescent="0.25">
      <c r="B448" s="11"/>
      <c r="AF448" s="319" t="s">
        <v>20</v>
      </c>
      <c r="AG448" s="319"/>
      <c r="AL448" s="316" t="s">
        <v>88</v>
      </c>
      <c r="AM448" s="316"/>
      <c r="AN448" s="316"/>
    </row>
    <row r="449" spans="2:40" x14ac:dyDescent="0.25">
      <c r="AF449" s="63"/>
      <c r="AG449" s="63"/>
      <c r="AL449" s="82"/>
    </row>
    <row r="450" spans="2:40" ht="9" customHeight="1" x14ac:dyDescent="0.25">
      <c r="B450" s="32"/>
    </row>
    <row r="451" spans="2:40" ht="32.25" customHeight="1" x14ac:dyDescent="0.25">
      <c r="B451" s="317" t="s">
        <v>73</v>
      </c>
      <c r="C451" s="317"/>
      <c r="D451" s="317"/>
      <c r="E451" s="317"/>
      <c r="F451" s="317"/>
      <c r="G451" s="317"/>
      <c r="H451" s="317"/>
      <c r="I451" s="317"/>
      <c r="J451" s="317"/>
      <c r="K451" s="317"/>
      <c r="L451" s="317"/>
      <c r="M451" s="317"/>
      <c r="N451" s="317"/>
      <c r="O451" s="317"/>
      <c r="P451" s="317"/>
      <c r="Q451" s="317"/>
      <c r="R451" s="317"/>
      <c r="S451" s="317"/>
      <c r="T451" s="317"/>
      <c r="U451" s="317"/>
      <c r="V451" s="317"/>
      <c r="W451" s="317"/>
      <c r="X451" s="317"/>
      <c r="Y451" s="317"/>
      <c r="Z451" s="317"/>
      <c r="AA451" s="317"/>
      <c r="AB451" s="317"/>
      <c r="AC451" s="317"/>
      <c r="AF451" s="318"/>
      <c r="AG451" s="318"/>
      <c r="AL451" s="315" t="s">
        <v>89</v>
      </c>
      <c r="AM451" s="315"/>
      <c r="AN451" s="315"/>
    </row>
    <row r="452" spans="2:40" x14ac:dyDescent="0.25">
      <c r="AF452" s="319" t="s">
        <v>20</v>
      </c>
      <c r="AG452" s="319"/>
      <c r="AL452" s="316" t="s">
        <v>88</v>
      </c>
      <c r="AM452" s="316"/>
      <c r="AN452" s="316"/>
    </row>
  </sheetData>
  <mergeCells count="1247">
    <mergeCell ref="D410:AS410"/>
    <mergeCell ref="D415:AS415"/>
    <mergeCell ref="D420:AS420"/>
    <mergeCell ref="D424:AS424"/>
    <mergeCell ref="D425:AS425"/>
    <mergeCell ref="D426:AS426"/>
    <mergeCell ref="D421:AS421"/>
    <mergeCell ref="D422:AS422"/>
    <mergeCell ref="D412:AS412"/>
    <mergeCell ref="B413:AS413"/>
    <mergeCell ref="AN207:AO207"/>
    <mergeCell ref="D427:AS427"/>
    <mergeCell ref="D429:AS432"/>
    <mergeCell ref="D434:AS434"/>
    <mergeCell ref="D435:AS435"/>
    <mergeCell ref="D436:AS436"/>
    <mergeCell ref="AN373:AO373"/>
    <mergeCell ref="AD378:AF378"/>
    <mergeCell ref="D395:AS395"/>
    <mergeCell ref="D400:AS400"/>
    <mergeCell ref="AI205:AJ205"/>
    <mergeCell ref="AI196:AJ196"/>
    <mergeCell ref="AG196:AH196"/>
    <mergeCell ref="B206:AF206"/>
    <mergeCell ref="AG206:AH206"/>
    <mergeCell ref="AI206:AJ206"/>
    <mergeCell ref="AG205:AH205"/>
    <mergeCell ref="AI197:AJ197"/>
    <mergeCell ref="AI198:AJ198"/>
    <mergeCell ref="AI199:AJ199"/>
    <mergeCell ref="AI200:AJ200"/>
    <mergeCell ref="AI201:AJ201"/>
    <mergeCell ref="AI202:AJ202"/>
    <mergeCell ref="AI203:AJ203"/>
    <mergeCell ref="AI204:AJ204"/>
    <mergeCell ref="B204:AF204"/>
    <mergeCell ref="B205:AF205"/>
    <mergeCell ref="AG197:AH197"/>
    <mergeCell ref="AG198:AH198"/>
    <mergeCell ref="AG199:AH199"/>
    <mergeCell ref="AG200:AH200"/>
    <mergeCell ref="AG201:AH201"/>
    <mergeCell ref="AG202:AH202"/>
    <mergeCell ref="AG203:AH203"/>
    <mergeCell ref="D405:AS405"/>
    <mergeCell ref="B198:AF198"/>
    <mergeCell ref="B199:AF199"/>
    <mergeCell ref="B200:AF200"/>
    <mergeCell ref="B201:AF201"/>
    <mergeCell ref="B202:AF202"/>
    <mergeCell ref="AN367:AO367"/>
    <mergeCell ref="AN368:AO368"/>
    <mergeCell ref="AN369:AO369"/>
    <mergeCell ref="AN370:AO370"/>
    <mergeCell ref="AN371:AO371"/>
    <mergeCell ref="AN372:AO372"/>
    <mergeCell ref="AN336:AO336"/>
    <mergeCell ref="AN337:AO337"/>
    <mergeCell ref="AD342:AF342"/>
    <mergeCell ref="AD355:AF355"/>
    <mergeCell ref="AD356:AF356"/>
    <mergeCell ref="AD357:AF357"/>
    <mergeCell ref="AD363:AF363"/>
    <mergeCell ref="AD365:AF365"/>
    <mergeCell ref="AD335:AF335"/>
    <mergeCell ref="AN327:AO327"/>
    <mergeCell ref="AN328:AO328"/>
    <mergeCell ref="AI334:AJ334"/>
    <mergeCell ref="AI335:AJ335"/>
    <mergeCell ref="AD334:AF334"/>
    <mergeCell ref="AG331:AH331"/>
    <mergeCell ref="AG332:AH332"/>
    <mergeCell ref="AG333:AH333"/>
    <mergeCell ref="AG334:AH334"/>
    <mergeCell ref="AD316:AF316"/>
    <mergeCell ref="AD317:AF317"/>
    <mergeCell ref="AD312:AF312"/>
    <mergeCell ref="AD322:AF322"/>
    <mergeCell ref="AD324:AF324"/>
    <mergeCell ref="AD320:AF320"/>
    <mergeCell ref="AD314:AF314"/>
    <mergeCell ref="AD313:AF313"/>
    <mergeCell ref="AD308:AF308"/>
    <mergeCell ref="AD309:AF309"/>
    <mergeCell ref="AD310:AF310"/>
    <mergeCell ref="AD311:AF311"/>
    <mergeCell ref="AD315:AF315"/>
    <mergeCell ref="AI294:AJ294"/>
    <mergeCell ref="AD295:AF295"/>
    <mergeCell ref="AD296:AF296"/>
    <mergeCell ref="AD298:AF298"/>
    <mergeCell ref="AD299:AF299"/>
    <mergeCell ref="AD376:AF376"/>
    <mergeCell ref="AD285:AF285"/>
    <mergeCell ref="AN287:AO287"/>
    <mergeCell ref="AN288:AO288"/>
    <mergeCell ref="AN289:AO289"/>
    <mergeCell ref="AD294:AF294"/>
    <mergeCell ref="AI290:AJ290"/>
    <mergeCell ref="AI287:AJ287"/>
    <mergeCell ref="AI288:AJ288"/>
    <mergeCell ref="AD286:AF286"/>
    <mergeCell ref="AD354:AF354"/>
    <mergeCell ref="AD379:AF379"/>
    <mergeCell ref="AD377:AF377"/>
    <mergeCell ref="AD381:AF381"/>
    <mergeCell ref="AD372:AF372"/>
    <mergeCell ref="AD370:AF370"/>
    <mergeCell ref="AD368:AF368"/>
    <mergeCell ref="AD369:AF369"/>
    <mergeCell ref="AD373:AF373"/>
    <mergeCell ref="AD371:AF371"/>
    <mergeCell ref="AD347:AF347"/>
    <mergeCell ref="AD348:AF348"/>
    <mergeCell ref="AD349:AF349"/>
    <mergeCell ref="AD350:AF350"/>
    <mergeCell ref="AD351:AF351"/>
    <mergeCell ref="AD353:AF353"/>
    <mergeCell ref="AD266:AF266"/>
    <mergeCell ref="B213:AQ213"/>
    <mergeCell ref="AD352:AF352"/>
    <mergeCell ref="AD340:AF340"/>
    <mergeCell ref="AD341:AF341"/>
    <mergeCell ref="AD338:AF338"/>
    <mergeCell ref="AD339:AF339"/>
    <mergeCell ref="AD343:AF343"/>
    <mergeCell ref="AD345:AF345"/>
    <mergeCell ref="AD284:AF284"/>
    <mergeCell ref="B196:AF196"/>
    <mergeCell ref="AG172:AH172"/>
    <mergeCell ref="AD306:AF306"/>
    <mergeCell ref="AD305:AF305"/>
    <mergeCell ref="C38:AQ38"/>
    <mergeCell ref="C37:AQ37"/>
    <mergeCell ref="C41:AQ41"/>
    <mergeCell ref="AD259:AF259"/>
    <mergeCell ref="AD260:AF260"/>
    <mergeCell ref="AD270:AF270"/>
    <mergeCell ref="AI157:AJ157"/>
    <mergeCell ref="AI158:AJ158"/>
    <mergeCell ref="AI160:AJ160"/>
    <mergeCell ref="AI161:AJ161"/>
    <mergeCell ref="AI162:AJ162"/>
    <mergeCell ref="AG170:AH170"/>
    <mergeCell ref="AG158:AH158"/>
    <mergeCell ref="AI168:AJ168"/>
    <mergeCell ref="AI152:AJ152"/>
    <mergeCell ref="AI154:AJ154"/>
    <mergeCell ref="AI84:AJ84"/>
    <mergeCell ref="AI85:AJ85"/>
    <mergeCell ref="AI86:AJ86"/>
    <mergeCell ref="AI87:AJ87"/>
    <mergeCell ref="AI94:AJ94"/>
    <mergeCell ref="AI95:AJ95"/>
    <mergeCell ref="AI96:AJ96"/>
    <mergeCell ref="AI97:AJ97"/>
    <mergeCell ref="D387:AS387"/>
    <mergeCell ref="B433:AS433"/>
    <mergeCell ref="AI359:AJ359"/>
    <mergeCell ref="AI360:AJ360"/>
    <mergeCell ref="AI361:AJ361"/>
    <mergeCell ref="AI362:AJ362"/>
    <mergeCell ref="AI363:AJ363"/>
    <mergeCell ref="AI364:AJ364"/>
    <mergeCell ref="AD366:AF366"/>
    <mergeCell ref="AD367:AF367"/>
    <mergeCell ref="A440:AS440"/>
    <mergeCell ref="AL447:AN447"/>
    <mergeCell ref="AL451:AN451"/>
    <mergeCell ref="AL448:AN448"/>
    <mergeCell ref="AL452:AN452"/>
    <mergeCell ref="B451:AC451"/>
    <mergeCell ref="AF447:AG447"/>
    <mergeCell ref="AF452:AG452"/>
    <mergeCell ref="AF451:AG451"/>
    <mergeCell ref="AF448:AG448"/>
    <mergeCell ref="AI352:AJ352"/>
    <mergeCell ref="AI353:AJ353"/>
    <mergeCell ref="AI354:AJ354"/>
    <mergeCell ref="AI355:AJ355"/>
    <mergeCell ref="AI356:AJ356"/>
    <mergeCell ref="AI357:AJ357"/>
    <mergeCell ref="AI346:AJ346"/>
    <mergeCell ref="AI347:AJ347"/>
    <mergeCell ref="AI348:AJ348"/>
    <mergeCell ref="AI349:AJ349"/>
    <mergeCell ref="AI350:AJ350"/>
    <mergeCell ref="AI351:AJ351"/>
    <mergeCell ref="AI340:AJ340"/>
    <mergeCell ref="AI341:AJ341"/>
    <mergeCell ref="AI342:AJ342"/>
    <mergeCell ref="AI343:AJ343"/>
    <mergeCell ref="AI344:AJ344"/>
    <mergeCell ref="AI345:AJ345"/>
    <mergeCell ref="AI336:AJ336"/>
    <mergeCell ref="AI337:AJ337"/>
    <mergeCell ref="AI338:AJ338"/>
    <mergeCell ref="AI339:AJ339"/>
    <mergeCell ref="AI328:AJ328"/>
    <mergeCell ref="AI329:AJ329"/>
    <mergeCell ref="AI330:AJ330"/>
    <mergeCell ref="AI331:AJ331"/>
    <mergeCell ref="AI332:AJ332"/>
    <mergeCell ref="AI333:AJ333"/>
    <mergeCell ref="AI322:AJ322"/>
    <mergeCell ref="AI323:AJ323"/>
    <mergeCell ref="AI324:AJ324"/>
    <mergeCell ref="AI325:AJ325"/>
    <mergeCell ref="AI326:AJ326"/>
    <mergeCell ref="AI327:AJ327"/>
    <mergeCell ref="AI319:AJ319"/>
    <mergeCell ref="AI320:AJ320"/>
    <mergeCell ref="AI321:AJ321"/>
    <mergeCell ref="AD274:AF274"/>
    <mergeCell ref="AD276:AF276"/>
    <mergeCell ref="AD277:AF277"/>
    <mergeCell ref="AD282:AF282"/>
    <mergeCell ref="AI318:AJ318"/>
    <mergeCell ref="AI313:AJ313"/>
    <mergeCell ref="AI314:AJ314"/>
    <mergeCell ref="AI98:AJ98"/>
    <mergeCell ref="B203:AF203"/>
    <mergeCell ref="AI155:AJ155"/>
    <mergeCell ref="AI156:AJ156"/>
    <mergeCell ref="AI150:AJ150"/>
    <mergeCell ref="AI151:AJ151"/>
    <mergeCell ref="AI159:AJ159"/>
    <mergeCell ref="AD172:AE172"/>
    <mergeCell ref="B165:E165"/>
    <mergeCell ref="B170:Z170"/>
    <mergeCell ref="AI88:AJ88"/>
    <mergeCell ref="AI89:AJ89"/>
    <mergeCell ref="AI90:AJ90"/>
    <mergeCell ref="AI91:AJ91"/>
    <mergeCell ref="AI312:AJ312"/>
    <mergeCell ref="AI172:AJ172"/>
    <mergeCell ref="AI292:AJ292"/>
    <mergeCell ref="AI293:AJ293"/>
    <mergeCell ref="AI289:AJ289"/>
    <mergeCell ref="AI296:AJ296"/>
    <mergeCell ref="AI315:AJ315"/>
    <mergeCell ref="AI316:AJ316"/>
    <mergeCell ref="AI317:AJ317"/>
    <mergeCell ref="AI306:AJ306"/>
    <mergeCell ref="AI307:AJ307"/>
    <mergeCell ref="AI308:AJ308"/>
    <mergeCell ref="AI309:AJ309"/>
    <mergeCell ref="AI310:AJ310"/>
    <mergeCell ref="AI311:AJ311"/>
    <mergeCell ref="AI82:AJ82"/>
    <mergeCell ref="AI83:AJ83"/>
    <mergeCell ref="AI302:AJ302"/>
    <mergeCell ref="AI303:AJ303"/>
    <mergeCell ref="AI304:AJ304"/>
    <mergeCell ref="AI305:AJ305"/>
    <mergeCell ref="AI92:AJ92"/>
    <mergeCell ref="AI93:AJ93"/>
    <mergeCell ref="AI148:AJ148"/>
    <mergeCell ref="AI149:AJ149"/>
    <mergeCell ref="AG57:AH57"/>
    <mergeCell ref="AG58:AH58"/>
    <mergeCell ref="AD9:AM9"/>
    <mergeCell ref="B22:AS22"/>
    <mergeCell ref="AC27:AL27"/>
    <mergeCell ref="AR211:AT211"/>
    <mergeCell ref="B163:E163"/>
    <mergeCell ref="AI169:AJ169"/>
    <mergeCell ref="AG173:AH173"/>
    <mergeCell ref="AD10:AM10"/>
    <mergeCell ref="AI81:AJ81"/>
    <mergeCell ref="AG166:AH166"/>
    <mergeCell ref="AG47:AH47"/>
    <mergeCell ref="AG46:AL46"/>
    <mergeCell ref="AI163:AJ163"/>
    <mergeCell ref="AG163:AH163"/>
    <mergeCell ref="AI164:AJ164"/>
    <mergeCell ref="AG55:AH55"/>
    <mergeCell ref="AG56:AH56"/>
    <mergeCell ref="AI79:AJ79"/>
    <mergeCell ref="AI73:AJ73"/>
    <mergeCell ref="AI80:AJ80"/>
    <mergeCell ref="AM46:AQ46"/>
    <mergeCell ref="AI171:AJ171"/>
    <mergeCell ref="C24:AQ24"/>
    <mergeCell ref="A211:A212"/>
    <mergeCell ref="AI212:AJ212"/>
    <mergeCell ref="AG164:AH164"/>
    <mergeCell ref="AM193:AQ193"/>
    <mergeCell ref="B169:E169"/>
    <mergeCell ref="AI67:AJ67"/>
    <mergeCell ref="AI47:AJ47"/>
    <mergeCell ref="AI173:AJ173"/>
    <mergeCell ref="AG171:AH171"/>
    <mergeCell ref="A193:A194"/>
    <mergeCell ref="AG169:AH169"/>
    <mergeCell ref="B173:E173"/>
    <mergeCell ref="AI76:AJ76"/>
    <mergeCell ref="AI77:AJ77"/>
    <mergeCell ref="AI78:AJ78"/>
    <mergeCell ref="C25:AQ25"/>
    <mergeCell ref="C36:AQ36"/>
    <mergeCell ref="A46:A47"/>
    <mergeCell ref="B48:E48"/>
    <mergeCell ref="AI48:AJ48"/>
    <mergeCell ref="AG48:AH48"/>
    <mergeCell ref="AC46:AF46"/>
    <mergeCell ref="B46:E47"/>
    <mergeCell ref="C39:AQ39"/>
    <mergeCell ref="C40:AQ40"/>
    <mergeCell ref="AI70:AJ70"/>
    <mergeCell ref="AI71:AJ71"/>
    <mergeCell ref="AI72:AJ72"/>
    <mergeCell ref="B164:E164"/>
    <mergeCell ref="AD164:AE164"/>
    <mergeCell ref="B136:E136"/>
    <mergeCell ref="B137:E137"/>
    <mergeCell ref="B138:E138"/>
    <mergeCell ref="AI74:AJ74"/>
    <mergeCell ref="AI75:AJ75"/>
    <mergeCell ref="AI297:AJ297"/>
    <mergeCell ref="AI298:AJ298"/>
    <mergeCell ref="AI299:AJ299"/>
    <mergeCell ref="AI300:AJ300"/>
    <mergeCell ref="AI301:AJ301"/>
    <mergeCell ref="D417:AS417"/>
    <mergeCell ref="D416:AS416"/>
    <mergeCell ref="D394:AS394"/>
    <mergeCell ref="D399:AS399"/>
    <mergeCell ref="AG355:AH355"/>
    <mergeCell ref="B418:AS418"/>
    <mergeCell ref="D419:AS419"/>
    <mergeCell ref="AR20:AS20"/>
    <mergeCell ref="AR13:AS13"/>
    <mergeCell ref="AC14:AN14"/>
    <mergeCell ref="AR14:AS14"/>
    <mergeCell ref="AC16:AN16"/>
    <mergeCell ref="AR16:AS16"/>
    <mergeCell ref="AC13:AN13"/>
    <mergeCell ref="E20:AC20"/>
    <mergeCell ref="AI20:AN20"/>
    <mergeCell ref="AF20:AG20"/>
    <mergeCell ref="B19:C19"/>
    <mergeCell ref="E19:AC19"/>
    <mergeCell ref="AI19:AN19"/>
    <mergeCell ref="B13:C13"/>
    <mergeCell ref="B14:C14"/>
    <mergeCell ref="B17:C17"/>
    <mergeCell ref="B16:C16"/>
    <mergeCell ref="AR17:AS17"/>
    <mergeCell ref="C35:AQ35"/>
    <mergeCell ref="C31:AQ31"/>
    <mergeCell ref="C32:AQ32"/>
    <mergeCell ref="C33:AQ33"/>
    <mergeCell ref="C34:AQ34"/>
    <mergeCell ref="AR19:AS19"/>
    <mergeCell ref="B20:C20"/>
    <mergeCell ref="AC17:AN17"/>
    <mergeCell ref="AF19:AG19"/>
    <mergeCell ref="AI295:AJ295"/>
    <mergeCell ref="AI62:AJ62"/>
    <mergeCell ref="AI63:AJ63"/>
    <mergeCell ref="AI64:AJ64"/>
    <mergeCell ref="AI65:AJ65"/>
    <mergeCell ref="AI66:AJ66"/>
    <mergeCell ref="AI170:AJ170"/>
    <mergeCell ref="AI68:AJ68"/>
    <mergeCell ref="AI69:AJ69"/>
    <mergeCell ref="AI283:AJ283"/>
    <mergeCell ref="AI55:AJ55"/>
    <mergeCell ref="AI56:AJ56"/>
    <mergeCell ref="AI57:AJ57"/>
    <mergeCell ref="AI58:AJ58"/>
    <mergeCell ref="AI59:AJ59"/>
    <mergeCell ref="AI60:AJ60"/>
    <mergeCell ref="AD211:AF212"/>
    <mergeCell ref="AG212:AH212"/>
    <mergeCell ref="AI195:AJ195"/>
    <mergeCell ref="AG195:AH195"/>
    <mergeCell ref="AI61:AJ61"/>
    <mergeCell ref="AI165:AJ165"/>
    <mergeCell ref="AD170:AE170"/>
    <mergeCell ref="AD171:AE171"/>
    <mergeCell ref="C182:AS182"/>
    <mergeCell ref="C188:AS188"/>
    <mergeCell ref="B428:AS428"/>
    <mergeCell ref="AI51:AJ51"/>
    <mergeCell ref="AI52:AJ52"/>
    <mergeCell ref="AI53:AJ53"/>
    <mergeCell ref="AI54:AJ54"/>
    <mergeCell ref="AI153:AJ153"/>
    <mergeCell ref="AI285:AJ285"/>
    <mergeCell ref="AI286:AJ286"/>
    <mergeCell ref="D414:AS414"/>
    <mergeCell ref="AD165:AE165"/>
    <mergeCell ref="B171:Z171"/>
    <mergeCell ref="B172:Z172"/>
    <mergeCell ref="C183:AS183"/>
    <mergeCell ref="C185:AS185"/>
    <mergeCell ref="D409:AS409"/>
    <mergeCell ref="D411:AS411"/>
    <mergeCell ref="AG214:AH214"/>
    <mergeCell ref="B195:AF195"/>
    <mergeCell ref="B197:AF197"/>
    <mergeCell ref="AI291:AJ291"/>
    <mergeCell ref="AI284:AJ284"/>
    <mergeCell ref="AI281:AJ281"/>
    <mergeCell ref="AI282:AJ282"/>
    <mergeCell ref="C178:AS178"/>
    <mergeCell ref="C179:AS179"/>
    <mergeCell ref="C180:AS180"/>
    <mergeCell ref="AI194:AJ194"/>
    <mergeCell ref="B193:AF194"/>
    <mergeCell ref="C187:AS187"/>
    <mergeCell ref="C181:AS181"/>
    <mergeCell ref="AI275:AJ275"/>
    <mergeCell ref="AI276:AJ276"/>
    <mergeCell ref="AI277:AJ277"/>
    <mergeCell ref="AI278:AJ278"/>
    <mergeCell ref="AI279:AJ279"/>
    <mergeCell ref="AI280:AJ280"/>
    <mergeCell ref="AI269:AJ269"/>
    <mergeCell ref="AI270:AJ270"/>
    <mergeCell ref="AI271:AJ271"/>
    <mergeCell ref="AI272:AJ272"/>
    <mergeCell ref="AI273:AJ273"/>
    <mergeCell ref="AI274:AJ274"/>
    <mergeCell ref="AI263:AJ263"/>
    <mergeCell ref="AI264:AJ264"/>
    <mergeCell ref="AI265:AJ265"/>
    <mergeCell ref="AI266:AJ266"/>
    <mergeCell ref="AI267:AJ267"/>
    <mergeCell ref="AI268:AJ268"/>
    <mergeCell ref="AI257:AJ257"/>
    <mergeCell ref="AI258:AJ258"/>
    <mergeCell ref="AI259:AJ259"/>
    <mergeCell ref="AI260:AJ260"/>
    <mergeCell ref="AI261:AJ261"/>
    <mergeCell ref="AI262:AJ262"/>
    <mergeCell ref="AI249:AJ249"/>
    <mergeCell ref="AI250:AJ250"/>
    <mergeCell ref="AI253:AJ253"/>
    <mergeCell ref="AI254:AJ254"/>
    <mergeCell ref="AI255:AJ255"/>
    <mergeCell ref="AI256:AJ256"/>
    <mergeCell ref="AI251:AJ251"/>
    <mergeCell ref="AR193:AT193"/>
    <mergeCell ref="C189:AS189"/>
    <mergeCell ref="AI252:AJ252"/>
    <mergeCell ref="AM211:AQ211"/>
    <mergeCell ref="B207:AF207"/>
    <mergeCell ref="AG207:AH207"/>
    <mergeCell ref="AI207:AJ207"/>
    <mergeCell ref="AI247:AJ247"/>
    <mergeCell ref="AI248:AJ248"/>
    <mergeCell ref="B230:T230"/>
    <mergeCell ref="B231:T231"/>
    <mergeCell ref="B232:T232"/>
    <mergeCell ref="B233:T233"/>
    <mergeCell ref="AI214:AJ214"/>
    <mergeCell ref="B211:E212"/>
    <mergeCell ref="B214:E214"/>
    <mergeCell ref="AD214:AF214"/>
    <mergeCell ref="AC211:AC212"/>
    <mergeCell ref="AG211:AL211"/>
    <mergeCell ref="B226:T226"/>
    <mergeCell ref="AG194:AH194"/>
    <mergeCell ref="AG193:AL193"/>
    <mergeCell ref="AG204:AH204"/>
    <mergeCell ref="AI241:AJ241"/>
    <mergeCell ref="AI242:AJ242"/>
    <mergeCell ref="AI243:AJ243"/>
    <mergeCell ref="AI235:AJ235"/>
    <mergeCell ref="AI236:AJ236"/>
    <mergeCell ref="AI237:AJ237"/>
    <mergeCell ref="AI238:AJ238"/>
    <mergeCell ref="AI244:AJ244"/>
    <mergeCell ref="AI245:AJ245"/>
    <mergeCell ref="AI246:AJ246"/>
    <mergeCell ref="D406:AS406"/>
    <mergeCell ref="D407:AS407"/>
    <mergeCell ref="B408:AS408"/>
    <mergeCell ref="D404:AS404"/>
    <mergeCell ref="D396:AS396"/>
    <mergeCell ref="D397:AS397"/>
    <mergeCell ref="B393:AS393"/>
    <mergeCell ref="AI239:AJ239"/>
    <mergeCell ref="AI240:AJ240"/>
    <mergeCell ref="AD263:AF263"/>
    <mergeCell ref="B388:AS388"/>
    <mergeCell ref="D392:AS392"/>
    <mergeCell ref="D389:AS389"/>
    <mergeCell ref="D390:AS390"/>
    <mergeCell ref="D391:AS391"/>
    <mergeCell ref="B245:T245"/>
    <mergeCell ref="B246:T246"/>
    <mergeCell ref="D437:AS437"/>
    <mergeCell ref="D401:AS401"/>
    <mergeCell ref="D402:AS402"/>
    <mergeCell ref="B403:AS403"/>
    <mergeCell ref="B423:AS423"/>
    <mergeCell ref="B130:E130"/>
    <mergeCell ref="B131:E131"/>
    <mergeCell ref="B132:E132"/>
    <mergeCell ref="B133:E133"/>
    <mergeCell ref="B134:E134"/>
    <mergeCell ref="B135:E135"/>
    <mergeCell ref="B104:E104"/>
    <mergeCell ref="B105:E105"/>
    <mergeCell ref="B110:E110"/>
    <mergeCell ref="B115:E115"/>
    <mergeCell ref="B116:E116"/>
    <mergeCell ref="B117:E117"/>
    <mergeCell ref="B126:E126"/>
    <mergeCell ref="B127:E127"/>
    <mergeCell ref="B106:E106"/>
    <mergeCell ref="B227:T227"/>
    <mergeCell ref="B111:E111"/>
    <mergeCell ref="B112:E112"/>
    <mergeCell ref="B113:E113"/>
    <mergeCell ref="B114:E114"/>
    <mergeCell ref="B120:E120"/>
    <mergeCell ref="B121:E121"/>
    <mergeCell ref="B139:E139"/>
    <mergeCell ref="B140:E140"/>
    <mergeCell ref="B141:E141"/>
    <mergeCell ref="B107:E107"/>
    <mergeCell ref="B108:E108"/>
    <mergeCell ref="B109:E109"/>
    <mergeCell ref="B124:E124"/>
    <mergeCell ref="B125:E125"/>
    <mergeCell ref="B122:E122"/>
    <mergeCell ref="B123:E123"/>
    <mergeCell ref="B118:E118"/>
    <mergeCell ref="B119:E119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AI147:AJ147"/>
    <mergeCell ref="B100:E100"/>
    <mergeCell ref="B101:E101"/>
    <mergeCell ref="B102:E102"/>
    <mergeCell ref="B103:E10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223:T223"/>
    <mergeCell ref="AI144:AJ144"/>
    <mergeCell ref="AI145:AJ145"/>
    <mergeCell ref="AI146:AJ146"/>
    <mergeCell ref="B128:E128"/>
    <mergeCell ref="B129:E129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3:E153"/>
    <mergeCell ref="B152:E152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AG49:AH49"/>
    <mergeCell ref="AG50:AH50"/>
    <mergeCell ref="AG51:AH51"/>
    <mergeCell ref="AG52:AH52"/>
    <mergeCell ref="AG53:AH53"/>
    <mergeCell ref="AG54:AH54"/>
    <mergeCell ref="AG59:AH59"/>
    <mergeCell ref="AG60:AH60"/>
    <mergeCell ref="AG61:AH61"/>
    <mergeCell ref="AG62:AH62"/>
    <mergeCell ref="AG63:AH63"/>
    <mergeCell ref="AG64:AH64"/>
    <mergeCell ref="AG65:AH65"/>
    <mergeCell ref="AG66:AH66"/>
    <mergeCell ref="AG67:AH67"/>
    <mergeCell ref="AG68:AH68"/>
    <mergeCell ref="AG69:AH69"/>
    <mergeCell ref="AG70:AH70"/>
    <mergeCell ref="AG71:AH71"/>
    <mergeCell ref="AG72:AH72"/>
    <mergeCell ref="AG73:AH73"/>
    <mergeCell ref="AG74:AH74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85:AH85"/>
    <mergeCell ref="AG86:AH86"/>
    <mergeCell ref="AG87:AH87"/>
    <mergeCell ref="AI137:AJ137"/>
    <mergeCell ref="AG88:AH88"/>
    <mergeCell ref="AG89:AH89"/>
    <mergeCell ref="AG90:AH90"/>
    <mergeCell ref="AG91:AH91"/>
    <mergeCell ref="AG92:AH92"/>
    <mergeCell ref="AG93:AH93"/>
    <mergeCell ref="AG94:AH94"/>
    <mergeCell ref="AG95:AH95"/>
    <mergeCell ref="AG96:AH96"/>
    <mergeCell ref="AG97:AH97"/>
    <mergeCell ref="AG98:AH98"/>
    <mergeCell ref="AI143:AJ143"/>
    <mergeCell ref="AG99:AH99"/>
    <mergeCell ref="AG100:AH100"/>
    <mergeCell ref="AG101:AH101"/>
    <mergeCell ref="AG102:AH102"/>
    <mergeCell ref="AG103:AH103"/>
    <mergeCell ref="AG104:AH104"/>
    <mergeCell ref="AG105:AH105"/>
    <mergeCell ref="AG106:AH106"/>
    <mergeCell ref="AG107:AH107"/>
    <mergeCell ref="AG122:AH122"/>
    <mergeCell ref="AG108:AH108"/>
    <mergeCell ref="AG109:AH109"/>
    <mergeCell ref="AG110:AH110"/>
    <mergeCell ref="AG111:AH111"/>
    <mergeCell ref="AG112:AH112"/>
    <mergeCell ref="AG113:AH113"/>
    <mergeCell ref="AG131:AH131"/>
    <mergeCell ref="AG114:AH114"/>
    <mergeCell ref="AG115:AH115"/>
    <mergeCell ref="AI142:AJ142"/>
    <mergeCell ref="AG116:AH116"/>
    <mergeCell ref="AG117:AH117"/>
    <mergeCell ref="AG118:AH118"/>
    <mergeCell ref="AG119:AH119"/>
    <mergeCell ref="AG120:AH120"/>
    <mergeCell ref="AG121:AH121"/>
    <mergeCell ref="AG140:AH140"/>
    <mergeCell ref="AG123:AH123"/>
    <mergeCell ref="AG124:AH124"/>
    <mergeCell ref="AG125:AH125"/>
    <mergeCell ref="AG126:AH126"/>
    <mergeCell ref="AI141:AJ141"/>
    <mergeCell ref="AG127:AH127"/>
    <mergeCell ref="AG128:AH128"/>
    <mergeCell ref="AG129:AH129"/>
    <mergeCell ref="AG130:AH130"/>
    <mergeCell ref="AG146:AH146"/>
    <mergeCell ref="AI140:AJ140"/>
    <mergeCell ref="AG132:AH132"/>
    <mergeCell ref="AG133:AH133"/>
    <mergeCell ref="AG134:AH134"/>
    <mergeCell ref="AG135:AH135"/>
    <mergeCell ref="AG136:AH136"/>
    <mergeCell ref="AG137:AH137"/>
    <mergeCell ref="AG138:AH138"/>
    <mergeCell ref="AG139:AH139"/>
    <mergeCell ref="B216:T216"/>
    <mergeCell ref="AG159:AH159"/>
    <mergeCell ref="AG160:AH160"/>
    <mergeCell ref="AG161:AH161"/>
    <mergeCell ref="AG162:AH162"/>
    <mergeCell ref="AG141:AH141"/>
    <mergeCell ref="AG142:AH142"/>
    <mergeCell ref="AG143:AH143"/>
    <mergeCell ref="AG144:AH144"/>
    <mergeCell ref="AG145:AH145"/>
    <mergeCell ref="AG147:AH147"/>
    <mergeCell ref="AG148:AH148"/>
    <mergeCell ref="AG149:AH149"/>
    <mergeCell ref="AG150:AH150"/>
    <mergeCell ref="AG151:AH151"/>
    <mergeCell ref="AI219:AJ219"/>
    <mergeCell ref="AG167:AH167"/>
    <mergeCell ref="AG168:AH168"/>
    <mergeCell ref="AI166:AJ166"/>
    <mergeCell ref="AI167:AJ167"/>
    <mergeCell ref="B217:T217"/>
    <mergeCell ref="B218:T218"/>
    <mergeCell ref="AG152:AH152"/>
    <mergeCell ref="AG153:AH153"/>
    <mergeCell ref="AG154:AH154"/>
    <mergeCell ref="AG155:AH155"/>
    <mergeCell ref="AG156:AH156"/>
    <mergeCell ref="AG157:AH157"/>
    <mergeCell ref="B166:E166"/>
    <mergeCell ref="AG165:AH165"/>
    <mergeCell ref="B229:T229"/>
    <mergeCell ref="B215:T215"/>
    <mergeCell ref="B167:E167"/>
    <mergeCell ref="B168:E168"/>
    <mergeCell ref="C184:AS184"/>
    <mergeCell ref="C186:AS186"/>
    <mergeCell ref="B219:T219"/>
    <mergeCell ref="AI216:AJ216"/>
    <mergeCell ref="AI217:AJ217"/>
    <mergeCell ref="AI218:AJ218"/>
    <mergeCell ref="AD261:AF261"/>
    <mergeCell ref="AD262:AF262"/>
    <mergeCell ref="B220:T220"/>
    <mergeCell ref="B221:T221"/>
    <mergeCell ref="B222:T222"/>
    <mergeCell ref="B234:T234"/>
    <mergeCell ref="B235:T235"/>
    <mergeCell ref="B224:T224"/>
    <mergeCell ref="B225:T225"/>
    <mergeCell ref="B228:T228"/>
    <mergeCell ref="B236:T236"/>
    <mergeCell ref="B237:T237"/>
    <mergeCell ref="B238:T238"/>
    <mergeCell ref="AD264:AF264"/>
    <mergeCell ref="B249:T249"/>
    <mergeCell ref="B250:T250"/>
    <mergeCell ref="B239:T239"/>
    <mergeCell ref="B240:T240"/>
    <mergeCell ref="B241:T241"/>
    <mergeCell ref="B242:T242"/>
    <mergeCell ref="AD235:AF235"/>
    <mergeCell ref="AD237:AF237"/>
    <mergeCell ref="AI234:AJ234"/>
    <mergeCell ref="B251:T251"/>
    <mergeCell ref="B252:T252"/>
    <mergeCell ref="B253:T253"/>
    <mergeCell ref="AG244:AH244"/>
    <mergeCell ref="AG245:AH245"/>
    <mergeCell ref="AG239:AH239"/>
    <mergeCell ref="AD236:AF236"/>
    <mergeCell ref="AI233:AJ233"/>
    <mergeCell ref="AI228:AJ228"/>
    <mergeCell ref="AG221:AH221"/>
    <mergeCell ref="B247:T247"/>
    <mergeCell ref="B248:T248"/>
    <mergeCell ref="B243:T243"/>
    <mergeCell ref="B244:T244"/>
    <mergeCell ref="AI232:AJ232"/>
    <mergeCell ref="AG238:AH238"/>
    <mergeCell ref="AD234:AF234"/>
    <mergeCell ref="AG222:AH222"/>
    <mergeCell ref="AI229:AJ229"/>
    <mergeCell ref="AI230:AJ230"/>
    <mergeCell ref="AI231:AJ231"/>
    <mergeCell ref="AI222:AJ222"/>
    <mergeCell ref="AI223:AJ223"/>
    <mergeCell ref="AI224:AJ224"/>
    <mergeCell ref="AI225:AJ225"/>
    <mergeCell ref="AI226:AJ226"/>
    <mergeCell ref="AI227:AJ227"/>
    <mergeCell ref="AI220:AJ220"/>
    <mergeCell ref="AI221:AJ221"/>
    <mergeCell ref="AI215:AJ215"/>
    <mergeCell ref="AG352:AH352"/>
    <mergeCell ref="AG353:AH353"/>
    <mergeCell ref="AG354:AH354"/>
    <mergeCell ref="AG229:AH229"/>
    <mergeCell ref="AG230:AH230"/>
    <mergeCell ref="AG231:AH231"/>
    <mergeCell ref="AG232:AH232"/>
    <mergeCell ref="AG356:AH356"/>
    <mergeCell ref="AG348:AH348"/>
    <mergeCell ref="AG349:AH349"/>
    <mergeCell ref="AG350:AH350"/>
    <mergeCell ref="AG351:AH351"/>
    <mergeCell ref="AG357:AH357"/>
    <mergeCell ref="AG358:AH358"/>
    <mergeCell ref="AG359:AH359"/>
    <mergeCell ref="AD361:AF361"/>
    <mergeCell ref="AD362:AF362"/>
    <mergeCell ref="AD364:AF364"/>
    <mergeCell ref="AG360:AH360"/>
    <mergeCell ref="AG361:AH361"/>
    <mergeCell ref="AG362:AH362"/>
    <mergeCell ref="AG363:AH363"/>
    <mergeCell ref="AG364:AH364"/>
    <mergeCell ref="AD344:AF344"/>
    <mergeCell ref="AD346:AF346"/>
    <mergeCell ref="AD359:AF359"/>
    <mergeCell ref="AD360:AF360"/>
    <mergeCell ref="AD358:AF358"/>
    <mergeCell ref="AD292:AF292"/>
    <mergeCell ref="AD293:AF293"/>
    <mergeCell ref="AD336:AF336"/>
    <mergeCell ref="AD337:AF337"/>
    <mergeCell ref="AD328:AF328"/>
    <mergeCell ref="AD265:AF265"/>
    <mergeCell ref="AD321:AF321"/>
    <mergeCell ref="AD323:AF323"/>
    <mergeCell ref="AD333:AF333"/>
    <mergeCell ref="AD302:AF302"/>
    <mergeCell ref="AD304:AF304"/>
    <mergeCell ref="AD318:AF318"/>
    <mergeCell ref="AD319:AF319"/>
    <mergeCell ref="AD326:AF326"/>
    <mergeCell ref="AD327:AF327"/>
    <mergeCell ref="AD325:AF325"/>
    <mergeCell ref="AD329:AF329"/>
    <mergeCell ref="AD331:AF331"/>
    <mergeCell ref="AD330:AF330"/>
    <mergeCell ref="AD332:AF332"/>
    <mergeCell ref="AG256:AH256"/>
    <mergeCell ref="AG257:AH257"/>
    <mergeCell ref="AD278:AF278"/>
    <mergeCell ref="AD279:AF279"/>
    <mergeCell ref="AD280:AF280"/>
    <mergeCell ref="AD289:AF289"/>
    <mergeCell ref="AD291:AF291"/>
    <mergeCell ref="AD290:AF290"/>
    <mergeCell ref="AG233:AH233"/>
    <mergeCell ref="AG234:AH234"/>
    <mergeCell ref="AD230:AF230"/>
    <mergeCell ref="AG255:AH255"/>
    <mergeCell ref="AG235:AH235"/>
    <mergeCell ref="AG236:AH236"/>
    <mergeCell ref="AG237:AH237"/>
    <mergeCell ref="AD382:AF382"/>
    <mergeCell ref="AD380:AF380"/>
    <mergeCell ref="AD275:AF275"/>
    <mergeCell ref="AD271:AF271"/>
    <mergeCell ref="AD272:AF272"/>
    <mergeCell ref="AD273:AF273"/>
    <mergeCell ref="AD287:AF287"/>
    <mergeCell ref="AD288:AF288"/>
    <mergeCell ref="AD301:AF301"/>
    <mergeCell ref="AD281:AF281"/>
    <mergeCell ref="AD221:AF221"/>
    <mergeCell ref="AD222:AF222"/>
    <mergeCell ref="AD223:AF223"/>
    <mergeCell ref="AG252:AH252"/>
    <mergeCell ref="AG253:AH253"/>
    <mergeCell ref="AG254:AH254"/>
    <mergeCell ref="AG240:AH240"/>
    <mergeCell ref="AG241:AH241"/>
    <mergeCell ref="AG242:AH242"/>
    <mergeCell ref="AG243:AH243"/>
    <mergeCell ref="AD215:AF215"/>
    <mergeCell ref="AD216:AF216"/>
    <mergeCell ref="AD217:AF217"/>
    <mergeCell ref="AD218:AF218"/>
    <mergeCell ref="AD219:AF219"/>
    <mergeCell ref="AD220:AF220"/>
    <mergeCell ref="AG215:AH215"/>
    <mergeCell ref="AG216:AH216"/>
    <mergeCell ref="AG217:AH217"/>
    <mergeCell ref="AG218:AH218"/>
    <mergeCell ref="AG219:AH219"/>
    <mergeCell ref="AG220:AH220"/>
    <mergeCell ref="AG223:AH223"/>
    <mergeCell ref="AG224:AH224"/>
    <mergeCell ref="AG225:AH225"/>
    <mergeCell ref="AG226:AH226"/>
    <mergeCell ref="AG227:AH227"/>
    <mergeCell ref="AG228:AH228"/>
    <mergeCell ref="AD267:AF267"/>
    <mergeCell ref="AD268:AF268"/>
    <mergeCell ref="AD269:AF269"/>
    <mergeCell ref="AG246:AH246"/>
    <mergeCell ref="AG247:AH247"/>
    <mergeCell ref="AG248:AH248"/>
    <mergeCell ref="AG249:AH249"/>
    <mergeCell ref="AG250:AH250"/>
    <mergeCell ref="AG251:AH251"/>
    <mergeCell ref="AG258:AH258"/>
    <mergeCell ref="AG259:AH259"/>
    <mergeCell ref="AG260:AH260"/>
    <mergeCell ref="AG261:AH261"/>
    <mergeCell ref="AG262:AH262"/>
    <mergeCell ref="AG263:AH263"/>
    <mergeCell ref="AG264:AH264"/>
    <mergeCell ref="AG265:AH265"/>
    <mergeCell ref="AG266:AH266"/>
    <mergeCell ref="AG267:AH267"/>
    <mergeCell ref="AG268:AH268"/>
    <mergeCell ref="AG269:AH269"/>
    <mergeCell ref="AG270:AH270"/>
    <mergeCell ref="AG271:AH271"/>
    <mergeCell ref="AG272:AH272"/>
    <mergeCell ref="AG273:AH273"/>
    <mergeCell ref="AG274:AH274"/>
    <mergeCell ref="AG275:AH275"/>
    <mergeCell ref="AG276:AH276"/>
    <mergeCell ref="AG277:AH277"/>
    <mergeCell ref="AG278:AH278"/>
    <mergeCell ref="AG279:AH279"/>
    <mergeCell ref="AG280:AH280"/>
    <mergeCell ref="AG281:AH281"/>
    <mergeCell ref="AG282:AH282"/>
    <mergeCell ref="AG283:AH283"/>
    <mergeCell ref="AG284:AH284"/>
    <mergeCell ref="AG285:AH285"/>
    <mergeCell ref="AG286:AH286"/>
    <mergeCell ref="AG287:AH287"/>
    <mergeCell ref="AG288:AH288"/>
    <mergeCell ref="AG289:AH289"/>
    <mergeCell ref="AG290:AH290"/>
    <mergeCell ref="AG291:AH291"/>
    <mergeCell ref="AG292:AH292"/>
    <mergeCell ref="AG293:AH293"/>
    <mergeCell ref="AG294:AH294"/>
    <mergeCell ref="AG295:AH295"/>
    <mergeCell ref="AG296:AH296"/>
    <mergeCell ref="AG297:AH297"/>
    <mergeCell ref="AG298:AH298"/>
    <mergeCell ref="AG299:AH299"/>
    <mergeCell ref="AG300:AH300"/>
    <mergeCell ref="AG301:AH301"/>
    <mergeCell ref="AG302:AH302"/>
    <mergeCell ref="AG303:AH303"/>
    <mergeCell ref="AG304:AH304"/>
    <mergeCell ref="AG305:AH305"/>
    <mergeCell ref="AG306:AH306"/>
    <mergeCell ref="AG307:AH307"/>
    <mergeCell ref="AG308:AH308"/>
    <mergeCell ref="AG309:AH309"/>
    <mergeCell ref="AG310:AH310"/>
    <mergeCell ref="AG311:AH311"/>
    <mergeCell ref="AG312:AH312"/>
    <mergeCell ref="AG313:AH313"/>
    <mergeCell ref="AG314:AH314"/>
    <mergeCell ref="AG315:AH315"/>
    <mergeCell ref="AG316:AH316"/>
    <mergeCell ref="AG317:AH317"/>
    <mergeCell ref="AG318:AH318"/>
    <mergeCell ref="AG319:AH319"/>
    <mergeCell ref="AG320:AH320"/>
    <mergeCell ref="AG321:AH321"/>
    <mergeCell ref="AG322:AH322"/>
    <mergeCell ref="AG323:AH323"/>
    <mergeCell ref="AG324:AH324"/>
    <mergeCell ref="AG325:AH325"/>
    <mergeCell ref="AG326:AH326"/>
    <mergeCell ref="AG327:AH327"/>
    <mergeCell ref="AG328:AH328"/>
    <mergeCell ref="AG329:AH329"/>
    <mergeCell ref="AG330:AH330"/>
    <mergeCell ref="AG335:AH335"/>
    <mergeCell ref="AG336:AH336"/>
    <mergeCell ref="AG337:AH337"/>
    <mergeCell ref="AG338:AH338"/>
    <mergeCell ref="AG339:AH339"/>
    <mergeCell ref="AG340:AH340"/>
    <mergeCell ref="AG341:AH341"/>
    <mergeCell ref="AG342:AH342"/>
    <mergeCell ref="AG343:AH343"/>
    <mergeCell ref="AG344:AH344"/>
    <mergeCell ref="AG345:AH345"/>
    <mergeCell ref="AG346:AH346"/>
    <mergeCell ref="AG347:AH347"/>
    <mergeCell ref="AD224:AF224"/>
    <mergeCell ref="AD225:AF225"/>
    <mergeCell ref="AD226:AF226"/>
    <mergeCell ref="AD227:AF227"/>
    <mergeCell ref="AD228:AF228"/>
    <mergeCell ref="AD229:AF229"/>
    <mergeCell ref="AD231:AF231"/>
    <mergeCell ref="AD232:AF232"/>
    <mergeCell ref="AD233:AF233"/>
    <mergeCell ref="AD238:AF238"/>
    <mergeCell ref="AD239:AF239"/>
    <mergeCell ref="AD240:AF240"/>
    <mergeCell ref="AD241:AF241"/>
    <mergeCell ref="AD307:AF307"/>
    <mergeCell ref="AD303:AF303"/>
    <mergeCell ref="AD300:AF300"/>
    <mergeCell ref="AD297:AF297"/>
    <mergeCell ref="AD283:AF283"/>
    <mergeCell ref="AD242:AF242"/>
    <mergeCell ref="AD243:AF243"/>
    <mergeCell ref="AD244:AF244"/>
    <mergeCell ref="AD245:AF245"/>
    <mergeCell ref="AD246:AF246"/>
    <mergeCell ref="AD247:AF247"/>
    <mergeCell ref="AD248:AF248"/>
    <mergeCell ref="AD249:AF249"/>
    <mergeCell ref="AD250:AF250"/>
    <mergeCell ref="AD251:AF251"/>
    <mergeCell ref="AD252:AF252"/>
    <mergeCell ref="AD253:AF253"/>
    <mergeCell ref="AD254:AF254"/>
    <mergeCell ref="AD255:AF255"/>
    <mergeCell ref="AD256:AF256"/>
    <mergeCell ref="AD257:AF257"/>
    <mergeCell ref="AD258:AF258"/>
    <mergeCell ref="B260:T260"/>
    <mergeCell ref="B256:T256"/>
    <mergeCell ref="B258:T258"/>
    <mergeCell ref="B257:T257"/>
    <mergeCell ref="B254:T254"/>
    <mergeCell ref="B255:T255"/>
    <mergeCell ref="B271:T271"/>
    <mergeCell ref="B272:T272"/>
    <mergeCell ref="B261:T261"/>
    <mergeCell ref="B262:T262"/>
    <mergeCell ref="B263:T263"/>
    <mergeCell ref="B264:T264"/>
    <mergeCell ref="B265:T265"/>
    <mergeCell ref="B266:T266"/>
    <mergeCell ref="B273:T273"/>
    <mergeCell ref="B274:T274"/>
    <mergeCell ref="B275:T275"/>
    <mergeCell ref="B259:E259"/>
    <mergeCell ref="B277:T277"/>
    <mergeCell ref="B278:T278"/>
    <mergeCell ref="B267:T267"/>
    <mergeCell ref="B268:T268"/>
    <mergeCell ref="B269:T269"/>
    <mergeCell ref="B270:T270"/>
    <mergeCell ref="B279:T279"/>
    <mergeCell ref="B280:T280"/>
    <mergeCell ref="B281:T281"/>
    <mergeCell ref="B282:T282"/>
    <mergeCell ref="B283:T283"/>
    <mergeCell ref="B284:T284"/>
    <mergeCell ref="B285:T285"/>
    <mergeCell ref="B286:T286"/>
    <mergeCell ref="B287:T287"/>
    <mergeCell ref="B288:T288"/>
    <mergeCell ref="B289:T289"/>
    <mergeCell ref="B290:T290"/>
    <mergeCell ref="B291:T291"/>
    <mergeCell ref="B293:T293"/>
    <mergeCell ref="B294:T294"/>
    <mergeCell ref="B295:T295"/>
    <mergeCell ref="B296:T296"/>
    <mergeCell ref="B297:T297"/>
    <mergeCell ref="B298:T298"/>
    <mergeCell ref="B299:T299"/>
    <mergeCell ref="B300:T300"/>
    <mergeCell ref="B301:T301"/>
    <mergeCell ref="B302:T302"/>
    <mergeCell ref="B303:T303"/>
    <mergeCell ref="B304:T304"/>
    <mergeCell ref="B306:T306"/>
    <mergeCell ref="B307:T307"/>
    <mergeCell ref="B308:T308"/>
    <mergeCell ref="B309:T309"/>
    <mergeCell ref="B310:T310"/>
    <mergeCell ref="B311:T311"/>
    <mergeCell ref="B312:T312"/>
    <mergeCell ref="B313:T313"/>
    <mergeCell ref="B314:T314"/>
    <mergeCell ref="B315:T315"/>
    <mergeCell ref="B316:T316"/>
    <mergeCell ref="B317:T317"/>
    <mergeCell ref="B318:T318"/>
    <mergeCell ref="B319:T319"/>
    <mergeCell ref="B320:T320"/>
    <mergeCell ref="B321:T321"/>
    <mergeCell ref="B322:T322"/>
    <mergeCell ref="B323:T323"/>
    <mergeCell ref="B325:T325"/>
    <mergeCell ref="B326:T326"/>
    <mergeCell ref="B327:T327"/>
    <mergeCell ref="B328:T328"/>
    <mergeCell ref="B329:T329"/>
    <mergeCell ref="B346:T346"/>
    <mergeCell ref="B330:T330"/>
    <mergeCell ref="B331:T331"/>
    <mergeCell ref="B332:T332"/>
    <mergeCell ref="B333:T333"/>
    <mergeCell ref="B334:T334"/>
    <mergeCell ref="B335:T335"/>
    <mergeCell ref="B356:T356"/>
    <mergeCell ref="B348:T348"/>
    <mergeCell ref="B349:T349"/>
    <mergeCell ref="B336:T336"/>
    <mergeCell ref="B337:T337"/>
    <mergeCell ref="B339:T339"/>
    <mergeCell ref="B340:T340"/>
    <mergeCell ref="B341:T341"/>
    <mergeCell ref="B342:T342"/>
    <mergeCell ref="B345:T345"/>
    <mergeCell ref="B350:T350"/>
    <mergeCell ref="B351:T351"/>
    <mergeCell ref="B352:T352"/>
    <mergeCell ref="B353:T353"/>
    <mergeCell ref="B354:T354"/>
    <mergeCell ref="B355:T355"/>
    <mergeCell ref="B357:T357"/>
    <mergeCell ref="B358:T358"/>
    <mergeCell ref="B359:T359"/>
    <mergeCell ref="B360:T360"/>
    <mergeCell ref="B361:T361"/>
    <mergeCell ref="B366:T366"/>
    <mergeCell ref="B362:T362"/>
    <mergeCell ref="B363:T363"/>
    <mergeCell ref="B364:T364"/>
    <mergeCell ref="B367:T367"/>
    <mergeCell ref="B368:T368"/>
    <mergeCell ref="B365:E365"/>
    <mergeCell ref="B376:T376"/>
    <mergeCell ref="B377:T377"/>
    <mergeCell ref="B374:E374"/>
    <mergeCell ref="B369:T369"/>
    <mergeCell ref="B370:T370"/>
    <mergeCell ref="B371:T371"/>
    <mergeCell ref="B372:T372"/>
    <mergeCell ref="B373:T373"/>
    <mergeCell ref="B375:T375"/>
    <mergeCell ref="B276:E276"/>
    <mergeCell ref="B292:E292"/>
    <mergeCell ref="B305:E305"/>
    <mergeCell ref="B324:E324"/>
    <mergeCell ref="B338:E338"/>
    <mergeCell ref="B347:E347"/>
    <mergeCell ref="B343:T343"/>
    <mergeCell ref="B344:T344"/>
    <mergeCell ref="AI365:AJ365"/>
    <mergeCell ref="AI366:AJ366"/>
    <mergeCell ref="AI367:AJ367"/>
    <mergeCell ref="AI368:AJ368"/>
    <mergeCell ref="AI369:AJ369"/>
    <mergeCell ref="AI370:AJ370"/>
    <mergeCell ref="AI379:AJ379"/>
    <mergeCell ref="AI380:AJ380"/>
    <mergeCell ref="AI381:AJ381"/>
    <mergeCell ref="AI382:AJ382"/>
    <mergeCell ref="AI371:AJ371"/>
    <mergeCell ref="AI372:AJ372"/>
    <mergeCell ref="AI373:AJ373"/>
    <mergeCell ref="AI374:AJ374"/>
    <mergeCell ref="AI375:AJ375"/>
    <mergeCell ref="AI376:AJ376"/>
    <mergeCell ref="AG365:AH365"/>
    <mergeCell ref="AG366:AH366"/>
    <mergeCell ref="AG367:AH367"/>
    <mergeCell ref="AG368:AH368"/>
    <mergeCell ref="AG369:AH369"/>
    <mergeCell ref="AG370:AH370"/>
    <mergeCell ref="AG371:AH371"/>
    <mergeCell ref="AG372:AH372"/>
    <mergeCell ref="AG373:AH373"/>
    <mergeCell ref="AG374:AH374"/>
    <mergeCell ref="AG375:AH375"/>
    <mergeCell ref="B380:T380"/>
    <mergeCell ref="B378:T378"/>
    <mergeCell ref="B379:T379"/>
    <mergeCell ref="AD374:AF374"/>
    <mergeCell ref="AD375:AF375"/>
    <mergeCell ref="B381:T381"/>
    <mergeCell ref="D386:AS386"/>
    <mergeCell ref="AG376:AH376"/>
    <mergeCell ref="AG377:AH377"/>
    <mergeCell ref="AG378:AH378"/>
    <mergeCell ref="AG379:AH379"/>
    <mergeCell ref="AG380:AH380"/>
    <mergeCell ref="AG381:AH381"/>
    <mergeCell ref="AI377:AJ377"/>
    <mergeCell ref="AI378:AJ378"/>
    <mergeCell ref="AI99:AJ99"/>
    <mergeCell ref="AI100:AJ100"/>
    <mergeCell ref="AI101:AJ101"/>
    <mergeCell ref="AI102:AJ102"/>
    <mergeCell ref="AI103:AJ103"/>
    <mergeCell ref="AI136:AJ136"/>
    <mergeCell ref="AI113:AJ113"/>
    <mergeCell ref="AI114:AJ114"/>
    <mergeCell ref="AI135:AJ135"/>
    <mergeCell ref="AI104:AJ104"/>
    <mergeCell ref="AI105:AJ105"/>
    <mergeCell ref="AI106:AJ106"/>
    <mergeCell ref="AI107:AJ107"/>
    <mergeCell ref="AI108:AJ108"/>
    <mergeCell ref="AI109:AJ109"/>
    <mergeCell ref="AI139:AJ139"/>
    <mergeCell ref="AI115:AJ115"/>
    <mergeCell ref="AI116:AJ116"/>
    <mergeCell ref="AI117:AJ117"/>
    <mergeCell ref="AI118:AJ118"/>
    <mergeCell ref="AI123:AJ123"/>
    <mergeCell ref="AI124:AJ124"/>
    <mergeCell ref="AI125:AJ125"/>
    <mergeCell ref="AI110:AJ110"/>
    <mergeCell ref="AI111:AJ111"/>
    <mergeCell ref="AI112:AJ112"/>
    <mergeCell ref="AI49:AJ49"/>
    <mergeCell ref="AI131:AJ131"/>
    <mergeCell ref="AI132:AJ132"/>
    <mergeCell ref="AI133:AJ133"/>
    <mergeCell ref="AI119:AJ119"/>
    <mergeCell ref="AI120:AJ120"/>
    <mergeCell ref="AI130:AJ130"/>
    <mergeCell ref="AI50:AJ50"/>
    <mergeCell ref="AI121:AJ121"/>
    <mergeCell ref="AI122:AJ122"/>
    <mergeCell ref="B447:AC447"/>
    <mergeCell ref="AI134:AJ134"/>
    <mergeCell ref="AI138:AJ138"/>
    <mergeCell ref="AI126:AJ126"/>
    <mergeCell ref="AI127:AJ127"/>
    <mergeCell ref="AI128:AJ128"/>
    <mergeCell ref="AI129:AJ129"/>
    <mergeCell ref="AG382:AH382"/>
    <mergeCell ref="B398:AS398"/>
    <mergeCell ref="B382:T382"/>
  </mergeCells>
  <phoneticPr fontId="15" type="noConversion"/>
  <conditionalFormatting sqref="AW164 F164:AB164">
    <cfRule type="cellIs" dxfId="188" priority="334" stopIfTrue="1" operator="equal">
      <formula>$D163</formula>
    </cfRule>
  </conditionalFormatting>
  <conditionalFormatting sqref="B170">
    <cfRule type="cellIs" dxfId="187" priority="328" stopIfTrue="1" operator="equal">
      <formula>$D164</formula>
    </cfRule>
  </conditionalFormatting>
  <conditionalFormatting sqref="B287 B290 B303 B335:B336 B345 B363 B372 B381">
    <cfRule type="cellIs" dxfId="186" priority="300" stopIfTrue="1" operator="equal">
      <formula>#REF!</formula>
    </cfRule>
  </conditionalFormatting>
  <conditionalFormatting sqref="B270 B317">
    <cfRule type="cellIs" dxfId="185" priority="395" stopIfTrue="1" operator="equal">
      <formula>#REF!</formula>
    </cfRule>
  </conditionalFormatting>
  <conditionalFormatting sqref="B260:B275 B277:B291 B293:B304 B306:B323 B325:B337 B339:B346 B348:B364 B366:B373 B375:B382 B233:G233 B218:B232 B234:B258 B97 B85 B72:B74">
    <cfRule type="cellIs" dxfId="184" priority="396" stopIfTrue="1" operator="equal">
      <formula>#REF!</formula>
    </cfRule>
  </conditionalFormatting>
  <conditionalFormatting sqref="B97 B85 B72:B74">
    <cfRule type="cellIs" dxfId="183" priority="397" stopIfTrue="1" operator="equal">
      <formula>#REF!</formula>
    </cfRule>
  </conditionalFormatting>
  <conditionalFormatting sqref="B91 B78 B49:B50">
    <cfRule type="cellIs" dxfId="182" priority="400" stopIfTrue="1" operator="equal">
      <formula>#REF!</formula>
    </cfRule>
  </conditionalFormatting>
  <conditionalFormatting sqref="B228 B233">
    <cfRule type="cellIs" dxfId="181" priority="346" stopIfTrue="1" operator="equal">
      <formula>#REF!</formula>
    </cfRule>
  </conditionalFormatting>
  <conditionalFormatting sqref="B274 B266:B269 B322 B312:B316 B330:B331 B355 B171:B172 B94:B97">
    <cfRule type="cellIs" dxfId="180" priority="325" stopIfTrue="1" operator="equal">
      <formula>#REF!</formula>
    </cfRule>
  </conditionalFormatting>
  <conditionalFormatting sqref="B281 B229:B230 AW165:AW168 B164:B168 F165:AB168">
    <cfRule type="cellIs" dxfId="179" priority="332" stopIfTrue="1" operator="equal">
      <formula>#REF!</formula>
    </cfRule>
  </conditionalFormatting>
  <conditionalFormatting sqref="B94:B96 B51">
    <cfRule type="cellIs" dxfId="178" priority="406" stopIfTrue="1" operator="equal">
      <formula>#REF!</formula>
    </cfRule>
  </conditionalFormatting>
  <conditionalFormatting sqref="B270:B273 B317:B321 B333:B334 B359 B97 B85 B72:B74">
    <cfRule type="cellIs" dxfId="177" priority="233" stopIfTrue="1" operator="equal">
      <formula>#REF!</formula>
    </cfRule>
  </conditionalFormatting>
  <conditionalFormatting sqref="B51">
    <cfRule type="cellIs" dxfId="176" priority="232" stopIfTrue="1" operator="equal">
      <formula>$D49</formula>
    </cfRule>
  </conditionalFormatting>
  <conditionalFormatting sqref="B93">
    <cfRule type="cellIs" dxfId="175" priority="411" stopIfTrue="1" operator="equal">
      <formula>$D164</formula>
    </cfRule>
  </conditionalFormatting>
  <conditionalFormatting sqref="B97">
    <cfRule type="cellIs" dxfId="174" priority="414" stopIfTrue="1" operator="equal">
      <formula>$D169</formula>
    </cfRule>
  </conditionalFormatting>
  <conditionalFormatting sqref="B215:G215">
    <cfRule type="cellIs" dxfId="173" priority="229" stopIfTrue="1" operator="equal">
      <formula>$G214</formula>
    </cfRule>
  </conditionalFormatting>
  <conditionalFormatting sqref="B225">
    <cfRule type="cellIs" dxfId="172" priority="227" stopIfTrue="1" operator="equal">
      <formula>$G220</formula>
    </cfRule>
  </conditionalFormatting>
  <conditionalFormatting sqref="B215:B217">
    <cfRule type="cellIs" dxfId="171" priority="226" stopIfTrue="1" operator="equal">
      <formula>$G213</formula>
    </cfRule>
  </conditionalFormatting>
  <conditionalFormatting sqref="B226:B227 B229">
    <cfRule type="cellIs" dxfId="170" priority="225" stopIfTrue="1" operator="equal">
      <formula>$G215</formula>
    </cfRule>
  </conditionalFormatting>
  <conditionalFormatting sqref="C223:G223 B223:B225 B228">
    <cfRule type="cellIs" dxfId="169" priority="224" stopIfTrue="1" operator="equal">
      <formula>$G211</formula>
    </cfRule>
  </conditionalFormatting>
  <conditionalFormatting sqref="B228:B232">
    <cfRule type="cellIs" dxfId="168" priority="223" stopIfTrue="1" operator="equal">
      <formula>$G213</formula>
    </cfRule>
  </conditionalFormatting>
  <conditionalFormatting sqref="B270 B317 B229:B230">
    <cfRule type="cellIs" dxfId="167" priority="221" stopIfTrue="1" operator="equal">
      <formula>#REF!</formula>
    </cfRule>
  </conditionalFormatting>
  <conditionalFormatting sqref="B273 B281:B282 B285:B289 B301:B302 B297 B319:B320 B329:B330 B336 B334 B344 B341 B360:B362 B354:B355 B371 B368 B377 B380 B232 B234:B256">
    <cfRule type="cellIs" dxfId="166" priority="220" stopIfTrue="1" operator="equal">
      <formula>#REF!</formula>
    </cfRule>
  </conditionalFormatting>
  <conditionalFormatting sqref="C228:G228">
    <cfRule type="cellIs" dxfId="165" priority="219" stopIfTrue="1" operator="equal">
      <formula>$G213</formula>
    </cfRule>
  </conditionalFormatting>
  <conditionalFormatting sqref="B233 B230 B226:B227">
    <cfRule type="cellIs" dxfId="164" priority="217" stopIfTrue="1" operator="equal">
      <formula>$G216</formula>
    </cfRule>
  </conditionalFormatting>
  <conditionalFormatting sqref="B273 B281:B289 B297:B302 B319:B320 B329:B334 B341:B344 B354:B362 B368:B371 B377:B380 B232">
    <cfRule type="cellIs" dxfId="163" priority="216" stopIfTrue="1" operator="equal">
      <formula>#REF!</formula>
    </cfRule>
  </conditionalFormatting>
  <conditionalFormatting sqref="B229:B230">
    <cfRule type="cellIs" dxfId="162" priority="215" stopIfTrue="1" operator="equal">
      <formula>$G215</formula>
    </cfRule>
  </conditionalFormatting>
  <conditionalFormatting sqref="B234">
    <cfRule type="cellIs" dxfId="161" priority="214" stopIfTrue="1" operator="equal">
      <formula>$G229</formula>
    </cfRule>
  </conditionalFormatting>
  <conditionalFormatting sqref="B223">
    <cfRule type="cellIs" dxfId="160" priority="213" stopIfTrue="1" operator="equal">
      <formula>$G216</formula>
    </cfRule>
  </conditionalFormatting>
  <conditionalFormatting sqref="B224">
    <cfRule type="cellIs" dxfId="159" priority="212" stopIfTrue="1" operator="equal">
      <formula>$G218</formula>
    </cfRule>
  </conditionalFormatting>
  <conditionalFormatting sqref="B258">
    <cfRule type="cellIs" dxfId="158" priority="211" stopIfTrue="1" operator="equal">
      <formula>$G257</formula>
    </cfRule>
  </conditionalFormatting>
  <conditionalFormatting sqref="B222">
    <cfRule type="cellIs" dxfId="157" priority="210" stopIfTrue="1" operator="equal">
      <formula>$G227</formula>
    </cfRule>
  </conditionalFormatting>
  <conditionalFormatting sqref="B260:G261 B263:B264">
    <cfRule type="cellIs" dxfId="156" priority="209" stopIfTrue="1" operator="equal">
      <formula>$G259</formula>
    </cfRule>
  </conditionalFormatting>
  <conditionalFormatting sqref="B262:G262 B265">
    <cfRule type="cellIs" dxfId="155" priority="207" stopIfTrue="1" operator="equal">
      <formula>$G260</formula>
    </cfRule>
  </conditionalFormatting>
  <conditionalFormatting sqref="B265">
    <cfRule type="cellIs" dxfId="154" priority="201" stopIfTrue="1" operator="equal">
      <formula>$G261</formula>
    </cfRule>
  </conditionalFormatting>
  <conditionalFormatting sqref="B262:B264">
    <cfRule type="cellIs" dxfId="153" priority="200" stopIfTrue="1" operator="equal">
      <formula>$G259</formula>
    </cfRule>
  </conditionalFormatting>
  <conditionalFormatting sqref="B274">
    <cfRule type="cellIs" dxfId="152" priority="198" stopIfTrue="1" operator="equal">
      <formula>$G260</formula>
    </cfRule>
  </conditionalFormatting>
  <conditionalFormatting sqref="B261">
    <cfRule type="cellIs" dxfId="151" priority="197" stopIfTrue="1" operator="equal">
      <formula>$G259</formula>
    </cfRule>
  </conditionalFormatting>
  <conditionalFormatting sqref="B266:B269">
    <cfRule type="cellIs" dxfId="150" priority="196" stopIfTrue="1" operator="equal">
      <formula>$G258</formula>
    </cfRule>
  </conditionalFormatting>
  <conditionalFormatting sqref="B271:B273">
    <cfRule type="cellIs" dxfId="149" priority="195" stopIfTrue="1" operator="equal">
      <formula>$G262</formula>
    </cfRule>
  </conditionalFormatting>
  <conditionalFormatting sqref="B264">
    <cfRule type="cellIs" dxfId="148" priority="194" stopIfTrue="1" operator="equal">
      <formula>$G262</formula>
    </cfRule>
  </conditionalFormatting>
  <conditionalFormatting sqref="B264">
    <cfRule type="cellIs" dxfId="147" priority="193" stopIfTrue="1" operator="equal">
      <formula>$G261</formula>
    </cfRule>
  </conditionalFormatting>
  <conditionalFormatting sqref="B264">
    <cfRule type="cellIs" dxfId="146" priority="192" stopIfTrue="1" operator="equal">
      <formula>$G263</formula>
    </cfRule>
  </conditionalFormatting>
  <conditionalFormatting sqref="B264">
    <cfRule type="cellIs" dxfId="145" priority="191" stopIfTrue="1" operator="equal">
      <formula>$G262</formula>
    </cfRule>
  </conditionalFormatting>
  <conditionalFormatting sqref="B265">
    <cfRule type="cellIs" dxfId="144" priority="190" stopIfTrue="1" operator="equal">
      <formula>$G262</formula>
    </cfRule>
  </conditionalFormatting>
  <conditionalFormatting sqref="B265">
    <cfRule type="cellIs" dxfId="143" priority="189" stopIfTrue="1" operator="equal">
      <formula>$G261</formula>
    </cfRule>
  </conditionalFormatting>
  <conditionalFormatting sqref="B265">
    <cfRule type="cellIs" dxfId="142" priority="188" stopIfTrue="1" operator="equal">
      <formula>$G262</formula>
    </cfRule>
  </conditionalFormatting>
  <conditionalFormatting sqref="B265">
    <cfRule type="cellIs" dxfId="141" priority="187" stopIfTrue="1" operator="equal">
      <formula>$G261</formula>
    </cfRule>
  </conditionalFormatting>
  <conditionalFormatting sqref="B265">
    <cfRule type="cellIs" dxfId="140" priority="186" stopIfTrue="1" operator="equal">
      <formula>$G263</formula>
    </cfRule>
  </conditionalFormatting>
  <conditionalFormatting sqref="B265">
    <cfRule type="cellIs" dxfId="139" priority="185" stopIfTrue="1" operator="equal">
      <formula>$G262</formula>
    </cfRule>
  </conditionalFormatting>
  <conditionalFormatting sqref="B265">
    <cfRule type="cellIs" dxfId="138" priority="184" stopIfTrue="1" operator="equal">
      <formula>$G263</formula>
    </cfRule>
  </conditionalFormatting>
  <conditionalFormatting sqref="B265">
    <cfRule type="cellIs" dxfId="137" priority="183" stopIfTrue="1" operator="equal">
      <formula>$G262</formula>
    </cfRule>
  </conditionalFormatting>
  <conditionalFormatting sqref="B270">
    <cfRule type="cellIs" dxfId="136" priority="182" stopIfTrue="1" operator="equal">
      <formula>$G260</formula>
    </cfRule>
  </conditionalFormatting>
  <conditionalFormatting sqref="B272">
    <cfRule type="cellIs" dxfId="135" priority="181" stopIfTrue="1" operator="equal">
      <formula>$G259</formula>
    </cfRule>
  </conditionalFormatting>
  <conditionalFormatting sqref="B277:B278 C278:G278 B280">
    <cfRule type="cellIs" dxfId="134" priority="180" stopIfTrue="1" operator="equal">
      <formula>$G276</formula>
    </cfRule>
  </conditionalFormatting>
  <conditionalFormatting sqref="B283 B280">
    <cfRule type="cellIs" dxfId="133" priority="178" stopIfTrue="1" operator="equal">
      <formula>$G275</formula>
    </cfRule>
  </conditionalFormatting>
  <conditionalFormatting sqref="B279">
    <cfRule type="cellIs" dxfId="132" priority="177" stopIfTrue="1" operator="equal">
      <formula>$G277</formula>
    </cfRule>
  </conditionalFormatting>
  <conditionalFormatting sqref="B280">
    <cfRule type="cellIs" dxfId="131" priority="175" stopIfTrue="1" operator="equal">
      <formula>$G276</formula>
    </cfRule>
  </conditionalFormatting>
  <conditionalFormatting sqref="B282">
    <cfRule type="cellIs" dxfId="130" priority="172" stopIfTrue="1" operator="equal">
      <formula>$G276</formula>
    </cfRule>
  </conditionalFormatting>
  <conditionalFormatting sqref="B284">
    <cfRule type="cellIs" dxfId="129" priority="171" stopIfTrue="1" operator="equal">
      <formula>$G277</formula>
    </cfRule>
  </conditionalFormatting>
  <conditionalFormatting sqref="B279">
    <cfRule type="cellIs" dxfId="128" priority="170" stopIfTrue="1" operator="equal">
      <formula>$G276</formula>
    </cfRule>
  </conditionalFormatting>
  <conditionalFormatting sqref="B279">
    <cfRule type="cellIs" dxfId="127" priority="169" stopIfTrue="1" operator="equal">
      <formula>$G273</formula>
    </cfRule>
  </conditionalFormatting>
  <conditionalFormatting sqref="B279">
    <cfRule type="cellIs" dxfId="126" priority="168" stopIfTrue="1" operator="equal">
      <formula>$G274</formula>
    </cfRule>
  </conditionalFormatting>
  <conditionalFormatting sqref="B278">
    <cfRule type="cellIs" dxfId="125" priority="167" stopIfTrue="1" operator="equal">
      <formula>$G276</formula>
    </cfRule>
  </conditionalFormatting>
  <conditionalFormatting sqref="B287">
    <cfRule type="cellIs" dxfId="124" priority="166" stopIfTrue="1" operator="equal">
      <formula>$G277</formula>
    </cfRule>
  </conditionalFormatting>
  <conditionalFormatting sqref="B277:B278 C278:G278">
    <cfRule type="cellIs" dxfId="123" priority="165" stopIfTrue="1" operator="equal">
      <formula>$G276</formula>
    </cfRule>
  </conditionalFormatting>
  <conditionalFormatting sqref="B279">
    <cfRule type="cellIs" dxfId="122" priority="163" stopIfTrue="1" operator="equal">
      <formula>$G277</formula>
    </cfRule>
  </conditionalFormatting>
  <conditionalFormatting sqref="B280:B281">
    <cfRule type="cellIs" dxfId="121" priority="160" stopIfTrue="1" operator="equal">
      <formula>$G277</formula>
    </cfRule>
  </conditionalFormatting>
  <conditionalFormatting sqref="B283:B285">
    <cfRule type="cellIs" dxfId="120" priority="157" stopIfTrue="1" operator="equal">
      <formula>$G276</formula>
    </cfRule>
  </conditionalFormatting>
  <conditionalFormatting sqref="B290">
    <cfRule type="cellIs" dxfId="119" priority="156" stopIfTrue="1" operator="equal">
      <formula>$G277</formula>
    </cfRule>
  </conditionalFormatting>
  <conditionalFormatting sqref="B286">
    <cfRule type="cellIs" dxfId="118" priority="155" stopIfTrue="1" operator="equal">
      <formula>$G277</formula>
    </cfRule>
  </conditionalFormatting>
  <conditionalFormatting sqref="B279">
    <cfRule type="cellIs" dxfId="117" priority="154" stopIfTrue="1" operator="equal">
      <formula>$G274</formula>
    </cfRule>
  </conditionalFormatting>
  <conditionalFormatting sqref="B279">
    <cfRule type="cellIs" dxfId="116" priority="153" stopIfTrue="1" operator="equal">
      <formula>$G275</formula>
    </cfRule>
  </conditionalFormatting>
  <conditionalFormatting sqref="B278">
    <cfRule type="cellIs" dxfId="115" priority="152" stopIfTrue="1" operator="equal">
      <formula>$G276</formula>
    </cfRule>
  </conditionalFormatting>
  <conditionalFormatting sqref="B281">
    <cfRule type="cellIs" dxfId="114" priority="151" stopIfTrue="1" operator="equal">
      <formula>$G278</formula>
    </cfRule>
  </conditionalFormatting>
  <conditionalFormatting sqref="B281">
    <cfRule type="cellIs" dxfId="113" priority="150" stopIfTrue="1" operator="equal">
      <formula>$G279</formula>
    </cfRule>
  </conditionalFormatting>
  <conditionalFormatting sqref="B281">
    <cfRule type="cellIs" dxfId="112" priority="149" stopIfTrue="1" operator="equal">
      <formula>$G278</formula>
    </cfRule>
  </conditionalFormatting>
  <conditionalFormatting sqref="B281">
    <cfRule type="cellIs" dxfId="111" priority="148" stopIfTrue="1" operator="equal">
      <formula>$G279</formula>
    </cfRule>
  </conditionalFormatting>
  <conditionalFormatting sqref="B281">
    <cfRule type="cellIs" dxfId="110" priority="147" stopIfTrue="1" operator="equal">
      <formula>$G278</formula>
    </cfRule>
  </conditionalFormatting>
  <conditionalFormatting sqref="B281">
    <cfRule type="cellIs" dxfId="109" priority="146" stopIfTrue="1" operator="equal">
      <formula>$G279</formula>
    </cfRule>
  </conditionalFormatting>
  <conditionalFormatting sqref="B281">
    <cfRule type="cellIs" dxfId="108" priority="145" stopIfTrue="1" operator="equal">
      <formula>$G279</formula>
    </cfRule>
  </conditionalFormatting>
  <conditionalFormatting sqref="B293:B294 C294:G294 B296">
    <cfRule type="cellIs" dxfId="107" priority="144" stopIfTrue="1" operator="equal">
      <formula>$G292</formula>
    </cfRule>
  </conditionalFormatting>
  <conditionalFormatting sqref="B299 B296">
    <cfRule type="cellIs" dxfId="106" priority="142" stopIfTrue="1" operator="equal">
      <formula>$G291</formula>
    </cfRule>
  </conditionalFormatting>
  <conditionalFormatting sqref="B295">
    <cfRule type="cellIs" dxfId="105" priority="141" stopIfTrue="1" operator="equal">
      <formula>$G293</formula>
    </cfRule>
  </conditionalFormatting>
  <conditionalFormatting sqref="B296">
    <cfRule type="cellIs" dxfId="104" priority="139" stopIfTrue="1" operator="equal">
      <formula>$G292</formula>
    </cfRule>
  </conditionalFormatting>
  <conditionalFormatting sqref="B298">
    <cfRule type="cellIs" dxfId="103" priority="136" stopIfTrue="1" operator="equal">
      <formula>$G292</formula>
    </cfRule>
  </conditionalFormatting>
  <conditionalFormatting sqref="B300">
    <cfRule type="cellIs" dxfId="102" priority="135" stopIfTrue="1" operator="equal">
      <formula>$G293</formula>
    </cfRule>
  </conditionalFormatting>
  <conditionalFormatting sqref="B295">
    <cfRule type="cellIs" dxfId="101" priority="134" stopIfTrue="1" operator="equal">
      <formula>$G292</formula>
    </cfRule>
  </conditionalFormatting>
  <conditionalFormatting sqref="B295">
    <cfRule type="cellIs" dxfId="100" priority="133" stopIfTrue="1" operator="equal">
      <formula>$G289</formula>
    </cfRule>
  </conditionalFormatting>
  <conditionalFormatting sqref="B295">
    <cfRule type="cellIs" dxfId="99" priority="132" stopIfTrue="1" operator="equal">
      <formula>$G290</formula>
    </cfRule>
  </conditionalFormatting>
  <conditionalFormatting sqref="B294">
    <cfRule type="cellIs" dxfId="98" priority="131" stopIfTrue="1" operator="equal">
      <formula>$G292</formula>
    </cfRule>
  </conditionalFormatting>
  <conditionalFormatting sqref="B303">
    <cfRule type="cellIs" dxfId="97" priority="130" stopIfTrue="1" operator="equal">
      <formula>$G293</formula>
    </cfRule>
  </conditionalFormatting>
  <conditionalFormatting sqref="B311">
    <cfRule type="cellIs" dxfId="96" priority="128" stopIfTrue="1" operator="equal">
      <formula>$G306</formula>
    </cfRule>
  </conditionalFormatting>
  <conditionalFormatting sqref="B309">
    <cfRule type="cellIs" dxfId="95" priority="127" stopIfTrue="1" operator="equal">
      <formula>$G307</formula>
    </cfRule>
  </conditionalFormatting>
  <conditionalFormatting sqref="B308 B311">
    <cfRule type="cellIs" dxfId="94" priority="121" stopIfTrue="1" operator="equal">
      <formula>$G305</formula>
    </cfRule>
  </conditionalFormatting>
  <conditionalFormatting sqref="B306:G307">
    <cfRule type="cellIs" dxfId="93" priority="119" stopIfTrue="1" operator="equal">
      <formula>$G305</formula>
    </cfRule>
  </conditionalFormatting>
  <conditionalFormatting sqref="B308:G308">
    <cfRule type="cellIs" dxfId="92" priority="118" stopIfTrue="1" operator="equal">
      <formula>$G306</formula>
    </cfRule>
  </conditionalFormatting>
  <conditionalFormatting sqref="B310">
    <cfRule type="cellIs" dxfId="91" priority="117" stopIfTrue="1" operator="equal">
      <formula>$G307</formula>
    </cfRule>
  </conditionalFormatting>
  <conditionalFormatting sqref="B322">
    <cfRule type="cellIs" dxfId="90" priority="116" stopIfTrue="1" operator="equal">
      <formula>$G306</formula>
    </cfRule>
  </conditionalFormatting>
  <conditionalFormatting sqref="B307">
    <cfRule type="cellIs" dxfId="89" priority="115" stopIfTrue="1" operator="equal">
      <formula>$G305</formula>
    </cfRule>
  </conditionalFormatting>
  <conditionalFormatting sqref="B312:B316">
    <cfRule type="cellIs" dxfId="88" priority="114" stopIfTrue="1" operator="equal">
      <formula>$G304</formula>
    </cfRule>
  </conditionalFormatting>
  <conditionalFormatting sqref="B318:B321">
    <cfRule type="cellIs" dxfId="87" priority="113" stopIfTrue="1" operator="equal">
      <formula>$G308</formula>
    </cfRule>
  </conditionalFormatting>
  <conditionalFormatting sqref="B309">
    <cfRule type="cellIs" dxfId="86" priority="112" stopIfTrue="1" operator="equal">
      <formula>$G308</formula>
    </cfRule>
  </conditionalFormatting>
  <conditionalFormatting sqref="B309">
    <cfRule type="cellIs" dxfId="85" priority="111" stopIfTrue="1" operator="equal">
      <formula>$G307</formula>
    </cfRule>
  </conditionalFormatting>
  <conditionalFormatting sqref="B309">
    <cfRule type="cellIs" dxfId="84" priority="110" stopIfTrue="1" operator="equal">
      <formula>$G308</formula>
    </cfRule>
  </conditionalFormatting>
  <conditionalFormatting sqref="B310">
    <cfRule type="cellIs" dxfId="83" priority="109" stopIfTrue="1" operator="equal">
      <formula>$G308</formula>
    </cfRule>
  </conditionalFormatting>
  <conditionalFormatting sqref="B310">
    <cfRule type="cellIs" dxfId="82" priority="108" stopIfTrue="1" operator="equal">
      <formula>$G307</formula>
    </cfRule>
  </conditionalFormatting>
  <conditionalFormatting sqref="B310">
    <cfRule type="cellIs" dxfId="81" priority="107" stopIfTrue="1" operator="equal">
      <formula>$G308</formula>
    </cfRule>
  </conditionalFormatting>
  <conditionalFormatting sqref="B310">
    <cfRule type="cellIs" dxfId="80" priority="106" stopIfTrue="1" operator="equal">
      <formula>$G307</formula>
    </cfRule>
  </conditionalFormatting>
  <conditionalFormatting sqref="B310">
    <cfRule type="cellIs" dxfId="79" priority="105" stopIfTrue="1" operator="equal">
      <formula>$G308</formula>
    </cfRule>
  </conditionalFormatting>
  <conditionalFormatting sqref="B310">
    <cfRule type="cellIs" dxfId="78" priority="104" stopIfTrue="1" operator="equal">
      <formula>$G308</formula>
    </cfRule>
  </conditionalFormatting>
  <conditionalFormatting sqref="B317">
    <cfRule type="cellIs" dxfId="77" priority="103" stopIfTrue="1" operator="equal">
      <formula>$G306</formula>
    </cfRule>
  </conditionalFormatting>
  <conditionalFormatting sqref="B309">
    <cfRule type="cellIs" dxfId="76" priority="102" stopIfTrue="1" operator="equal">
      <formula>$G308</formula>
    </cfRule>
  </conditionalFormatting>
  <conditionalFormatting sqref="B309">
    <cfRule type="cellIs" dxfId="75" priority="101" stopIfTrue="1" operator="equal">
      <formula>$G306</formula>
    </cfRule>
  </conditionalFormatting>
  <conditionalFormatting sqref="B309">
    <cfRule type="cellIs" dxfId="74" priority="100" stopIfTrue="1" operator="equal">
      <formula>$G307</formula>
    </cfRule>
  </conditionalFormatting>
  <conditionalFormatting sqref="B309">
    <cfRule type="cellIs" dxfId="73" priority="99" stopIfTrue="1" operator="equal">
      <formula>$G306</formula>
    </cfRule>
  </conditionalFormatting>
  <conditionalFormatting sqref="B309">
    <cfRule type="cellIs" dxfId="72" priority="98" stopIfTrue="1" operator="equal">
      <formula>$G307</formula>
    </cfRule>
  </conditionalFormatting>
  <conditionalFormatting sqref="B309">
    <cfRule type="cellIs" dxfId="71" priority="97" stopIfTrue="1" operator="equal">
      <formula>$G306</formula>
    </cfRule>
  </conditionalFormatting>
  <conditionalFormatting sqref="B309">
    <cfRule type="cellIs" dxfId="70" priority="96" stopIfTrue="1" operator="equal">
      <formula>$G308</formula>
    </cfRule>
  </conditionalFormatting>
  <conditionalFormatting sqref="B309">
    <cfRule type="cellIs" dxfId="69" priority="95" stopIfTrue="1" operator="equal">
      <formula>$G307</formula>
    </cfRule>
  </conditionalFormatting>
  <conditionalFormatting sqref="B309">
    <cfRule type="cellIs" dxfId="68" priority="94" stopIfTrue="1" operator="equal">
      <formula>$G308</formula>
    </cfRule>
  </conditionalFormatting>
  <conditionalFormatting sqref="B309">
    <cfRule type="cellIs" dxfId="67" priority="93" stopIfTrue="1" operator="equal">
      <formula>$G307</formula>
    </cfRule>
  </conditionalFormatting>
  <conditionalFormatting sqref="B309">
    <cfRule type="cellIs" dxfId="66" priority="92" stopIfTrue="1" operator="equal">
      <formula>$G311</formula>
    </cfRule>
  </conditionalFormatting>
  <conditionalFormatting sqref="B310">
    <cfRule type="cellIs" dxfId="65" priority="91" stopIfTrue="1" operator="equal">
      <formula>$G311</formula>
    </cfRule>
  </conditionalFormatting>
  <conditionalFormatting sqref="B321">
    <cfRule type="cellIs" dxfId="64" priority="90" stopIfTrue="1" operator="equal">
      <formula>$G311</formula>
    </cfRule>
  </conditionalFormatting>
  <conditionalFormatting sqref="B320">
    <cfRule type="cellIs" dxfId="63" priority="89" stopIfTrue="1" operator="equal">
      <formula>$G311</formula>
    </cfRule>
  </conditionalFormatting>
  <conditionalFormatting sqref="B320">
    <cfRule type="cellIs" dxfId="62" priority="88" stopIfTrue="1" operator="equal">
      <formula>$G307</formula>
    </cfRule>
  </conditionalFormatting>
  <conditionalFormatting sqref="B325:B326">
    <cfRule type="cellIs" dxfId="61" priority="87" stopIfTrue="1" operator="equal">
      <formula>$G324</formula>
    </cfRule>
  </conditionalFormatting>
  <conditionalFormatting sqref="B327">
    <cfRule type="cellIs" dxfId="60" priority="85" stopIfTrue="1" operator="equal">
      <formula>$G325</formula>
    </cfRule>
  </conditionalFormatting>
  <conditionalFormatting sqref="B328">
    <cfRule type="cellIs" dxfId="59" priority="79" stopIfTrue="1" operator="equal">
      <formula>$G325</formula>
    </cfRule>
  </conditionalFormatting>
  <conditionalFormatting sqref="B331">
    <cfRule type="cellIs" dxfId="58" priority="78" stopIfTrue="1" operator="equal">
      <formula>$G324</formula>
    </cfRule>
  </conditionalFormatting>
  <conditionalFormatting sqref="B335:B336">
    <cfRule type="cellIs" dxfId="57" priority="77" stopIfTrue="1" operator="equal">
      <formula>$G325</formula>
    </cfRule>
  </conditionalFormatting>
  <conditionalFormatting sqref="B332:B333">
    <cfRule type="cellIs" dxfId="56" priority="76" stopIfTrue="1" operator="equal">
      <formula>$G325</formula>
    </cfRule>
  </conditionalFormatting>
  <conditionalFormatting sqref="B328">
    <cfRule type="cellIs" dxfId="55" priority="75" stopIfTrue="1" operator="equal">
      <formula>$G322</formula>
    </cfRule>
  </conditionalFormatting>
  <conditionalFormatting sqref="B328">
    <cfRule type="cellIs" dxfId="54" priority="74" stopIfTrue="1" operator="equal">
      <formula>$G323</formula>
    </cfRule>
  </conditionalFormatting>
  <conditionalFormatting sqref="B326:G326">
    <cfRule type="cellIs" dxfId="53" priority="73" stopIfTrue="1" operator="equal">
      <formula>$G325</formula>
    </cfRule>
  </conditionalFormatting>
  <conditionalFormatting sqref="B326">
    <cfRule type="cellIs" dxfId="52" priority="72" stopIfTrue="1" operator="equal">
      <formula>$G324</formula>
    </cfRule>
  </conditionalFormatting>
  <conditionalFormatting sqref="B328">
    <cfRule type="cellIs" dxfId="51" priority="71" stopIfTrue="1" operator="equal">
      <formula>$G325</formula>
    </cfRule>
  </conditionalFormatting>
  <conditionalFormatting sqref="B328">
    <cfRule type="cellIs" dxfId="50" priority="70" stopIfTrue="1" operator="equal">
      <formula>$G326</formula>
    </cfRule>
  </conditionalFormatting>
  <conditionalFormatting sqref="B328">
    <cfRule type="cellIs" dxfId="49" priority="69" stopIfTrue="1" operator="equal">
      <formula>$G325</formula>
    </cfRule>
  </conditionalFormatting>
  <conditionalFormatting sqref="B328">
    <cfRule type="cellIs" dxfId="48" priority="68" stopIfTrue="1" operator="equal">
      <formula>$G326</formula>
    </cfRule>
  </conditionalFormatting>
  <conditionalFormatting sqref="B328">
    <cfRule type="cellIs" dxfId="47" priority="67" stopIfTrue="1" operator="equal">
      <formula>$G325</formula>
    </cfRule>
  </conditionalFormatting>
  <conditionalFormatting sqref="B328">
    <cfRule type="cellIs" dxfId="46" priority="66" stopIfTrue="1" operator="equal">
      <formula>$G326</formula>
    </cfRule>
  </conditionalFormatting>
  <conditionalFormatting sqref="B328">
    <cfRule type="cellIs" dxfId="45" priority="65" stopIfTrue="1" operator="equal">
      <formula>$G326</formula>
    </cfRule>
  </conditionalFormatting>
  <conditionalFormatting sqref="B328">
    <cfRule type="cellIs" dxfId="44" priority="64" stopIfTrue="1" operator="equal">
      <formula>$G329</formula>
    </cfRule>
  </conditionalFormatting>
  <conditionalFormatting sqref="B330">
    <cfRule type="cellIs" dxfId="43" priority="63" stopIfTrue="1" operator="equal">
      <formula>$G322</formula>
    </cfRule>
  </conditionalFormatting>
  <conditionalFormatting sqref="B333">
    <cfRule type="cellIs" dxfId="42" priority="62" stopIfTrue="1" operator="equal">
      <formula>$G323</formula>
    </cfRule>
  </conditionalFormatting>
  <conditionalFormatting sqref="B331">
    <cfRule type="cellIs" dxfId="41" priority="61" stopIfTrue="1" operator="equal">
      <formula>$G323</formula>
    </cfRule>
  </conditionalFormatting>
  <conditionalFormatting sqref="B334">
    <cfRule type="cellIs" dxfId="40" priority="60" stopIfTrue="1" operator="equal">
      <formula>$G324</formula>
    </cfRule>
  </conditionalFormatting>
  <conditionalFormatting sqref="B334">
    <cfRule type="cellIs" dxfId="39" priority="59" stopIfTrue="1" operator="equal">
      <formula>$G325</formula>
    </cfRule>
  </conditionalFormatting>
  <conditionalFormatting sqref="B334">
    <cfRule type="cellIs" dxfId="38" priority="58" stopIfTrue="1" operator="equal">
      <formula>$G321</formula>
    </cfRule>
  </conditionalFormatting>
  <conditionalFormatting sqref="B340">
    <cfRule type="cellIs" dxfId="37" priority="57" stopIfTrue="1" operator="equal">
      <formula>$G339</formula>
    </cfRule>
  </conditionalFormatting>
  <conditionalFormatting sqref="B339">
    <cfRule type="cellIs" dxfId="36" priority="52" stopIfTrue="1" operator="equal">
      <formula>$G338</formula>
    </cfRule>
  </conditionalFormatting>
  <conditionalFormatting sqref="B342">
    <cfRule type="cellIs" dxfId="35" priority="51" stopIfTrue="1" operator="equal">
      <formula>$G338</formula>
    </cfRule>
  </conditionalFormatting>
  <conditionalFormatting sqref="B345">
    <cfRule type="cellIs" dxfId="34" priority="50" stopIfTrue="1" operator="equal">
      <formula>$G339</formula>
    </cfRule>
  </conditionalFormatting>
  <conditionalFormatting sqref="B343">
    <cfRule type="cellIs" dxfId="33" priority="49" stopIfTrue="1" operator="equal">
      <formula>$G339</formula>
    </cfRule>
  </conditionalFormatting>
  <conditionalFormatting sqref="B340">
    <cfRule type="cellIs" dxfId="32" priority="48" stopIfTrue="1" operator="equal">
      <formula>$G336</formula>
    </cfRule>
  </conditionalFormatting>
  <conditionalFormatting sqref="B340">
    <cfRule type="cellIs" dxfId="31" priority="47" stopIfTrue="1" operator="equal">
      <formula>$G337</formula>
    </cfRule>
  </conditionalFormatting>
  <conditionalFormatting sqref="B351:B353">
    <cfRule type="cellIs" dxfId="30" priority="46" stopIfTrue="1" operator="equal">
      <formula>$G350</formula>
    </cfRule>
  </conditionalFormatting>
  <conditionalFormatting sqref="B351:B353">
    <cfRule type="cellIs" dxfId="29" priority="44" stopIfTrue="1" operator="equal">
      <formula>$G346</formula>
    </cfRule>
  </conditionalFormatting>
  <conditionalFormatting sqref="B351:B353">
    <cfRule type="cellIs" dxfId="28" priority="43" stopIfTrue="1" operator="equal">
      <formula>$G349</formula>
    </cfRule>
  </conditionalFormatting>
  <conditionalFormatting sqref="B351:B353">
    <cfRule type="cellIs" dxfId="27" priority="39" stopIfTrue="1" operator="equal">
      <formula>$G347</formula>
    </cfRule>
  </conditionalFormatting>
  <conditionalFormatting sqref="B351:B353">
    <cfRule type="cellIs" dxfId="26" priority="38" stopIfTrue="1" operator="equal">
      <formula>$G348</formula>
    </cfRule>
  </conditionalFormatting>
  <conditionalFormatting sqref="B351:B352">
    <cfRule type="cellIs" dxfId="25" priority="35" stopIfTrue="1" operator="equal">
      <formula>$G345</formula>
    </cfRule>
  </conditionalFormatting>
  <conditionalFormatting sqref="B348:B349">
    <cfRule type="cellIs" dxfId="24" priority="34" stopIfTrue="1" operator="equal">
      <formula>$G347</formula>
    </cfRule>
  </conditionalFormatting>
  <conditionalFormatting sqref="B350">
    <cfRule type="cellIs" dxfId="23" priority="33" stopIfTrue="1" operator="equal">
      <formula>$G348</formula>
    </cfRule>
  </conditionalFormatting>
  <conditionalFormatting sqref="B356:B357">
    <cfRule type="cellIs" dxfId="22" priority="32" stopIfTrue="1" operator="equal">
      <formula>$G347</formula>
    </cfRule>
  </conditionalFormatting>
  <conditionalFormatting sqref="B363">
    <cfRule type="cellIs" dxfId="21" priority="31" stopIfTrue="1" operator="equal">
      <formula>$G348</formula>
    </cfRule>
  </conditionalFormatting>
  <conditionalFormatting sqref="B358:B359">
    <cfRule type="cellIs" dxfId="20" priority="30" stopIfTrue="1" operator="equal">
      <formula>$G348</formula>
    </cfRule>
  </conditionalFormatting>
  <conditionalFormatting sqref="B349:G349">
    <cfRule type="cellIs" dxfId="19" priority="29" stopIfTrue="1" operator="equal">
      <formula>$G348</formula>
    </cfRule>
  </conditionalFormatting>
  <conditionalFormatting sqref="B349">
    <cfRule type="cellIs" dxfId="18" priority="28" stopIfTrue="1" operator="equal">
      <formula>$G347</formula>
    </cfRule>
  </conditionalFormatting>
  <conditionalFormatting sqref="B353">
    <cfRule type="cellIs" dxfId="17" priority="27" stopIfTrue="1" operator="equal">
      <formula>$G358</formula>
    </cfRule>
  </conditionalFormatting>
  <conditionalFormatting sqref="B355">
    <cfRule type="cellIs" dxfId="16" priority="26" stopIfTrue="1" operator="equal">
      <formula>$G345</formula>
    </cfRule>
  </conditionalFormatting>
  <conditionalFormatting sqref="B359">
    <cfRule type="cellIs" dxfId="15" priority="25" stopIfTrue="1" operator="equal">
      <formula>$G346</formula>
    </cfRule>
  </conditionalFormatting>
  <conditionalFormatting sqref="B351:B352">
    <cfRule type="cellIs" dxfId="14" priority="24" stopIfTrue="1" operator="equal">
      <formula>$G354</formula>
    </cfRule>
  </conditionalFormatting>
  <conditionalFormatting sqref="B366">
    <cfRule type="cellIs" dxfId="13" priority="18" stopIfTrue="1" operator="equal">
      <formula>$G365</formula>
    </cfRule>
  </conditionalFormatting>
  <conditionalFormatting sqref="B367">
    <cfRule type="cellIs" dxfId="12" priority="17" stopIfTrue="1" operator="equal">
      <formula>$G366</formula>
    </cfRule>
  </conditionalFormatting>
  <conditionalFormatting sqref="B369">
    <cfRule type="cellIs" dxfId="11" priority="16" stopIfTrue="1" operator="equal">
      <formula>$G365</formula>
    </cfRule>
  </conditionalFormatting>
  <conditionalFormatting sqref="B372">
    <cfRule type="cellIs" dxfId="10" priority="15" stopIfTrue="1" operator="equal">
      <formula>$G366</formula>
    </cfRule>
  </conditionalFormatting>
  <conditionalFormatting sqref="B370">
    <cfRule type="cellIs" dxfId="9" priority="14" stopIfTrue="1" operator="equal">
      <formula>$G366</formula>
    </cfRule>
  </conditionalFormatting>
  <conditionalFormatting sqref="B367">
    <cfRule type="cellIs" dxfId="8" priority="13" stopIfTrue="1" operator="equal">
      <formula>$G363</formula>
    </cfRule>
  </conditionalFormatting>
  <conditionalFormatting sqref="B367">
    <cfRule type="cellIs" dxfId="7" priority="12" stopIfTrue="1" operator="equal">
      <formula>$G364</formula>
    </cfRule>
  </conditionalFormatting>
  <conditionalFormatting sqref="B375">
    <cfRule type="cellIs" dxfId="6" priority="7" stopIfTrue="1" operator="equal">
      <formula>$G374</formula>
    </cfRule>
  </conditionalFormatting>
  <conditionalFormatting sqref="B376">
    <cfRule type="cellIs" dxfId="5" priority="6" stopIfTrue="1" operator="equal">
      <formula>$G375</formula>
    </cfRule>
  </conditionalFormatting>
  <conditionalFormatting sqref="B378">
    <cfRule type="cellIs" dxfId="4" priority="5" stopIfTrue="1" operator="equal">
      <formula>$G374</formula>
    </cfRule>
  </conditionalFormatting>
  <conditionalFormatting sqref="B381">
    <cfRule type="cellIs" dxfId="3" priority="4" stopIfTrue="1" operator="equal">
      <formula>$G375</formula>
    </cfRule>
  </conditionalFormatting>
  <conditionalFormatting sqref="B379">
    <cfRule type="cellIs" dxfId="2" priority="3" stopIfTrue="1" operator="equal">
      <formula>$G375</formula>
    </cfRule>
  </conditionalFormatting>
  <conditionalFormatting sqref="B376">
    <cfRule type="cellIs" dxfId="1" priority="2" stopIfTrue="1" operator="equal">
      <formula>$G372</formula>
    </cfRule>
  </conditionalFormatting>
  <conditionalFormatting sqref="B376">
    <cfRule type="cellIs" dxfId="0" priority="1" stopIfTrue="1" operator="equal">
      <formula>$G373</formula>
    </cfRule>
  </conditionalFormatting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6" manualBreakCount="6">
    <brk id="44" min="1" max="45" man="1"/>
    <brk id="157" max="45" man="1"/>
    <brk id="185" max="45" man="1"/>
    <brk id="291" max="45" man="1"/>
    <brk id="344" max="45" man="1"/>
    <brk id="371" max="4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1417670</vt:lpstr>
      <vt:lpstr>'1417670'!Область_друку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2024-01-19T07:46:31Z</cp:lastPrinted>
  <dcterms:created xsi:type="dcterms:W3CDTF">2019-01-14T08:15:45Z</dcterms:created>
  <dcterms:modified xsi:type="dcterms:W3CDTF">2024-02-08T15:18:07Z</dcterms:modified>
</cp:coreProperties>
</file>