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6030" sheetId="1" r:id="rId1"/>
  </sheets>
  <definedNames>
    <definedName name="_xlnm.Print_Area" localSheetId="0">'1216030'!$A$1:$AA$436</definedName>
  </definedNames>
  <calcPr calcId="152511"/>
</workbook>
</file>

<file path=xl/calcChain.xml><?xml version="1.0" encoding="utf-8"?>
<calcChain xmlns="http://schemas.openxmlformats.org/spreadsheetml/2006/main">
  <c r="V346" i="1" l="1"/>
  <c r="X346" i="1"/>
  <c r="V345" i="1"/>
  <c r="P345" i="1"/>
  <c r="Y345" i="1" s="1"/>
  <c r="AA345" i="1" s="1"/>
  <c r="V362" i="1"/>
  <c r="V366" i="1"/>
  <c r="X366" i="1" s="1"/>
  <c r="P323" i="1"/>
  <c r="V314" i="1"/>
  <c r="P313" i="1"/>
  <c r="W184" i="1"/>
  <c r="X184" i="1"/>
  <c r="V183" i="1"/>
  <c r="W125" i="1"/>
  <c r="V251" i="1"/>
  <c r="V260" i="1"/>
  <c r="V225" i="1"/>
  <c r="W373" i="1"/>
  <c r="V146" i="1"/>
  <c r="V114" i="1"/>
  <c r="V150" i="1"/>
  <c r="X150" i="1" s="1"/>
  <c r="V128" i="1"/>
  <c r="X128" i="1" s="1"/>
  <c r="V261" i="1"/>
  <c r="P261" i="1"/>
  <c r="X261" i="1"/>
  <c r="P251" i="1"/>
  <c r="P260" i="1" s="1"/>
  <c r="T260" i="1"/>
  <c r="P250" i="1"/>
  <c r="P259" i="1"/>
  <c r="V250" i="1"/>
  <c r="V259" i="1"/>
  <c r="X259" i="1" s="1"/>
  <c r="V249" i="1"/>
  <c r="V258" i="1" s="1"/>
  <c r="X258" i="1"/>
  <c r="V248" i="1"/>
  <c r="V257" i="1"/>
  <c r="X257" i="1" s="1"/>
  <c r="V252" i="1"/>
  <c r="X252" i="1" s="1"/>
  <c r="X251" i="1"/>
  <c r="V247" i="1"/>
  <c r="X247" i="1"/>
  <c r="P249" i="1"/>
  <c r="P258" i="1"/>
  <c r="T258" i="1" s="1"/>
  <c r="P248" i="1"/>
  <c r="P257" i="1"/>
  <c r="T257" i="1" s="1"/>
  <c r="P247" i="1"/>
  <c r="P256" i="1"/>
  <c r="T256" i="1" s="1"/>
  <c r="V412" i="1"/>
  <c r="Y243" i="1"/>
  <c r="AA243" i="1"/>
  <c r="T243" i="1"/>
  <c r="X243" i="1"/>
  <c r="V317" i="1"/>
  <c r="V415" i="1"/>
  <c r="V414" i="1"/>
  <c r="V413" i="1"/>
  <c r="X338" i="1"/>
  <c r="V125" i="1"/>
  <c r="P125" i="1"/>
  <c r="Y125" i="1"/>
  <c r="AA125" i="1" s="1"/>
  <c r="V115" i="1"/>
  <c r="Y115" i="1" s="1"/>
  <c r="AA115" i="1" s="1"/>
  <c r="V182" i="1"/>
  <c r="P134" i="1"/>
  <c r="T134" i="1" s="1"/>
  <c r="P82" i="1"/>
  <c r="T82" i="1"/>
  <c r="M82" i="1"/>
  <c r="P83" i="1"/>
  <c r="K83" i="1"/>
  <c r="B33" i="1"/>
  <c r="B34" i="1" s="1"/>
  <c r="B35" i="1"/>
  <c r="B36" i="1" s="1"/>
  <c r="B37" i="1" s="1"/>
  <c r="B38" i="1" s="1"/>
  <c r="B39" i="1"/>
  <c r="B40" i="1" s="1"/>
  <c r="B41" i="1" s="1"/>
  <c r="B42" i="1" s="1"/>
  <c r="B43" i="1" s="1"/>
  <c r="W52" i="1"/>
  <c r="W55" i="1"/>
  <c r="W57" i="1"/>
  <c r="P59" i="1"/>
  <c r="T59" i="1" s="1"/>
  <c r="W59" i="1"/>
  <c r="W61" i="1"/>
  <c r="L63" i="1"/>
  <c r="R63" i="1"/>
  <c r="W63" i="1"/>
  <c r="P65" i="1"/>
  <c r="T65" i="1"/>
  <c r="W65" i="1"/>
  <c r="P67" i="1"/>
  <c r="T67" i="1" s="1"/>
  <c r="W67" i="1"/>
  <c r="V69" i="1"/>
  <c r="P71" i="1"/>
  <c r="T71" i="1" s="1"/>
  <c r="W71" i="1"/>
  <c r="W93" i="1"/>
  <c r="R50" i="1"/>
  <c r="P94" i="1"/>
  <c r="X94" i="1"/>
  <c r="A95" i="1"/>
  <c r="A96" i="1"/>
  <c r="A97" i="1" s="1"/>
  <c r="A98" i="1"/>
  <c r="A99" i="1" s="1"/>
  <c r="A100" i="1" s="1"/>
  <c r="A101" i="1" s="1"/>
  <c r="A102" i="1"/>
  <c r="A103" i="1" s="1"/>
  <c r="A104" i="1" s="1"/>
  <c r="P95" i="1"/>
  <c r="T95" i="1"/>
  <c r="X95" i="1"/>
  <c r="P96" i="1"/>
  <c r="X96" i="1"/>
  <c r="R97" i="1"/>
  <c r="R93" i="1"/>
  <c r="X97" i="1"/>
  <c r="Y97" i="1"/>
  <c r="P98" i="1"/>
  <c r="X98" i="1"/>
  <c r="Z98" i="1"/>
  <c r="P99" i="1"/>
  <c r="X99" i="1"/>
  <c r="P100" i="1"/>
  <c r="T100" i="1"/>
  <c r="V100" i="1"/>
  <c r="V101" i="1"/>
  <c r="P101" i="1"/>
  <c r="T101" i="1" s="1"/>
  <c r="P102" i="1"/>
  <c r="X102" i="1"/>
  <c r="T103" i="1"/>
  <c r="X103" i="1"/>
  <c r="Y103" i="1"/>
  <c r="AA103" i="1"/>
  <c r="T104" i="1"/>
  <c r="X104" i="1"/>
  <c r="Y104" i="1"/>
  <c r="AA104" i="1"/>
  <c r="P109" i="1"/>
  <c r="T109" i="1"/>
  <c r="V109" i="1"/>
  <c r="V124" i="1"/>
  <c r="A110" i="1"/>
  <c r="T110" i="1"/>
  <c r="X110" i="1"/>
  <c r="Y110" i="1"/>
  <c r="Z110" i="1"/>
  <c r="AA110" i="1"/>
  <c r="A111" i="1"/>
  <c r="T111" i="1"/>
  <c r="X111" i="1"/>
  <c r="Y111" i="1"/>
  <c r="AA111" i="1" s="1"/>
  <c r="A112" i="1"/>
  <c r="A113" i="1" s="1"/>
  <c r="A114" i="1" s="1"/>
  <c r="A115" i="1" s="1"/>
  <c r="A116" i="1" s="1"/>
  <c r="A117" i="1" s="1"/>
  <c r="A118" i="1" s="1"/>
  <c r="A119" i="1" s="1"/>
  <c r="P112" i="1"/>
  <c r="X112" i="1"/>
  <c r="P113" i="1"/>
  <c r="T113" i="1"/>
  <c r="X113" i="1"/>
  <c r="T114" i="1"/>
  <c r="T115" i="1"/>
  <c r="P116" i="1"/>
  <c r="T116" i="1"/>
  <c r="X116" i="1"/>
  <c r="T117" i="1"/>
  <c r="X117" i="1"/>
  <c r="Y117" i="1"/>
  <c r="AA117" i="1" s="1"/>
  <c r="T118" i="1"/>
  <c r="X118" i="1"/>
  <c r="Y118" i="1"/>
  <c r="AA118" i="1" s="1"/>
  <c r="T119" i="1"/>
  <c r="X119" i="1"/>
  <c r="Y119" i="1"/>
  <c r="AA119" i="1" s="1"/>
  <c r="P124" i="1"/>
  <c r="T124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X125" i="1"/>
  <c r="P126" i="1"/>
  <c r="T126" i="1"/>
  <c r="V126" i="1"/>
  <c r="X126" i="1"/>
  <c r="V127" i="1"/>
  <c r="X127" i="1"/>
  <c r="P128" i="1"/>
  <c r="T128" i="1"/>
  <c r="V129" i="1"/>
  <c r="X129" i="1" s="1"/>
  <c r="P130" i="1"/>
  <c r="T130" i="1" s="1"/>
  <c r="X130" i="1"/>
  <c r="AA130" i="1"/>
  <c r="V132" i="1"/>
  <c r="X132" i="1"/>
  <c r="P133" i="1"/>
  <c r="T133" i="1"/>
  <c r="V133" i="1"/>
  <c r="X133" i="1"/>
  <c r="V134" i="1"/>
  <c r="X134" i="1" s="1"/>
  <c r="A142" i="1"/>
  <c r="A143" i="1" s="1"/>
  <c r="A144" i="1" s="1"/>
  <c r="P142" i="1"/>
  <c r="T142" i="1"/>
  <c r="P143" i="1"/>
  <c r="Y143" i="1" s="1"/>
  <c r="AA143" i="1" s="1"/>
  <c r="R143" i="1"/>
  <c r="T143" i="1"/>
  <c r="V143" i="1"/>
  <c r="W143" i="1"/>
  <c r="A145" i="1"/>
  <c r="A146" i="1" s="1"/>
  <c r="A147" i="1"/>
  <c r="A148" i="1" s="1"/>
  <c r="A149" i="1" s="1"/>
  <c r="A150" i="1" s="1"/>
  <c r="A151" i="1" s="1"/>
  <c r="P144" i="1"/>
  <c r="T144" i="1"/>
  <c r="V144" i="1"/>
  <c r="X144" i="1"/>
  <c r="V145" i="1"/>
  <c r="X145" i="1"/>
  <c r="P146" i="1"/>
  <c r="T146" i="1"/>
  <c r="X146" i="1"/>
  <c r="P147" i="1"/>
  <c r="T147" i="1" s="1"/>
  <c r="P148" i="1"/>
  <c r="T148" i="1" s="1"/>
  <c r="P149" i="1"/>
  <c r="T149" i="1" s="1"/>
  <c r="V149" i="1"/>
  <c r="X149" i="1" s="1"/>
  <c r="P150" i="1"/>
  <c r="T150" i="1" s="1"/>
  <c r="P151" i="1"/>
  <c r="T151" i="1" s="1"/>
  <c r="V151" i="1"/>
  <c r="X151" i="1" s="1"/>
  <c r="P154" i="1"/>
  <c r="V154" i="1"/>
  <c r="P52" i="1"/>
  <c r="T156" i="1"/>
  <c r="X156" i="1"/>
  <c r="Y156" i="1"/>
  <c r="AA156" i="1"/>
  <c r="T157" i="1"/>
  <c r="X157" i="1"/>
  <c r="Y157" i="1"/>
  <c r="AA157" i="1"/>
  <c r="P161" i="1"/>
  <c r="T161" i="1"/>
  <c r="V161" i="1"/>
  <c r="X161" i="1"/>
  <c r="Y161" i="1"/>
  <c r="AA161" i="1"/>
  <c r="R164" i="1"/>
  <c r="L53" i="1"/>
  <c r="V164" i="1"/>
  <c r="P53" i="1"/>
  <c r="W164" i="1"/>
  <c r="R53" i="1"/>
  <c r="W53" i="1" s="1"/>
  <c r="P165" i="1"/>
  <c r="X165" i="1"/>
  <c r="P166" i="1"/>
  <c r="X166" i="1"/>
  <c r="T167" i="1"/>
  <c r="X167" i="1"/>
  <c r="Z167" i="1"/>
  <c r="Z164" i="1"/>
  <c r="T170" i="1"/>
  <c r="X170" i="1"/>
  <c r="Y170" i="1"/>
  <c r="AA170" i="1"/>
  <c r="T171" i="1"/>
  <c r="X171" i="1"/>
  <c r="Y171" i="1"/>
  <c r="AA171" i="1"/>
  <c r="T172" i="1"/>
  <c r="X172" i="1"/>
  <c r="Z172" i="1"/>
  <c r="AA172" i="1"/>
  <c r="V176" i="1"/>
  <c r="X176" i="1"/>
  <c r="T177" i="1"/>
  <c r="X177" i="1"/>
  <c r="Y177" i="1"/>
  <c r="R178" i="1"/>
  <c r="T178" i="1" s="1"/>
  <c r="W178" i="1"/>
  <c r="X178" i="1" s="1"/>
  <c r="X182" i="1"/>
  <c r="P183" i="1"/>
  <c r="T183" i="1"/>
  <c r="X183" i="1"/>
  <c r="R184" i="1"/>
  <c r="T184" i="1" s="1"/>
  <c r="V187" i="1"/>
  <c r="X187" i="1" s="1"/>
  <c r="A188" i="1"/>
  <c r="A189" i="1" s="1"/>
  <c r="A190" i="1" s="1"/>
  <c r="A191" i="1" s="1"/>
  <c r="A192" i="1" s="1"/>
  <c r="A193" i="1" s="1"/>
  <c r="P188" i="1"/>
  <c r="X188" i="1"/>
  <c r="P189" i="1"/>
  <c r="T189" i="1"/>
  <c r="X189" i="1"/>
  <c r="T190" i="1"/>
  <c r="X190" i="1"/>
  <c r="Y190" i="1"/>
  <c r="AA190" i="1" s="1"/>
  <c r="T191" i="1"/>
  <c r="X191" i="1"/>
  <c r="Y191" i="1"/>
  <c r="AA191" i="1" s="1"/>
  <c r="P192" i="1"/>
  <c r="X192" i="1"/>
  <c r="P193" i="1"/>
  <c r="T193" i="1"/>
  <c r="X193" i="1"/>
  <c r="A201" i="1"/>
  <c r="A202" i="1" s="1"/>
  <c r="A203" i="1"/>
  <c r="A204" i="1" s="1"/>
  <c r="A205" i="1" s="1"/>
  <c r="A206" i="1" s="1"/>
  <c r="A207" i="1"/>
  <c r="T201" i="1"/>
  <c r="X201" i="1"/>
  <c r="Y201" i="1"/>
  <c r="AA201" i="1"/>
  <c r="T202" i="1"/>
  <c r="X202" i="1"/>
  <c r="Y202" i="1"/>
  <c r="AA202" i="1"/>
  <c r="T203" i="1"/>
  <c r="X203" i="1"/>
  <c r="Y203" i="1"/>
  <c r="AA203" i="1"/>
  <c r="T204" i="1"/>
  <c r="X204" i="1"/>
  <c r="Y204" i="1"/>
  <c r="AA204" i="1"/>
  <c r="T205" i="1"/>
  <c r="X205" i="1"/>
  <c r="Y205" i="1"/>
  <c r="AA205" i="1"/>
  <c r="T206" i="1"/>
  <c r="X206" i="1"/>
  <c r="Y206" i="1"/>
  <c r="AA206" i="1"/>
  <c r="T207" i="1"/>
  <c r="X207" i="1"/>
  <c r="Y207" i="1"/>
  <c r="AA207" i="1"/>
  <c r="V212" i="1"/>
  <c r="X212" i="1" s="1"/>
  <c r="A213" i="1"/>
  <c r="A214" i="1" s="1"/>
  <c r="A215" i="1" s="1"/>
  <c r="A216" i="1" s="1"/>
  <c r="A217" i="1" s="1"/>
  <c r="V213" i="1"/>
  <c r="X213" i="1"/>
  <c r="P214" i="1"/>
  <c r="T214" i="1"/>
  <c r="V214" i="1"/>
  <c r="X214" i="1"/>
  <c r="Y214" i="1"/>
  <c r="AA214" i="1"/>
  <c r="P215" i="1"/>
  <c r="T215" i="1"/>
  <c r="V215" i="1"/>
  <c r="X215" i="1"/>
  <c r="V216" i="1"/>
  <c r="X216" i="1"/>
  <c r="V217" i="1"/>
  <c r="X217" i="1"/>
  <c r="V224" i="1"/>
  <c r="X224" i="1"/>
  <c r="P225" i="1"/>
  <c r="T225" i="1"/>
  <c r="X225" i="1"/>
  <c r="V231" i="1"/>
  <c r="P232" i="1"/>
  <c r="X232" i="1"/>
  <c r="P233" i="1"/>
  <c r="T233" i="1"/>
  <c r="X233" i="1"/>
  <c r="P234" i="1"/>
  <c r="T234" i="1" s="1"/>
  <c r="X234" i="1"/>
  <c r="P235" i="1"/>
  <c r="T235" i="1"/>
  <c r="X235" i="1"/>
  <c r="T239" i="1"/>
  <c r="X239" i="1"/>
  <c r="Y239" i="1"/>
  <c r="AA239" i="1" s="1"/>
  <c r="T240" i="1"/>
  <c r="X240" i="1"/>
  <c r="Y240" i="1"/>
  <c r="AA240" i="1" s="1"/>
  <c r="T241" i="1"/>
  <c r="X241" i="1"/>
  <c r="Y241" i="1"/>
  <c r="AA241" i="1" s="1"/>
  <c r="T242" i="1"/>
  <c r="X242" i="1"/>
  <c r="Y242" i="1"/>
  <c r="AA242" i="1" s="1"/>
  <c r="T247" i="1"/>
  <c r="Y247" i="1"/>
  <c r="AA247" i="1"/>
  <c r="T248" i="1"/>
  <c r="X248" i="1"/>
  <c r="Y248" i="1"/>
  <c r="AA248" i="1"/>
  <c r="T249" i="1"/>
  <c r="X249" i="1"/>
  <c r="Y249" i="1"/>
  <c r="AA249" i="1"/>
  <c r="X250" i="1"/>
  <c r="P265" i="1"/>
  <c r="X265" i="1"/>
  <c r="P268" i="1"/>
  <c r="T268" i="1"/>
  <c r="V268" i="1"/>
  <c r="X268" i="1"/>
  <c r="V271" i="1"/>
  <c r="X271" i="1"/>
  <c r="P279" i="1"/>
  <c r="X279" i="1"/>
  <c r="A280" i="1"/>
  <c r="A281" i="1"/>
  <c r="A282" i="1" s="1"/>
  <c r="A283" i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T280" i="1"/>
  <c r="X280" i="1"/>
  <c r="Y280" i="1"/>
  <c r="AA280" i="1" s="1"/>
  <c r="P281" i="1"/>
  <c r="X281" i="1"/>
  <c r="P282" i="1"/>
  <c r="X282" i="1"/>
  <c r="P283" i="1"/>
  <c r="T283" i="1"/>
  <c r="X283" i="1"/>
  <c r="T284" i="1"/>
  <c r="X284" i="1"/>
  <c r="Y284" i="1"/>
  <c r="AA284" i="1" s="1"/>
  <c r="P285" i="1"/>
  <c r="T285" i="1" s="1"/>
  <c r="X285" i="1"/>
  <c r="P286" i="1"/>
  <c r="T286" i="1"/>
  <c r="X286" i="1"/>
  <c r="P287" i="1"/>
  <c r="T287" i="1" s="1"/>
  <c r="V287" i="1"/>
  <c r="V288" i="1"/>
  <c r="P288" i="1"/>
  <c r="T288" i="1"/>
  <c r="P289" i="1"/>
  <c r="X289" i="1"/>
  <c r="T290" i="1"/>
  <c r="X290" i="1"/>
  <c r="Y290" i="1"/>
  <c r="AA290" i="1"/>
  <c r="T291" i="1"/>
  <c r="X291" i="1"/>
  <c r="Y291" i="1"/>
  <c r="AA291" i="1"/>
  <c r="T292" i="1"/>
  <c r="X292" i="1"/>
  <c r="Y292" i="1"/>
  <c r="AA292" i="1"/>
  <c r="T293" i="1"/>
  <c r="X293" i="1"/>
  <c r="Y293" i="1"/>
  <c r="AA293" i="1"/>
  <c r="T294" i="1"/>
  <c r="X294" i="1"/>
  <c r="Y294" i="1"/>
  <c r="AA294" i="1"/>
  <c r="T298" i="1"/>
  <c r="X298" i="1"/>
  <c r="Y298" i="1"/>
  <c r="AA298" i="1"/>
  <c r="T299" i="1"/>
  <c r="X299" i="1"/>
  <c r="Y299" i="1"/>
  <c r="AA299" i="1"/>
  <c r="T300" i="1"/>
  <c r="X300" i="1"/>
  <c r="Y300" i="1"/>
  <c r="AA300" i="1"/>
  <c r="T301" i="1"/>
  <c r="X301" i="1"/>
  <c r="Y301" i="1"/>
  <c r="AA301" i="1"/>
  <c r="T302" i="1"/>
  <c r="X302" i="1"/>
  <c r="Y302" i="1"/>
  <c r="AA302" i="1"/>
  <c r="T303" i="1"/>
  <c r="X303" i="1"/>
  <c r="Y303" i="1"/>
  <c r="AA303" i="1"/>
  <c r="T304" i="1"/>
  <c r="X304" i="1"/>
  <c r="Y304" i="1"/>
  <c r="AA304" i="1"/>
  <c r="T305" i="1"/>
  <c r="X305" i="1"/>
  <c r="Y305" i="1"/>
  <c r="AA305" i="1"/>
  <c r="T306" i="1"/>
  <c r="X306" i="1"/>
  <c r="Y306" i="1"/>
  <c r="AA306" i="1"/>
  <c r="T307" i="1"/>
  <c r="X307" i="1"/>
  <c r="Y307" i="1"/>
  <c r="AA307" i="1"/>
  <c r="P309" i="1"/>
  <c r="T309" i="1"/>
  <c r="V309" i="1"/>
  <c r="X309" i="1"/>
  <c r="A310" i="1"/>
  <c r="A311" i="1"/>
  <c r="A312" i="1" s="1"/>
  <c r="A313" i="1" s="1"/>
  <c r="A314" i="1" s="1"/>
  <c r="A315" i="1" s="1"/>
  <c r="A316" i="1" s="1"/>
  <c r="A317" i="1" s="1"/>
  <c r="A318" i="1" s="1"/>
  <c r="V310" i="1"/>
  <c r="X310" i="1" s="1"/>
  <c r="V311" i="1"/>
  <c r="X311" i="1" s="1"/>
  <c r="V312" i="1"/>
  <c r="X312" i="1" s="1"/>
  <c r="T313" i="1"/>
  <c r="V313" i="1"/>
  <c r="X313" i="1"/>
  <c r="X314" i="1"/>
  <c r="P316" i="1"/>
  <c r="T316" i="1" s="1"/>
  <c r="V316" i="1"/>
  <c r="X316" i="1" s="1"/>
  <c r="P317" i="1"/>
  <c r="X317" i="1"/>
  <c r="P318" i="1"/>
  <c r="T318" i="1"/>
  <c r="V318" i="1"/>
  <c r="X318" i="1"/>
  <c r="P321" i="1"/>
  <c r="T321" i="1"/>
  <c r="V321" i="1"/>
  <c r="X321" i="1"/>
  <c r="A322" i="1"/>
  <c r="A323" i="1"/>
  <c r="A324" i="1" s="1"/>
  <c r="A325" i="1" s="1"/>
  <c r="A326" i="1" s="1"/>
  <c r="A327" i="1" s="1"/>
  <c r="A328" i="1" s="1"/>
  <c r="P322" i="1"/>
  <c r="T322" i="1" s="1"/>
  <c r="V322" i="1"/>
  <c r="X322" i="1" s="1"/>
  <c r="T323" i="1"/>
  <c r="V323" i="1"/>
  <c r="X323" i="1"/>
  <c r="P324" i="1"/>
  <c r="T324" i="1"/>
  <c r="V324" i="1"/>
  <c r="X324" i="1"/>
  <c r="P325" i="1"/>
  <c r="T325" i="1"/>
  <c r="V325" i="1"/>
  <c r="X325" i="1"/>
  <c r="P326" i="1"/>
  <c r="T326" i="1"/>
  <c r="V326" i="1"/>
  <c r="X326" i="1"/>
  <c r="P327" i="1"/>
  <c r="T327" i="1"/>
  <c r="V327" i="1"/>
  <c r="X327" i="1"/>
  <c r="P328" i="1"/>
  <c r="T328" i="1"/>
  <c r="V328" i="1"/>
  <c r="X328" i="1"/>
  <c r="V332" i="1"/>
  <c r="P63" i="1"/>
  <c r="P333" i="1"/>
  <c r="T333" i="1"/>
  <c r="X333" i="1"/>
  <c r="P334" i="1"/>
  <c r="P342" i="1" s="1"/>
  <c r="X334" i="1"/>
  <c r="T337" i="1"/>
  <c r="X337" i="1"/>
  <c r="Y337" i="1"/>
  <c r="AA337" i="1"/>
  <c r="T338" i="1"/>
  <c r="Y338" i="1"/>
  <c r="AA338" i="1" s="1"/>
  <c r="P341" i="1"/>
  <c r="T341" i="1" s="1"/>
  <c r="V341" i="1"/>
  <c r="X341" i="1" s="1"/>
  <c r="X342" i="1"/>
  <c r="X345" i="1"/>
  <c r="P346" i="1"/>
  <c r="T346" i="1" s="1"/>
  <c r="P349" i="1"/>
  <c r="K65" i="1" s="1"/>
  <c r="V65" i="1" s="1"/>
  <c r="X65" i="1" s="1"/>
  <c r="X349" i="1"/>
  <c r="T352" i="1"/>
  <c r="X352" i="1"/>
  <c r="Y352" i="1"/>
  <c r="AA352" i="1"/>
  <c r="X354" i="1"/>
  <c r="P357" i="1"/>
  <c r="T357" i="1" s="1"/>
  <c r="V357" i="1"/>
  <c r="X357" i="1" s="1"/>
  <c r="P360" i="1"/>
  <c r="X360" i="1"/>
  <c r="P362" i="1"/>
  <c r="T362" i="1"/>
  <c r="X362" i="1"/>
  <c r="V364" i="1"/>
  <c r="X364" i="1" s="1"/>
  <c r="A370" i="1"/>
  <c r="A371" i="1" s="1"/>
  <c r="A372" i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T370" i="1"/>
  <c r="X370" i="1"/>
  <c r="T371" i="1"/>
  <c r="W371" i="1"/>
  <c r="T372" i="1"/>
  <c r="X372" i="1"/>
  <c r="T373" i="1"/>
  <c r="T374" i="1"/>
  <c r="X374" i="1"/>
  <c r="T375" i="1"/>
  <c r="X375" i="1"/>
  <c r="T376" i="1"/>
  <c r="X376" i="1"/>
  <c r="Z376" i="1"/>
  <c r="AA376" i="1"/>
  <c r="T377" i="1"/>
  <c r="X377" i="1"/>
  <c r="Z378" i="1"/>
  <c r="AA378" i="1"/>
  <c r="X378" i="1"/>
  <c r="T379" i="1"/>
  <c r="X379" i="1"/>
  <c r="T380" i="1"/>
  <c r="X380" i="1"/>
  <c r="T381" i="1"/>
  <c r="X381" i="1"/>
  <c r="R382" i="1"/>
  <c r="T382" i="1" s="1"/>
  <c r="W382" i="1"/>
  <c r="R383" i="1"/>
  <c r="T383" i="1" s="1"/>
  <c r="X383" i="1"/>
  <c r="R384" i="1"/>
  <c r="T384" i="1"/>
  <c r="X384" i="1"/>
  <c r="W388" i="1"/>
  <c r="X388" i="1" s="1"/>
  <c r="R389" i="1"/>
  <c r="T389" i="1" s="1"/>
  <c r="X389" i="1"/>
  <c r="T390" i="1"/>
  <c r="X390" i="1"/>
  <c r="Z390" i="1"/>
  <c r="AA390" i="1"/>
  <c r="R391" i="1"/>
  <c r="T391" i="1"/>
  <c r="X391" i="1"/>
  <c r="Z391" i="1"/>
  <c r="AA391" i="1" s="1"/>
  <c r="T392" i="1"/>
  <c r="X392" i="1"/>
  <c r="Z392" i="1"/>
  <c r="AA392" i="1" s="1"/>
  <c r="T394" i="1"/>
  <c r="T395" i="1"/>
  <c r="T396" i="1"/>
  <c r="X396" i="1"/>
  <c r="R397" i="1"/>
  <c r="T397" i="1" s="1"/>
  <c r="W397" i="1"/>
  <c r="X397" i="1" s="1"/>
  <c r="R398" i="1"/>
  <c r="T398" i="1" s="1"/>
  <c r="W398" i="1"/>
  <c r="X398" i="1" s="1"/>
  <c r="P405" i="1"/>
  <c r="K71" i="1" s="1"/>
  <c r="X405" i="1"/>
  <c r="T408" i="1"/>
  <c r="X408" i="1"/>
  <c r="Y408" i="1"/>
  <c r="AA408" i="1"/>
  <c r="T409" i="1"/>
  <c r="X409" i="1"/>
  <c r="Y409" i="1"/>
  <c r="AA409" i="1"/>
  <c r="P412" i="1"/>
  <c r="T412" i="1"/>
  <c r="P413" i="1"/>
  <c r="T413" i="1"/>
  <c r="X413" i="1"/>
  <c r="P414" i="1"/>
  <c r="T414" i="1" s="1"/>
  <c r="X414" i="1"/>
  <c r="P415" i="1"/>
  <c r="T415" i="1"/>
  <c r="X415" i="1"/>
  <c r="Y415" i="1"/>
  <c r="AA415" i="1" s="1"/>
  <c r="P418" i="1"/>
  <c r="T418" i="1" s="1"/>
  <c r="X418" i="1"/>
  <c r="T378" i="1"/>
  <c r="Z384" i="1"/>
  <c r="AA384" i="1" s="1"/>
  <c r="Z383" i="1"/>
  <c r="AA383" i="1" s="1"/>
  <c r="R369" i="1"/>
  <c r="T369" i="1" s="1"/>
  <c r="Z379" i="1"/>
  <c r="AA379" i="1" s="1"/>
  <c r="Z377" i="1"/>
  <c r="AA377" i="1" s="1"/>
  <c r="T405" i="1"/>
  <c r="X373" i="1"/>
  <c r="Z372" i="1"/>
  <c r="AA372" i="1" s="1"/>
  <c r="P332" i="1"/>
  <c r="Y166" i="1"/>
  <c r="AA166" i="1"/>
  <c r="X164" i="1"/>
  <c r="X154" i="1"/>
  <c r="X100" i="1"/>
  <c r="Y94" i="1"/>
  <c r="T94" i="1"/>
  <c r="P55" i="1"/>
  <c r="T55" i="1"/>
  <c r="T83" i="1"/>
  <c r="V82" i="1"/>
  <c r="X82" i="1" s="1"/>
  <c r="T349" i="1"/>
  <c r="Y286" i="1"/>
  <c r="AA286" i="1" s="1"/>
  <c r="Y279" i="1"/>
  <c r="AA279" i="1" s="1"/>
  <c r="T279" i="1"/>
  <c r="Y234" i="1"/>
  <c r="AA234" i="1" s="1"/>
  <c r="AA94" i="1"/>
  <c r="Y332" i="1"/>
  <c r="AA332" i="1" s="1"/>
  <c r="P187" i="1"/>
  <c r="T166" i="1"/>
  <c r="M83" i="1"/>
  <c r="Y334" i="1"/>
  <c r="AA334" i="1" s="1"/>
  <c r="Y189" i="1"/>
  <c r="AA189" i="1" s="1"/>
  <c r="Z374" i="1"/>
  <c r="AA374" i="1"/>
  <c r="Y333" i="1"/>
  <c r="AA333" i="1"/>
  <c r="Y283" i="1"/>
  <c r="AA283" i="1"/>
  <c r="Y192" i="1"/>
  <c r="AA192" i="1" s="1"/>
  <c r="Y188" i="1"/>
  <c r="AA188" i="1" s="1"/>
  <c r="Y109" i="1"/>
  <c r="AA109" i="1" s="1"/>
  <c r="Y98" i="1"/>
  <c r="T98" i="1"/>
  <c r="T97" i="1"/>
  <c r="X412" i="1"/>
  <c r="AA98" i="1"/>
  <c r="Y414" i="1"/>
  <c r="AA414" i="1" s="1"/>
  <c r="P278" i="1"/>
  <c r="K61" i="1" s="1"/>
  <c r="M61" i="1" s="1"/>
  <c r="P252" i="1"/>
  <c r="Z370" i="1"/>
  <c r="AA370" i="1" s="1"/>
  <c r="P366" i="1"/>
  <c r="T366" i="1" s="1"/>
  <c r="Y362" i="1"/>
  <c r="AA362" i="1" s="1"/>
  <c r="Y235" i="1"/>
  <c r="AA235" i="1" s="1"/>
  <c r="P213" i="1"/>
  <c r="T213" i="1" s="1"/>
  <c r="Y193" i="1"/>
  <c r="AA193" i="1"/>
  <c r="P164" i="1"/>
  <c r="T164" i="1" s="1"/>
  <c r="Y165" i="1"/>
  <c r="AA165" i="1" s="1"/>
  <c r="P159" i="1"/>
  <c r="V256" i="1"/>
  <c r="X256" i="1"/>
  <c r="T251" i="1"/>
  <c r="Y250" i="1"/>
  <c r="AA250" i="1" s="1"/>
  <c r="Y164" i="1"/>
  <c r="AA164" i="1" s="1"/>
  <c r="Y213" i="1"/>
  <c r="AA213" i="1" s="1"/>
  <c r="Y252" i="1"/>
  <c r="AA252" i="1"/>
  <c r="T252" i="1"/>
  <c r="Z373" i="1"/>
  <c r="AA373" i="1"/>
  <c r="Y327" i="1"/>
  <c r="AA327" i="1" s="1"/>
  <c r="Y325" i="1"/>
  <c r="AA325" i="1" s="1"/>
  <c r="Y323" i="1"/>
  <c r="AA323" i="1" s="1"/>
  <c r="Y316" i="1"/>
  <c r="AA316" i="1" s="1"/>
  <c r="Y309" i="1"/>
  <c r="AA309" i="1" s="1"/>
  <c r="AA167" i="1"/>
  <c r="X109" i="1"/>
  <c r="Z396" i="1"/>
  <c r="AA396" i="1" s="1"/>
  <c r="Y341" i="1"/>
  <c r="AA341" i="1" s="1"/>
  <c r="Y225" i="1"/>
  <c r="AA225" i="1"/>
  <c r="Y215" i="1"/>
  <c r="AA215" i="1"/>
  <c r="Y144" i="1"/>
  <c r="AA144" i="1"/>
  <c r="Y133" i="1"/>
  <c r="AA133" i="1"/>
  <c r="Z381" i="1"/>
  <c r="AA381" i="1" s="1"/>
  <c r="Y146" i="1"/>
  <c r="AA146" i="1"/>
  <c r="X143" i="1"/>
  <c r="Y116" i="1"/>
  <c r="AA116" i="1" s="1"/>
  <c r="Y101" i="1"/>
  <c r="AA101" i="1" s="1"/>
  <c r="T278" i="1"/>
  <c r="T159" i="1"/>
  <c r="Y187" i="1"/>
  <c r="AA187" i="1"/>
  <c r="T261" i="1"/>
  <c r="P312" i="1"/>
  <c r="P314" i="1"/>
  <c r="Y314" i="1" s="1"/>
  <c r="AA314" i="1" s="1"/>
  <c r="P315" i="1"/>
  <c r="T334" i="1"/>
  <c r="Y318" i="1"/>
  <c r="AA318" i="1"/>
  <c r="Y313" i="1"/>
  <c r="AA313" i="1"/>
  <c r="V274" i="1"/>
  <c r="Y268" i="1"/>
  <c r="AA268" i="1" s="1"/>
  <c r="Z143" i="1"/>
  <c r="Y126" i="1"/>
  <c r="AA126" i="1"/>
  <c r="Z97" i="1"/>
  <c r="Y95" i="1"/>
  <c r="AA95" i="1" s="1"/>
  <c r="Y326" i="1"/>
  <c r="AA326" i="1" s="1"/>
  <c r="V83" i="1"/>
  <c r="X83" i="1" s="1"/>
  <c r="R125" i="1"/>
  <c r="T342" i="1"/>
  <c r="Y342" i="1"/>
  <c r="AA342" i="1" s="1"/>
  <c r="Z371" i="1"/>
  <c r="AA371" i="1" s="1"/>
  <c r="Z178" i="1"/>
  <c r="AA178" i="1"/>
  <c r="Y100" i="1"/>
  <c r="AA100" i="1"/>
  <c r="Y321" i="1"/>
  <c r="AA321" i="1"/>
  <c r="L50" i="1"/>
  <c r="Y257" i="1"/>
  <c r="AA257" i="1" s="1"/>
  <c r="Y124" i="1"/>
  <c r="AA124" i="1" s="1"/>
  <c r="X124" i="1"/>
  <c r="Y260" i="1"/>
  <c r="AA260" i="1" s="1"/>
  <c r="X260" i="1"/>
  <c r="Y412" i="1"/>
  <c r="AA412" i="1"/>
  <c r="Z380" i="1"/>
  <c r="AA380" i="1"/>
  <c r="Y413" i="1"/>
  <c r="AA413" i="1"/>
  <c r="Z375" i="1"/>
  <c r="AA375" i="1"/>
  <c r="X332" i="1"/>
  <c r="T360" i="1"/>
  <c r="Z389" i="1"/>
  <c r="AA389" i="1"/>
  <c r="R388" i="1"/>
  <c r="Y418" i="1"/>
  <c r="AA418" i="1" s="1"/>
  <c r="W401" i="1"/>
  <c r="X401" i="1" s="1"/>
  <c r="Y328" i="1"/>
  <c r="AA328" i="1"/>
  <c r="Y324" i="1"/>
  <c r="AA324" i="1"/>
  <c r="T315" i="1"/>
  <c r="P310" i="1"/>
  <c r="Y288" i="1"/>
  <c r="AA288" i="1"/>
  <c r="P217" i="1"/>
  <c r="Y183" i="1"/>
  <c r="AA183" i="1" s="1"/>
  <c r="V159" i="1"/>
  <c r="X159" i="1" s="1"/>
  <c r="V142" i="1"/>
  <c r="P132" i="1"/>
  <c r="T132" i="1" s="1"/>
  <c r="P131" i="1"/>
  <c r="Y114" i="1"/>
  <c r="AA114" i="1" s="1"/>
  <c r="Y113" i="1"/>
  <c r="AA113" i="1" s="1"/>
  <c r="Y96" i="1"/>
  <c r="AA96" i="1" s="1"/>
  <c r="Y251" i="1"/>
  <c r="AA251" i="1"/>
  <c r="Y261" i="1"/>
  <c r="AA261" i="1"/>
  <c r="W50" i="1"/>
  <c r="Y258" i="1"/>
  <c r="AA258" i="1" s="1"/>
  <c r="V71" i="1"/>
  <c r="X71" i="1" s="1"/>
  <c r="M71" i="1"/>
  <c r="T63" i="1"/>
  <c r="T53" i="1"/>
  <c r="T52" i="1"/>
  <c r="Y259" i="1"/>
  <c r="AA259" i="1" s="1"/>
  <c r="T259" i="1"/>
  <c r="Y233" i="1"/>
  <c r="AA233" i="1"/>
  <c r="Y128" i="1"/>
  <c r="AA128" i="1"/>
  <c r="Y360" i="1"/>
  <c r="AA360" i="1"/>
  <c r="T250" i="1"/>
  <c r="T312" i="1"/>
  <c r="AA97" i="1"/>
  <c r="Z93" i="1"/>
  <c r="X274" i="1"/>
  <c r="T125" i="1"/>
  <c r="Z125" i="1"/>
  <c r="X142" i="1"/>
  <c r="Y142" i="1"/>
  <c r="AA142" i="1"/>
  <c r="Y159" i="1"/>
  <c r="AA159" i="1" s="1"/>
  <c r="T310" i="1"/>
  <c r="T388" i="1"/>
  <c r="R401" i="1"/>
  <c r="T401" i="1"/>
  <c r="T131" i="1"/>
  <c r="T217" i="1"/>
  <c r="Y217" i="1"/>
  <c r="AA217" i="1" s="1"/>
  <c r="Y354" i="1"/>
  <c r="AA354" i="1" s="1"/>
  <c r="T354" i="1"/>
  <c r="Y346" i="1"/>
  <c r="AA346" i="1"/>
  <c r="X382" i="1" l="1"/>
  <c r="W394" i="1"/>
  <c r="X371" i="1"/>
  <c r="W369" i="1"/>
  <c r="V278" i="1"/>
  <c r="X287" i="1"/>
  <c r="T282" i="1"/>
  <c r="Y282" i="1"/>
  <c r="AA282" i="1" s="1"/>
  <c r="T265" i="1"/>
  <c r="K59" i="1"/>
  <c r="P271" i="1"/>
  <c r="T232" i="1"/>
  <c r="P231" i="1"/>
  <c r="K52" i="1"/>
  <c r="T154" i="1"/>
  <c r="Y154" i="1"/>
  <c r="AA154" i="1" s="1"/>
  <c r="T112" i="1"/>
  <c r="P145" i="1"/>
  <c r="T102" i="1"/>
  <c r="Y102" i="1"/>
  <c r="AA102" i="1" s="1"/>
  <c r="X101" i="1"/>
  <c r="V131" i="1"/>
  <c r="V93" i="1"/>
  <c r="L69" i="1"/>
  <c r="Z401" i="1"/>
  <c r="AA401" i="1" s="1"/>
  <c r="T345" i="1"/>
  <c r="Z388" i="1"/>
  <c r="AA388" i="1" s="1"/>
  <c r="Y132" i="1"/>
  <c r="AA132" i="1" s="1"/>
  <c r="Y310" i="1"/>
  <c r="AA310" i="1" s="1"/>
  <c r="T314" i="1"/>
  <c r="Y312" i="1"/>
  <c r="AA312" i="1" s="1"/>
  <c r="X115" i="1"/>
  <c r="Y151" i="1"/>
  <c r="AA151" i="1" s="1"/>
  <c r="Y287" i="1"/>
  <c r="AA287" i="1" s="1"/>
  <c r="Y357" i="1"/>
  <c r="AA357" i="1" s="1"/>
  <c r="Z397" i="1"/>
  <c r="AA397" i="1" s="1"/>
  <c r="K53" i="1"/>
  <c r="Y256" i="1"/>
  <c r="AA256" i="1" s="1"/>
  <c r="M65" i="1"/>
  <c r="Y134" i="1"/>
  <c r="AA134" i="1" s="1"/>
  <c r="Y149" i="1"/>
  <c r="AA149" i="1" s="1"/>
  <c r="Y322" i="1"/>
  <c r="AA322" i="1" s="1"/>
  <c r="Y150" i="1"/>
  <c r="AA150" i="1" s="1"/>
  <c r="Z398" i="1"/>
  <c r="AA398" i="1" s="1"/>
  <c r="Z184" i="1"/>
  <c r="AA184" i="1" s="1"/>
  <c r="Z382" i="1"/>
  <c r="AA382" i="1" s="1"/>
  <c r="Y112" i="1"/>
  <c r="AA112" i="1" s="1"/>
  <c r="Y366" i="1"/>
  <c r="AA366" i="1" s="1"/>
  <c r="Y364" i="1"/>
  <c r="AA364" i="1" s="1"/>
  <c r="V148" i="1"/>
  <c r="T187" i="1"/>
  <c r="K55" i="1"/>
  <c r="Y232" i="1"/>
  <c r="AA232" i="1" s="1"/>
  <c r="Y265" i="1"/>
  <c r="AA265" i="1" s="1"/>
  <c r="Y285" i="1"/>
  <c r="AA285" i="1" s="1"/>
  <c r="Y349" i="1"/>
  <c r="AA349" i="1" s="1"/>
  <c r="K63" i="1"/>
  <c r="T332" i="1"/>
  <c r="Y405" i="1"/>
  <c r="AA405" i="1" s="1"/>
  <c r="W395" i="1"/>
  <c r="K67" i="1"/>
  <c r="P364" i="1"/>
  <c r="T364" i="1" s="1"/>
  <c r="T317" i="1"/>
  <c r="Y317" i="1"/>
  <c r="AA317" i="1" s="1"/>
  <c r="T289" i="1"/>
  <c r="Y289" i="1"/>
  <c r="AA289" i="1" s="1"/>
  <c r="V315" i="1"/>
  <c r="X288" i="1"/>
  <c r="P311" i="1"/>
  <c r="Y281" i="1"/>
  <c r="AA281" i="1" s="1"/>
  <c r="T281" i="1"/>
  <c r="X231" i="1"/>
  <c r="V230" i="1"/>
  <c r="T192" i="1"/>
  <c r="P216" i="1"/>
  <c r="T165" i="1"/>
  <c r="P182" i="1"/>
  <c r="P176" i="1"/>
  <c r="V130" i="1"/>
  <c r="Y130" i="1" s="1"/>
  <c r="T99" i="1"/>
  <c r="P129" i="1"/>
  <c r="Y99" i="1"/>
  <c r="P93" i="1"/>
  <c r="T188" i="1"/>
  <c r="P212" i="1"/>
  <c r="T96" i="1"/>
  <c r="P127" i="1"/>
  <c r="V147" i="1"/>
  <c r="X114" i="1"/>
  <c r="T127" i="1" l="1"/>
  <c r="Y127" i="1"/>
  <c r="AA127" i="1" s="1"/>
  <c r="T212" i="1"/>
  <c r="Y212" i="1"/>
  <c r="AA212" i="1" s="1"/>
  <c r="K50" i="1"/>
  <c r="T93" i="1"/>
  <c r="T129" i="1"/>
  <c r="Y129" i="1"/>
  <c r="AA129" i="1" s="1"/>
  <c r="T182" i="1"/>
  <c r="Y182" i="1"/>
  <c r="AA182" i="1" s="1"/>
  <c r="T216" i="1"/>
  <c r="Y216" i="1"/>
  <c r="AA216" i="1" s="1"/>
  <c r="P224" i="1"/>
  <c r="P57" i="1"/>
  <c r="X230" i="1"/>
  <c r="T311" i="1"/>
  <c r="Y311" i="1"/>
  <c r="AA311" i="1" s="1"/>
  <c r="Y315" i="1"/>
  <c r="AA315" i="1" s="1"/>
  <c r="X315" i="1"/>
  <c r="V67" i="1"/>
  <c r="X67" i="1" s="1"/>
  <c r="M67" i="1"/>
  <c r="V63" i="1"/>
  <c r="X63" i="1" s="1"/>
  <c r="M63" i="1"/>
  <c r="M53" i="1"/>
  <c r="V53" i="1"/>
  <c r="X53" i="1" s="1"/>
  <c r="L73" i="1"/>
  <c r="L81" i="1" s="1"/>
  <c r="L84" i="1" s="1"/>
  <c r="M69" i="1"/>
  <c r="X131" i="1"/>
  <c r="Y131" i="1"/>
  <c r="AA131" i="1" s="1"/>
  <c r="T145" i="1"/>
  <c r="Y145" i="1"/>
  <c r="AA145" i="1" s="1"/>
  <c r="M52" i="1"/>
  <c r="V52" i="1"/>
  <c r="X52" i="1" s="1"/>
  <c r="M59" i="1"/>
  <c r="V59" i="1"/>
  <c r="X59" i="1" s="1"/>
  <c r="R69" i="1"/>
  <c r="X369" i="1"/>
  <c r="X394" i="1"/>
  <c r="Z394" i="1"/>
  <c r="AA394" i="1" s="1"/>
  <c r="X147" i="1"/>
  <c r="Y147" i="1"/>
  <c r="AA147" i="1" s="1"/>
  <c r="AA99" i="1"/>
  <c r="Y93" i="1"/>
  <c r="AA93" i="1" s="1"/>
  <c r="Y176" i="1"/>
  <c r="AA176" i="1" s="1"/>
  <c r="T176" i="1"/>
  <c r="X395" i="1"/>
  <c r="Z395" i="1"/>
  <c r="AA395" i="1" s="1"/>
  <c r="M55" i="1"/>
  <c r="V55" i="1"/>
  <c r="X55" i="1" s="1"/>
  <c r="Y148" i="1"/>
  <c r="AA148" i="1" s="1"/>
  <c r="X148" i="1"/>
  <c r="Z369" i="1"/>
  <c r="AA369" i="1" s="1"/>
  <c r="P50" i="1"/>
  <c r="X93" i="1"/>
  <c r="P230" i="1"/>
  <c r="T231" i="1"/>
  <c r="Y231" i="1"/>
  <c r="AA231" i="1" s="1"/>
  <c r="P274" i="1"/>
  <c r="T271" i="1"/>
  <c r="Y271" i="1"/>
  <c r="AA271" i="1" s="1"/>
  <c r="Y278" i="1"/>
  <c r="AA278" i="1" s="1"/>
  <c r="X278" i="1"/>
  <c r="P61" i="1"/>
  <c r="V61" i="1" l="1"/>
  <c r="X61" i="1" s="1"/>
  <c r="T61" i="1"/>
  <c r="T230" i="1"/>
  <c r="K57" i="1"/>
  <c r="M57" i="1" s="1"/>
  <c r="V50" i="1"/>
  <c r="P73" i="1"/>
  <c r="T50" i="1"/>
  <c r="Y230" i="1"/>
  <c r="AA230" i="1" s="1"/>
  <c r="T57" i="1"/>
  <c r="V57" i="1"/>
  <c r="X57" i="1" s="1"/>
  <c r="Y274" i="1"/>
  <c r="AA274" i="1" s="1"/>
  <c r="T274" i="1"/>
  <c r="R73" i="1"/>
  <c r="R81" i="1" s="1"/>
  <c r="T69" i="1"/>
  <c r="W69" i="1"/>
  <c r="Y224" i="1"/>
  <c r="AA224" i="1" s="1"/>
  <c r="T224" i="1"/>
  <c r="K73" i="1"/>
  <c r="M50" i="1"/>
  <c r="M73" i="1" l="1"/>
  <c r="K81" i="1"/>
  <c r="P81" i="1"/>
  <c r="T73" i="1"/>
  <c r="W73" i="1"/>
  <c r="X69" i="1"/>
  <c r="R84" i="1"/>
  <c r="W81" i="1"/>
  <c r="W84" i="1" s="1"/>
  <c r="X50" i="1"/>
  <c r="V73" i="1"/>
  <c r="X73" i="1" s="1"/>
  <c r="K84" i="1" l="1"/>
  <c r="M81" i="1"/>
  <c r="M84" i="1" s="1"/>
  <c r="V81" i="1"/>
  <c r="T81" i="1"/>
  <c r="T84" i="1" s="1"/>
  <c r="P84" i="1"/>
  <c r="V84" i="1" l="1"/>
  <c r="X84" i="1" s="1"/>
  <c r="X81" i="1"/>
</calcChain>
</file>

<file path=xl/comments1.xml><?xml version="1.0" encoding="utf-8"?>
<comments xmlns="http://schemas.openxmlformats.org/spreadsheetml/2006/main">
  <authors>
    <author>S_Smal</author>
  </authors>
  <commentList>
    <comment ref="Y99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2,4 залишок ко Парках</t>
        </r>
      </text>
    </comment>
    <comment ref="V115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13 од. Зелене
1 од. Парки і сквери</t>
        </r>
      </text>
    </comment>
    <comment ref="P23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S_Smal:
п. </t>
        </r>
        <r>
          <rPr>
            <sz val="9"/>
            <color indexed="81"/>
            <rFont val="Tahoma"/>
            <family val="2"/>
            <charset val="204"/>
          </rPr>
          <t>1-9,</t>
        </r>
      </text>
    </comment>
    <comment ref="P233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п. 12-20 
300,0 тис.грн. паспортизація</t>
        </r>
      </text>
    </comment>
    <comment ref="P234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п. 10,11, 21-24</t>
        </r>
      </text>
    </comment>
    <comment ref="P299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2 од. 
1 од. підпір. Стінка
1 од. годинник
1 од. розчистка русла</t>
        </r>
      </text>
    </comment>
    <comment ref="R382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150000,0 субвенція з ДБ комісія 10.06.2019  №125</t>
        </r>
      </text>
    </comment>
    <comment ref="V412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14 інспекторів фактично зайняті посади</t>
        </r>
      </text>
    </comment>
  </commentList>
</comments>
</file>

<file path=xl/sharedStrings.xml><?xml version="1.0" encoding="utf-8"?>
<sst xmlns="http://schemas.openxmlformats.org/spreadsheetml/2006/main" count="890" uniqueCount="405">
  <si>
    <t xml:space="preserve">1. </t>
  </si>
  <si>
    <t>управління житлово-комунального господарства Хмельницької міської ради</t>
  </si>
  <si>
    <t>0620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</si>
  <si>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</si>
  <si>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</si>
  <si>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</si>
  <si>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</si>
  <si>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</si>
  <si>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</si>
  <si>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</si>
  <si>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</si>
  <si>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</si>
  <si>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</si>
  <si>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</si>
  <si>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</si>
  <si>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</si>
  <si>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</si>
  <si>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</si>
  <si>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</si>
  <si>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</si>
  <si>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</si>
  <si>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</si>
  <si>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</si>
  <si>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</si>
  <si>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</si>
  <si>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</si>
  <si>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</si>
  <si>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</si>
  <si>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 xml:space="preserve">  Організація благоустрою населених пунктів</t>
  </si>
  <si>
    <t>Завдання 1. Збереження та утримання на належному рівні зеленої зони населеного пункту та поліпшення його екологічних умов</t>
  </si>
  <si>
    <t>Завдання 2. Забезпечення благоустрою кладовищ</t>
  </si>
  <si>
    <t>Завдання 3. Проведення поточного / капітального ремонту електричних мереж</t>
  </si>
  <si>
    <t>Завдання 4. Послуги по санітарному очищенню і прибирання міста</t>
  </si>
  <si>
    <t>Завдання 5. Забезпечення утримання в належному технічному стані об’єктів дорожнього господарства</t>
  </si>
  <si>
    <t>Завдання 6. Послуги з постачання та транспортування природного газу для факелу "Вічний вогонь"</t>
  </si>
  <si>
    <t>Завдання 7. Проведення поточного ремонту та утримання об'єктів благоустрою</t>
  </si>
  <si>
    <t>Завдання 8. 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</si>
  <si>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обсяг видатків, в т.ч.:</t>
  </si>
  <si>
    <t>послуги по поточному ремонту та утриманню зелених насаджень, штучних споруд та малих архітектурних форм міста (в т.ч. вертикальне озеленення вулиць міста)</t>
  </si>
  <si>
    <t>послуги по поточному ремонту та утриманню парків і скверів міста</t>
  </si>
  <si>
    <t>видатки на викошування борщівника Сосновського на території міста</t>
  </si>
  <si>
    <t>капітальний ремонт зелених насаджень (омолодження)</t>
  </si>
  <si>
    <t>середні витрати на видалення, кронування та омолодження 1 зеленого насадження</t>
  </si>
  <si>
    <t>середні витрати на ремонт та обслуговання 1 об'єкту малої архітектурної форми</t>
  </si>
  <si>
    <t>рішення сесії міської ради</t>
  </si>
  <si>
    <t>титульний список</t>
  </si>
  <si>
    <t>грн.</t>
  </si>
  <si>
    <t>га</t>
  </si>
  <si>
    <t>од.</t>
  </si>
  <si>
    <t>кв. м</t>
  </si>
  <si>
    <t>%</t>
  </si>
  <si>
    <t>акт обміру</t>
  </si>
  <si>
    <t>акт обстеження</t>
  </si>
  <si>
    <t>дефектний акт</t>
  </si>
  <si>
    <t>розрахунок</t>
  </si>
  <si>
    <t>розрахунково</t>
  </si>
  <si>
    <t>обсяг видатків</t>
  </si>
  <si>
    <t>тис.грн.</t>
  </si>
  <si>
    <t>загальна площа кладовищ, що необхідно утримувати</t>
  </si>
  <si>
    <t>площа кладовищ, яку планується утримувати</t>
  </si>
  <si>
    <t>середньорічні витрати на утримання 1 га кладовища</t>
  </si>
  <si>
    <t>тис. грн.</t>
  </si>
  <si>
    <t>питома вага площі кладовищ, що необхідно утримувати, до загальної площі кладовищ, що заплановано утримувати</t>
  </si>
  <si>
    <t>послуги по поточному ремонту та утриманню мереж зовнішнього освітлення</t>
  </si>
  <si>
    <t xml:space="preserve">освітлення міста </t>
  </si>
  <si>
    <t>капітальний ремонт мереж зовнішнього освітлення</t>
  </si>
  <si>
    <t>акт інвентаризації</t>
  </si>
  <si>
    <t>обсяг споживання електроенергії на зовнішнє освітлення в рік</t>
  </si>
  <si>
    <t>завдання на виготовлення ПКД</t>
  </si>
  <si>
    <t xml:space="preserve"> </t>
  </si>
  <si>
    <t>середні витрати на утримання об'єктів зовнішнього освітлення на 1 світлоточку</t>
  </si>
  <si>
    <t xml:space="preserve">середні витрати на споживання 1 кВт електроенергії </t>
  </si>
  <si>
    <t>середні витрати на проведення капітального ремонту 1 світлоточки</t>
  </si>
  <si>
    <t>темп зростання середніх витрат на утримання об'єктів зовнішнього освітлення порівняно з попереднім періодом</t>
  </si>
  <si>
    <t>обсяг річної економії бюджетних коштів на оплату послуг з освітлення міста, в порівняні з пропереднім роком</t>
  </si>
  <si>
    <t xml:space="preserve">відсоток кількості світлоточок, які необхідно капітально відремонтувати до кількості світлоточок, що заплановано відремонтувати </t>
  </si>
  <si>
    <t>утримання громадських туалетів</t>
  </si>
  <si>
    <t>виробнича програма</t>
  </si>
  <si>
    <t>регулювання чисельності тварин</t>
  </si>
  <si>
    <t>знешкодження  твердих побутових відходів на полігоні ТПВ, які вивезені транспортом комунальних підприємств</t>
  </si>
  <si>
    <t>переробка (утилізація) гілля</t>
  </si>
  <si>
    <t>утримання бездоглядних тварин в притулку</t>
  </si>
  <si>
    <t>послуга збирання та зберігання небезпечних відходів для подальшої утилізації</t>
  </si>
  <si>
    <t>вул. Кам'янецька 77 б</t>
  </si>
  <si>
    <t>калькуляція</t>
  </si>
  <si>
    <t>вул. Проскурівська 40 б</t>
  </si>
  <si>
    <t>куб. м</t>
  </si>
  <si>
    <t xml:space="preserve">кількість небезпечних відходів, які планується зібрати </t>
  </si>
  <si>
    <t>т</t>
  </si>
  <si>
    <t>акт надання послуг</t>
  </si>
  <si>
    <t>середньомісячні витрати на утримання громадських туалетів</t>
  </si>
  <si>
    <t>середні витрати на регулювання чисельності тварин (на одиницю)</t>
  </si>
  <si>
    <t>середні витрати на знешкодження 1 куб. м твердих побутових відходів на полігоні ТПВ</t>
  </si>
  <si>
    <t>середні витрати на переробку 1 куб. м гілля</t>
  </si>
  <si>
    <t xml:space="preserve">середньомісячні витрати на утримання бездоглядних тварин в притулку </t>
  </si>
  <si>
    <t>середні витрати на збирання та зберігання 1 т небезпечних відходів для подальшої утилізації</t>
  </si>
  <si>
    <t>темп зростання середньої суми утримання підприємства порівняно з попереднім періодом</t>
  </si>
  <si>
    <t>темп зростання середньомісячної суми утримання бездоглядних тварин в притулку порівняно з попереднім періодом</t>
  </si>
  <si>
    <t>поточний ремонт та утримання вулично-дорожньої мережі</t>
  </si>
  <si>
    <t>видатки на поточний ремонт вулично-дорожньої мережі</t>
  </si>
  <si>
    <t>видатки на  утримання вулично-дорожньої мережі</t>
  </si>
  <si>
    <t xml:space="preserve">видатки на безпеку руху </t>
  </si>
  <si>
    <t>площа вулично-дорожньої мережі на якій планується поточний ремонт</t>
  </si>
  <si>
    <t>тис. кв. м</t>
  </si>
  <si>
    <t>площа вулиць, мостів, шляхопроводів (доріг, тротуарів),що планується  утримувати в належному стані протягом року</t>
  </si>
  <si>
    <t>кількість  світлофорних об'єктів, які  планується  утримувати</t>
  </si>
  <si>
    <t>об'єкт</t>
  </si>
  <si>
    <t>площа дорожньої розмітки, яку планується нанести</t>
  </si>
  <si>
    <t>середня вартість поточного ремонту 1 кв. м вулично-дорожньої мережі</t>
  </si>
  <si>
    <t xml:space="preserve">грн. </t>
  </si>
  <si>
    <t xml:space="preserve">середня вартість  утримання 100 кв.м  вулиць, доріг  в осіньо- зимовий період  </t>
  </si>
  <si>
    <t xml:space="preserve">середня вартість  утримання 100 кв.м  вулиць, доріг  в весняно-літній  період  </t>
  </si>
  <si>
    <t>середня вартість утримання 1 світлофорного об'єкту</t>
  </si>
  <si>
    <t>середня вартість 1 кв.м дорожньої розмітки</t>
  </si>
  <si>
    <t>темп збільшення середньої  вартості поточного ремонту 1 кв.м. вулично-дорожньої мережі в порівнянні з попереднім періодом</t>
  </si>
  <si>
    <t>темп збільшення середньої вартості утримання  1 кв. м  вулиць, доріг  в осіньо- зимовий період в порівнянні з попереднім роком</t>
  </si>
  <si>
    <t>темп зниження  середньої вартості утримання  1 кв. м  вулиць, доріг в весняно-літній  період  в порівнянні з попереднім роком</t>
  </si>
  <si>
    <t>темп зростання середньої вартості  утримання світлофорних об'єктів в порівнянні з попереднім роком</t>
  </si>
  <si>
    <t>темп зростання середньої вартості нанесення дорожньої розмітки в порівнянні з попереднім роком</t>
  </si>
  <si>
    <t>тис. куб. м</t>
  </si>
  <si>
    <t>орієнтовна кількість</t>
  </si>
  <si>
    <t>охорона міських новорічних ялинок</t>
  </si>
  <si>
    <t>святкове оформлення міста</t>
  </si>
  <si>
    <t>поточний ремонт пішохідної доріжки  в парку культури і відпочинку ім. М. Чекмана</t>
  </si>
  <si>
    <t xml:space="preserve">поточний ремонт покриття контейнерних майданчиків по місту </t>
  </si>
  <si>
    <t xml:space="preserve">розчистка водовідвідних канав по місту </t>
  </si>
  <si>
    <t>поточний ремонт малих архітектурних форм (скульптурних композицій автора М.Мазура)</t>
  </si>
  <si>
    <t>демонтаж незаконно встановлених малих архітектурних форм, зовнішньої реклами та білбордів</t>
  </si>
  <si>
    <t xml:space="preserve">утримання фонтанів на території міста </t>
  </si>
  <si>
    <t xml:space="preserve">поточний ремонт внутрішньоквартальних доріг та тротуарів </t>
  </si>
  <si>
    <t>розрахунок вартості</t>
  </si>
  <si>
    <t>кількість об'єктів благоустрою, які планується відремонтувати</t>
  </si>
  <si>
    <t>кількість контейнерних майданчиків, покриття яких необхідно відремонтувати</t>
  </si>
  <si>
    <t>кількість контейнерних майданчиків, покриття яких планується відремонтувати</t>
  </si>
  <si>
    <t>кількість скульптурних форм, які необхідно та планується відремонтувати</t>
  </si>
  <si>
    <t>кількість МАФ, які планується демонтувати</t>
  </si>
  <si>
    <t>службова записка відділу з вулично-дорожньої мережі</t>
  </si>
  <si>
    <t>витрати на охорону 1 новорічної ялинки</t>
  </si>
  <si>
    <t>витрати на святкове оформлення міста</t>
  </si>
  <si>
    <t>середня вартість поточного ремонту 1 об'єкту благоустрою</t>
  </si>
  <si>
    <t>середня вартість поточного ремонту покриття 1 контейнерного майданчика</t>
  </si>
  <si>
    <t>середня ватртість поточного ремонту 1 скульптурної форми</t>
  </si>
  <si>
    <t>середня ватртість демонтажу 1 незаконно встановленого МАФ</t>
  </si>
  <si>
    <t>середні витрати на утримання 1 фонтану</t>
  </si>
  <si>
    <t>середня вартість поточного ремонту 1 дитячого майданчика</t>
  </si>
  <si>
    <t>темп зростання витрат на охорону ялинок порівняно з попереднім періодом</t>
  </si>
  <si>
    <t>послуги з утримання дренажних насосних станцій вул. Саварчука, Вокзальній, пров. Зенітному</t>
  </si>
  <si>
    <t xml:space="preserve">оплата послуг МКП "Хмельницькводоканал" з очищення поверхневих стічних вод, які утворюються внаслідок випадання атмосферних опадів та потрапляють в господарсько-побутову каналізацію замість зливової </t>
  </si>
  <si>
    <t>кількість насосних станцій, що утримуються</t>
  </si>
  <si>
    <t>об'єм поверхневих стічних вод, що необхідно та планується очистити</t>
  </si>
  <si>
    <t xml:space="preserve">середні видатки на утримання 1 дренажної станції </t>
  </si>
  <si>
    <t>середні витрати на 1 куб. м площі очищення стічних вод</t>
  </si>
  <si>
    <t>темп зростання витрат на утримання дренажних станцій порівняно з попереднім періодом</t>
  </si>
  <si>
    <t>питома вага орієнтовного об'єму поверхневих стічних вод, що необхідно очистити до об'єму, що заплановано очистити</t>
  </si>
  <si>
    <t>поточний ремонт зелених насаджень - видалення окремих засохлих та пошкоджених дерев</t>
  </si>
  <si>
    <t>посадка нових зелених насаджень</t>
  </si>
  <si>
    <t>об'єм аварійних дерев, що потрібно та планується видалити</t>
  </si>
  <si>
    <t>кількість нових зелених насаджень, що необхідно та планується посадити</t>
  </si>
  <si>
    <t>кількість проектів землеустрою, які необхідно та планується розробити</t>
  </si>
  <si>
    <t>лист-звернення</t>
  </si>
  <si>
    <t>середні витрати на видаленя 1 куб. м дерева</t>
  </si>
  <si>
    <t>середні витрати на посадку 1 зеленого насадження</t>
  </si>
  <si>
    <t>середні витрати на розробку 1 проекту землеустрою</t>
  </si>
  <si>
    <t>обсяг видатків на поточний ремонт прибудинкових територій</t>
  </si>
  <si>
    <t xml:space="preserve">тис. кв.м </t>
  </si>
  <si>
    <t xml:space="preserve">обсяг видатків </t>
  </si>
  <si>
    <t>середні витрати на прибирання 1 кв. м територій</t>
  </si>
  <si>
    <t>питома вага площі територій, що необхідно прибирати до площі території, що заплановано прибирати</t>
  </si>
  <si>
    <t>капітальний ремонт, встановлення підземних контейнерних майданчиків</t>
  </si>
  <si>
    <t>капітальний ремонт-розчистка русла річки Південний Буг від намулу, відкладів, завалів в межах міста Хмельницького  від вул. Трудової до вул. С.Бандери</t>
  </si>
  <si>
    <t>капітальний ремонт дитячих майданчиків, в т.ч. проектно-кошторисна документація</t>
  </si>
  <si>
    <t>рішення колегії міської ради</t>
  </si>
  <si>
    <t xml:space="preserve">попереднє обстеження </t>
  </si>
  <si>
    <t>кількість об'єктів, що планується відремонтувати</t>
  </si>
  <si>
    <t>кількість підземних контейнерних майданчиків, які планується встановити</t>
  </si>
  <si>
    <t>комерційна пропозиція</t>
  </si>
  <si>
    <t>кількість дитячих майданчиків, що планується відремонтувати</t>
  </si>
  <si>
    <t>кількість ПКД, що планується розробити</t>
  </si>
  <si>
    <t>середня вартість капітального ремонту 1 об'єкту</t>
  </si>
  <si>
    <t>середня вартість встановлення 1 підземного контейнерного майданчика</t>
  </si>
  <si>
    <t>середня вартість капітального ремонту 1 дитячого майданчика</t>
  </si>
  <si>
    <t>питома вага кількості об'єктів, що необхідно відремонтувати до кількості об'єктів, що заплановано відремонтувати</t>
  </si>
  <si>
    <t>Завдання 13. Забезпечення діяльності комунального підприємства "Муніципальна дружина"</t>
  </si>
  <si>
    <t xml:space="preserve">кількість працівників </t>
  </si>
  <si>
    <t>штатний розклад</t>
  </si>
  <si>
    <t>середньорічні витрати на заробітну плату 1 працівника</t>
  </si>
  <si>
    <t>середньорічні витрати на комунальні послуги на 1 працівника</t>
  </si>
  <si>
    <t>середньорічні витрати на придбання матеріалів, обладнання на 1 працівника</t>
  </si>
  <si>
    <t>затрат</t>
  </si>
  <si>
    <t>продукту</t>
  </si>
  <si>
    <t>ефективності</t>
  </si>
  <si>
    <t>якості</t>
  </si>
  <si>
    <t>Пояснення:  роботи виконані, економія коштів</t>
  </si>
  <si>
    <t>Програма утримання та розвитку житлово-комунального господарства та благоустрою м.Хмельницького на 2017-2020 роки</t>
  </si>
  <si>
    <t>послуги по санітарному очищенню і прибирання міста, які планується здійснювати:</t>
  </si>
  <si>
    <t>Пояснення: п. 8 використання коштів відповідно до рішень виконавчого комітету</t>
  </si>
  <si>
    <t>кВт</t>
  </si>
  <si>
    <t>від 29 грудня 2018 року № 1209)</t>
  </si>
  <si>
    <t>ЗВІТ</t>
  </si>
  <si>
    <t>про виконання паспорта бюджетної програми</t>
  </si>
  <si>
    <t>місцевого бюджету на 01.01.2020 року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</si>
  <si>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</si>
  <si>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</si>
  <si>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</si>
  <si>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</si>
  <si>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</si>
  <si>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</si>
  <si>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</si>
  <si>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</si>
  <si>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Створення сприятливого для життєдіяльності людини довкілля, збереження і охорону навколишнього середовища, забезпечення санітарного благополуччя населення</t>
  </si>
  <si>
    <t>Забезпечення благоустрою кладовищ</t>
  </si>
  <si>
    <t>Завдання 9. Поточний ремонт прибудинкових територій</t>
  </si>
  <si>
    <t>Завдання 1. Збереження та утримання на належному рівні зеленої зони населеного пункту та поліпшення його екологічних умов, забезпечення облаштування та утримання окремої території (парку, скверу тощо)</t>
  </si>
  <si>
    <t>Завдання 10. Послуги з утримання територій загального користування</t>
  </si>
  <si>
    <t>Завдання 11. Проведення капітального ремонту об'єктів благоустрою</t>
  </si>
  <si>
    <t>Завдання 12. Виконання заходів Програми забезпечення діяльності комунального підприємства "Муніципальна дружина "</t>
  </si>
  <si>
    <t>гривень</t>
  </si>
  <si>
    <t>Збереження та утримання на належному рівні зеленої зони населеного пункту та поліпшення його екологічних умов, забезпечення облаштування та утримання окремої території (парку, скверу тощо)</t>
  </si>
  <si>
    <t>Послуги по санітарному очищенню і прибирання міста</t>
  </si>
  <si>
    <t>Проведення поточного / капітального ремонту електричних мереж</t>
  </si>
  <si>
    <t>Забезпечення утримання в належному технічному стані об’єктів дорожнього господарства</t>
  </si>
  <si>
    <t>Послуги з постачання та транспортування природного газу для факелу "Вічний вогонь"</t>
  </si>
  <si>
    <t>Проведення поточного ремонту та утримання об'єктів благоустрою</t>
  </si>
  <si>
    <t>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</si>
  <si>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Поточний ремонт прибудинкових територій</t>
  </si>
  <si>
    <t>Послуги з утримання територій загального користування</t>
  </si>
  <si>
    <t>Проведення капітального ремонту об'єктів благоустрою</t>
  </si>
  <si>
    <t>Виконання заходів Програми забезпечення діяльності комунального підприємства "Муніципальна дружина "</t>
  </si>
  <si>
    <t>розроблення матеріалів про надання дозволів на розробку проектів землеустрою та розроблення проектів землеустрою щодо відведення земельної ділянки, проведення грунтового та еколого-агрохімічного аналізу земельної ділянки в м. Хмельницькому</t>
  </si>
  <si>
    <t xml:space="preserve">встановлення точок тимчасового підключення електричних мереж </t>
  </si>
  <si>
    <t>придбання піску для підготовки нового пляжного сезону</t>
  </si>
  <si>
    <t>оплата оренди земельної ділянки на розташування парку "Молодіжний" по вул. Бандери</t>
  </si>
  <si>
    <t>послуга по проведенню громадських обговорень в процесі здійснення оцінки впливу на довкілля</t>
  </si>
  <si>
    <t>листи-звернення</t>
  </si>
  <si>
    <t>звернення підприємства</t>
  </si>
  <si>
    <t>пропозиції відділу з благоустрою міста</t>
  </si>
  <si>
    <t>Результативні показники бюджетної програми та аналіз їх виконання</t>
  </si>
  <si>
    <t>Підвищення рівня благоустрою міста</t>
  </si>
  <si>
    <t>обсяг території, яку необхідно та планується обслуговувати (парки, сквери, квітники, зелені зони, прибережні смуги, ін.)</t>
  </si>
  <si>
    <t>кількість зелених насаджень (дерев, кущів), що необхідно та планується видалити, кронувати та омолоджувати</t>
  </si>
  <si>
    <t>кількість обєктів малих архітектурних форм, що необхідно та планується ремонтувати та обслуговувати</t>
  </si>
  <si>
    <t>площа борщівника Сосновського, що необхідно та планується викошувати</t>
  </si>
  <si>
    <t>кількість точок підключення електромереж, що необхідно та планується встановити</t>
  </si>
  <si>
    <t>об'єм піску, що  необхідно та планується придбати</t>
  </si>
  <si>
    <t>кількість обєктів, по яких необхідно та планується здійснювати орендну плату</t>
  </si>
  <si>
    <t>кількість послуг по проведенню громадських обговорень щодо оцінки впливу на довкілля, які необхідно та планується здійснити</t>
  </si>
  <si>
    <t>локальний кошторис/рахунок-фактура</t>
  </si>
  <si>
    <t>середні витрати на 1 га території, що обслуговується на рік</t>
  </si>
  <si>
    <t>середні витрати на 1 га площі викошування борщівника Сосновського</t>
  </si>
  <si>
    <t>середні витрати на встановлення 1 точки електромереж</t>
  </si>
  <si>
    <t>середні витрати на придбання 1 т піску</t>
  </si>
  <si>
    <t>витрати на здійснення орендної плати в міський бюджет</t>
  </si>
  <si>
    <t>витрати на здійснення 1 послуги по проведенню громадських обговорень щодо оцінки впливу на довкілля</t>
  </si>
  <si>
    <t xml:space="preserve">питома вага обсягу території, що заплановано обслуговувати до обсягу, що необхідно обслуговувати  </t>
  </si>
  <si>
    <t xml:space="preserve">питома вага кількості зелених насаджень, що заплановано видалити, кронувати та омолодити до кількості, що необхідно видалити, кронувати та омолоджувати </t>
  </si>
  <si>
    <t xml:space="preserve">питома вага кількості МАФ, що заплановано ремонтувати та обслуговувати до кількості, що необхідно ремонтувати та обслуговувати </t>
  </si>
  <si>
    <t xml:space="preserve">питома вага площі викошування борщівника, що заплановано викосити до площі, що  необхідно викосити </t>
  </si>
  <si>
    <t xml:space="preserve">питома вага об'єму аварійних дерев, що заплановано видалити до об'єму дерев, що необхідно видалити </t>
  </si>
  <si>
    <t xml:space="preserve">питома вага кількості зелених насаджень, що заплановано висадити до кількості, що необхідно висадити </t>
  </si>
  <si>
    <t xml:space="preserve">питома вага кількості проектів землеустрою, що заплановано розробити до кількості, що необхідно розробити </t>
  </si>
  <si>
    <t xml:space="preserve">питома вага кількості точок підключення електромереж, що планується встановити до кількості, що необхідно встановити </t>
  </si>
  <si>
    <t>питома вага об'єму піску, що планується придбати до об'єму, що необхідно придбати</t>
  </si>
  <si>
    <t>питома вага кількості послуг щодо оцінки впливу на довкілля, що планується здійснити до кількості послуг, що необхідно здійснити</t>
  </si>
  <si>
    <t xml:space="preserve">кількість світлоточок, які знаходяться на утриманні та плануєтьтся утримувати, здійснювати поточний ремонт </t>
  </si>
  <si>
    <t xml:space="preserve">кількість світлоточок, які  потребують капітального ремонту та планується відремонтувати </t>
  </si>
  <si>
    <t>захоронення твердих побутових відходів на полігоні ПВ, які вивезені транспортом комунальних підприємств</t>
  </si>
  <si>
    <t>перероблення гілля</t>
  </si>
  <si>
    <t>10. Узагальнений висновок про виконання бюджетної програми.</t>
  </si>
  <si>
    <t>поточний ремонт постаменту памятника Б.Хмельницького на Привокзальній площі в м. Хмельницькому</t>
  </si>
  <si>
    <t>поточний ремонт об’єкта благоустрою – відновлювальний ремонт споруд, обладнання міського пляжу, очищення дна річки Південний Буг в районі пляжу</t>
  </si>
  <si>
    <r>
      <t xml:space="preserve">поточний ремонт дитячих майданчиків </t>
    </r>
    <r>
      <rPr>
        <sz val="12"/>
        <color indexed="9"/>
        <rFont val="Times New Roman"/>
        <family val="1"/>
        <charset val="204"/>
      </rPr>
      <t>на вул. Кам’янецькій, 259/1, на вул. Профспілковій</t>
    </r>
  </si>
  <si>
    <t>поточний ремонт пішохідної доріжки в парку "Заріччя"</t>
  </si>
  <si>
    <t>поточний ремонт сходів - виходів підземного пішохідного переходу за адресою: вул. Камянецька, 21/1 А в м. Хмельницькому</t>
  </si>
  <si>
    <t xml:space="preserve">поточний ремонт архітектурних форм на вул. Подільській в районі зупинок громадського транспорту "Поліклініка № 1" </t>
  </si>
  <si>
    <t>проведення просвітницької діяльності, спрямованої на підвищення рівня екологічної свідомості громадян</t>
  </si>
  <si>
    <t>поточний ремонт - установка металевих конструкцій для велопарковок на вуличній мережі в м. Хмельницькому</t>
  </si>
  <si>
    <t>обсяг видатків (в т.ч. оплата за послуги з постачання та розподілу природного газу для факелу "Меморіал Слави")</t>
  </si>
  <si>
    <t>кількість природного газу, який постачається до факелу "Вічний вогонь" та "Меморіалу Слави"</t>
  </si>
  <si>
    <t>середні витрати 1 куб м природного газу, який постачається до факелу "Вічний вогонь" та "Меморіалу Слави"</t>
  </si>
  <si>
    <t>темп зменшення середніх витрат на природний газ, який постачається до факелу "Вічний вогонь" та "Меморіалу Слави" порівняно з попереднім роком</t>
  </si>
  <si>
    <t xml:space="preserve">перелік контейнерних майданчиків з місцем для складування негабаритних відходів </t>
  </si>
  <si>
    <t>відповідно до рішень виконавчого комітету</t>
  </si>
  <si>
    <t>кількість фонтанів, які необхідно та планується утримувати</t>
  </si>
  <si>
    <t>кількість дитячих майданчиків, які необхідно та планується відремонтувати</t>
  </si>
  <si>
    <t>кількість металевих конструкцій для велопарковок, які необхідно та планується встановити</t>
  </si>
  <si>
    <t xml:space="preserve">витрати на проведення просвітницької діяльності </t>
  </si>
  <si>
    <t>середня вартість встановлення 1 металевої конструкції для велопарковки</t>
  </si>
  <si>
    <t>відсоток кількості об’єктів, що заплановано до кількості об’єктів, що необхідно відремонтувати</t>
  </si>
  <si>
    <t xml:space="preserve">питома вага кількості контейнерних майданчиків, на яких заплановано відремонтувати покриття до кількості контейнерних майданчиків, на яких необхідно відремонтувати покриття </t>
  </si>
  <si>
    <t>питома вага кількості скульптурних форм, що заплановано відремонтувати до загальної кількості скульптурних форм</t>
  </si>
  <si>
    <t xml:space="preserve">динаміка кількості МАФ, що заплановано демонтувати до кількості МАФ, що демонтовано за попередній рік </t>
  </si>
  <si>
    <t>питома вага кількості фонтанів,  що заплановано утримувати до кількості, що необхідно утримувати</t>
  </si>
  <si>
    <t xml:space="preserve">питома вага кількості дитячих майданчиків, що заплановано відремонтувати до кількості дитячих майданчиків, що необхідно відремонтувати </t>
  </si>
  <si>
    <t xml:space="preserve">питома вага кількості  металевих конструкцій для велопарковок, що заплановано встановити до кількості  металевих конструкцій для велопарковок, що необхідно встановити </t>
  </si>
  <si>
    <t>кількість об'єктів (прибудинкові території), що потребують поточного ремонту та заплановано відремонтувати</t>
  </si>
  <si>
    <t>середні витрати на поточний ремонт 1 об'єкту (прибудинкова територія)</t>
  </si>
  <si>
    <t>питома вага кількості об'єктів (прибудинкові території), до обстежених та які потребують ремонту</t>
  </si>
  <si>
    <t xml:space="preserve">площа територій, що підлягає прибиранню та планується прибирати  </t>
  </si>
  <si>
    <t>зведена відомість по УМК, комунальних підприємствах</t>
  </si>
  <si>
    <t xml:space="preserve">капітальний ремонт пішохідної зони на розі вул. Зарічанської та вул. Бандери (у т.ч. ПКД) </t>
  </si>
  <si>
    <t>капітальний ремонт зони відпочинку навколо водойми в мікрорайоні "Озерна" (в т.ч. коригування ПКД, експертиза)</t>
  </si>
  <si>
    <t>капітальний ремонт атракціону «Колесо огляду» в парку культури та відпочинку ім. М. Чекмана в м. Хмельницький</t>
  </si>
  <si>
    <t>капітальний ремонт парку "Подільський" (коригування ПКД)</t>
  </si>
  <si>
    <t>капітальний ремонт зеленої зони на пров. Пушкіна в м. Хмельницькому (в т.ч. виготовлення проектно-кошторисної документації)</t>
  </si>
  <si>
    <t>капітальний ремонт громадської вбиральні в дендропарку "Поділля"</t>
  </si>
  <si>
    <t>капітальний ремонт - улаштування водостоків на проїзді Геологів (в районі ринків)</t>
  </si>
  <si>
    <t>капітальний ремонт громадської вбиральні на вул. Гастелло, 12</t>
  </si>
  <si>
    <t>капітальний ремонт огорожі на кладовищі у мікрорайоні "Книжківці"</t>
  </si>
  <si>
    <t>капітальний ремонт - встановлення годинникової скульптури (жакмара) на вежі кінотеатру "Планета" у м. Хмельницькому</t>
  </si>
  <si>
    <t>капітальний ремонт пішохідної зони із встановленням модульної громадської вбиральні на вул. Проскурівській, 4/3 у м. Хмельницькому</t>
  </si>
  <si>
    <r>
      <t xml:space="preserve">капітальний ремонт – улаштування інклюзивних дитячих та спортивних майданчиків, м. Хмельницький </t>
    </r>
    <r>
      <rPr>
        <i/>
        <sz val="12"/>
        <rFont val="Times New Roman"/>
        <family val="1"/>
        <charset val="204"/>
      </rPr>
      <t>(субвенція з державного бюджету)</t>
    </r>
  </si>
  <si>
    <t>кількість інклюзивних дитячих та спортивних майданчиків, що планується улаштувати</t>
  </si>
  <si>
    <t>витрати на розробку 1 ПКД на капітальний ремонт об'єкту благоустрою</t>
  </si>
  <si>
    <t>витрати на улаштування 1 інклюзивного дитячого, спортивного майданчика</t>
  </si>
  <si>
    <t>кількість протоколів про адміністративні правопорушення, що планується скласти в поточному році</t>
  </si>
  <si>
    <t>кількість протоколів про адміністративні правопорушення, що планується скласти в поточному році на 1 працівника</t>
  </si>
  <si>
    <t>динаміка кількості протоколів про адміністративні правопорушення, що планується скласти в поточному році до кількості складених протоколів про адміністративні правопорушення порівняно з попереднім роком</t>
  </si>
  <si>
    <t>Касові видатки (надані кредити з бюджету)</t>
  </si>
  <si>
    <t xml:space="preserve">Програма розвитку велоінфраструктури  м. Хмельницького на 2017-2025 рр. </t>
  </si>
  <si>
    <t xml:space="preserve">Програма популяризації та ефективного впровадження програм у сфері житлово-комунального господарства на 2019 – 2023 роки </t>
  </si>
  <si>
    <t>в 2018 р. 8 інспекторів, 20129 14 од. фактично</t>
  </si>
  <si>
    <t xml:space="preserve">Пояснення:  роботи виконані, економія коштів за рахунок зменшення витрат на  відшкодування комунальних та експлуатаційних послуг по орендованих приміщеннях та витрат по оренді приміщень. </t>
  </si>
  <si>
    <t>Пояснення:  загальна кількість протоколів, яка надійшла на розгляд адмінкомісії становить 1141 од.</t>
  </si>
  <si>
    <t xml:space="preserve">Пояснення: фактичне використання коштів згідно рахунків за спожиті послуги </t>
  </si>
  <si>
    <t xml:space="preserve"> продукту</t>
  </si>
  <si>
    <t xml:space="preserve"> якості</t>
  </si>
  <si>
    <t xml:space="preserve"> затрат</t>
  </si>
  <si>
    <t xml:space="preserve"> ефективності</t>
  </si>
  <si>
    <t>и продукту</t>
  </si>
  <si>
    <t>Пояснення: фактичне споживання природного газу відповідно до рахунів наданих ПАТ "ХМЕЛЬНИЦЬКГАЗ" та ПАТ "ХМЕЛЬНИЦЬКГАЗ ЗБУТ"</t>
  </si>
  <si>
    <t>площа доріг, тротуарів, що необхідно та планується відремонтувати</t>
  </si>
  <si>
    <t>середні витрати на поточний ремонт 1 кв. м площі доріг, тротуарів</t>
  </si>
  <si>
    <t>Пояснення: п. 4 середні витрати змінилися в зв'язку з зменшенням кількості світлофорних об'єктів, які планується утримувати</t>
  </si>
  <si>
    <t xml:space="preserve">питома вага площі доріг (тротуарів), що заплановано відремонтувати до площі доріг (тротуарів), що необхідно відремонтувати </t>
  </si>
  <si>
    <t xml:space="preserve">Пояснення: роботи виконані, фактичне використання коштів відповідно до актів виконаних робіт </t>
  </si>
  <si>
    <t>Пояснення: фактичне використання коштів відповідно до актів виконаних робіт</t>
  </si>
  <si>
    <t>п.8 витрати на розробку проектів землеустрою залежать від площі земельної ділянки (яка зазначається в проеті, згідно листів Департаменту архітектури, містобудування та земельних ресурсів)</t>
  </si>
  <si>
    <t>п.6 в 2019 р. придбано 123 од. декоративних дерев, 2657 од. - кущів, влаштовано 2041,5 кв. м газонів</t>
  </si>
  <si>
    <t>Пояснення: фактично складено більше протоколів про адмінпорушення на 1 інспектора, збільшились витрати на придбання матеріалів та обладнання в зв'язку придбанням  офісних столів та стільців  для працівників в орендоване офісне приміщення, закуплено зимовий форменний одяг 8 комплектів для інспекторів,які влаштувалися на роботу в 2019 році.</t>
  </si>
  <si>
    <t>Виконання бюджетної програми становить 86,6 % до затверджених призначень в 2019 р.</t>
  </si>
  <si>
    <t>п. 4 простерилізовано тварин менше ніж заплановано, тому що частина тварин, яка була виловлена, була відбракована лікарем-ветеринаром</t>
  </si>
  <si>
    <t>п.2  середні витрати відрізняються від запланованих в зв'язку із зменшенням кількості  тварин, які фактично простерилізовано</t>
  </si>
  <si>
    <t>п.4  середні витрати відрізняються від запланованих в зв'язку із фактичним обсягом гілля, яке перероблено</t>
  </si>
  <si>
    <t>п. 6 середні витрати відрізняються від запланованих в зв'язку із збільшенням кількості небезпечних відходів, які було зібрано у населення та передано стороннім організаціям</t>
  </si>
  <si>
    <t>Пояснення п. 1 темп зростання середньої суми  утримання підприємства відрізняється в звязку з фактичним освоєнням коштів</t>
  </si>
  <si>
    <t xml:space="preserve">Пояснення: п.3 два світлофорних об'єкти не було підключено до електромережі </t>
  </si>
  <si>
    <t>(найменування головного розпорядника 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</si>
  <si>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</si>
  <si>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</si>
  <si>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</si>
  <si>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відповідального виконавця)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</si>
  <si>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</si>
  <si>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</si>
  <si>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</si>
  <si>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</si>
  <si>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Фактичні результативні показники, досягнуті за рахунок касових видатків (наданих кредитів з бюджету)</t>
  </si>
  <si>
    <t>Пояснення: економія коштів, роботи з поточного ремонту мереж зовнішнього освітлення виконані, роботи з капітального ремонту мереж зовнішнього освітлення на вул. Західно-Окружна перенесено на 2020 рік</t>
  </si>
  <si>
    <t xml:space="preserve">Пояснення: роботи виконані, економія коштів </t>
  </si>
  <si>
    <t xml:space="preserve">Пояснення: п. 1 економія коштів послуги з утримання дренажних насосних станцій виконані, п.2 недоосвоєння коштів в звязку з меншим обсягом випадених атмосферних опадів </t>
  </si>
  <si>
    <t>Пояснення:  кошти використані в не повному обсязі, виконання робіт з капітального ремонту двох об'єктів благоустрою продовжаться у 2020 р.</t>
  </si>
  <si>
    <t>Пояснення: роботи виконані, економія коштів за рахунок зменшення витрат на відшкодування комунальних та експлуатаційних послуг по орендованих приміщеннях та витрат по оренді приміщень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</si>
  <si>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</si>
  <si>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</si>
  <si>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 xml:space="preserve">9. </t>
  </si>
  <si>
    <t xml:space="preserve">Пояснення: 2,5,6,7,9,12 економія коштів, роботи виконані  </t>
  </si>
  <si>
    <t>п.10 фактична вартість придбання піску згідно з видатковою накладною</t>
  </si>
  <si>
    <t>Пояснення:  п. 5 фактичний обсяг видалених аварійних дерев відповідно до актів виконаних робіт</t>
  </si>
  <si>
    <t>п. 9 більша кількість піску для підготовки міського пляжу перед початком купального сезону була придбана в межах наявних кошторисних призначень за рахунок більш вигідної пропозиції</t>
  </si>
  <si>
    <t xml:space="preserve">п.8 - середні витрати відрізняються від затверджених в зв'язку з економією коштів на встановлення точок підключення електромереж  </t>
  </si>
  <si>
    <t xml:space="preserve">Пояснення: п.1,2,11 - середні витрати відрізняються від затверджених в зв'язку з економією коштів </t>
  </si>
  <si>
    <t xml:space="preserve">Пояснення: п.1 збільшення кількості світлоточок відповідно до інвентарної відомості </t>
  </si>
  <si>
    <t>п. 3 капітальний ремонт мереж зовнішнього освітлення на вул. Західно-Окружна перенесено на 2020 рік</t>
  </si>
  <si>
    <t xml:space="preserve">Пояснення: п.3,4 економія коштів </t>
  </si>
  <si>
    <r>
      <t xml:space="preserve">Пояснення: </t>
    </r>
    <r>
      <rPr>
        <sz val="12"/>
        <rFont val="Times New Roman"/>
        <family val="1"/>
        <charset val="204"/>
      </rPr>
      <t>п.1 середні витрати відрізняються від затверджених в зв'язку з постійним вдосконаленням мереж зовнішнього освітлення</t>
    </r>
  </si>
  <si>
    <t xml:space="preserve">п.3 середні витрати відрізняютьсявід затверджених в зв'язку із виконанням капітального ремонту мереж з/о прибудинкових територій (не передбачиних титульним списком на початку року) з використанням металевих стійок з двома LED модулями та прокладання кабелю під землею виникла потреба у додаткових коштах на виконання цих робіт. Кошти були отримано завдяки зменшенню кількості світлоточок які планувалося влаштувати на магістральних вулицях 2019 році. </t>
  </si>
  <si>
    <r>
      <t>Пояснення:</t>
    </r>
    <r>
      <rPr>
        <sz val="12"/>
        <rFont val="Times New Roman"/>
        <family val="1"/>
        <charset val="204"/>
      </rPr>
      <t xml:space="preserve"> п. 2. економія коштів, фактичне вивезення рідких відходів відповідно до фактичного накопичення в біотуалетах </t>
    </r>
  </si>
  <si>
    <t xml:space="preserve">п. 3, 6 економія коштів </t>
  </si>
  <si>
    <t xml:space="preserve">п. 5 економія коштів відповідно до фактичного обсягу завезенного гілля </t>
  </si>
  <si>
    <t xml:space="preserve">п. 7 передача небезпечних відходів заплановано на початок 2020 р. </t>
  </si>
  <si>
    <t xml:space="preserve">п. 6 фактична кількість завезенного гілля на перероблення </t>
  </si>
  <si>
    <t xml:space="preserve">п. 7 фактична кількість небезпечних відходів, які було зібрано у населення, тому виник залишок коштів  </t>
  </si>
  <si>
    <t>п.2 темп зростання середньої суми утримання бездоглядних тварин відрізняється в звязку з еконосією коштів</t>
  </si>
  <si>
    <t>Пояснення: п.5 економія коштів за рахунок зменшення вартості матеріалів</t>
  </si>
  <si>
    <t>Пояснення: п.1-4 економія коштів по фактично виконаних роботах згідно актів виконаних робіт</t>
  </si>
  <si>
    <t>Пояснення: п.5 за рельєфом місцевості змінилися обсяги робіт з поточного ремонту тротуару (мощення тротуарною плиткою)</t>
  </si>
  <si>
    <t>п. 6 середні витрати змінилися в зв'язку з фактичним обсягом виконаних робіт</t>
  </si>
  <si>
    <t xml:space="preserve">п.6 - середні витрати відрізняються від затверджених  в залежності від виду посадкового матеріалу (придбано 123 од. декоративних дерев, 2657 од. - кущів, влаштовано 2041,5 кв. м.) </t>
  </si>
  <si>
    <t>п.7 - витрати залежать від площі земельної ділянки (яка зазначається в проеті, згідно листів Департаменту архітектури, містобудування та земельних ресурсів)</t>
  </si>
  <si>
    <t>п.9 - середні витрати на придбання 1 т піску відрізняються від затверджених за рахунок меншої цінової пропозиції та прдбання більшого обсягу піску</t>
  </si>
  <si>
    <t>п.5 - середні витрати відрізняються від затверджених в зв'язку з тим, що обсяги виконаних робіт визначаються безпосередньому при виконанні робіт (тобто обсяги зрізаних дерев в куб. м). Плановий розрахунок є орієнтовним.</t>
  </si>
  <si>
    <t xml:space="preserve">Пояснення: економія коштів згідно рахунків за спожиті послуги </t>
  </si>
  <si>
    <t>Пояснення: зменшення вартості природного газу</t>
  </si>
  <si>
    <t>п.5  середні витрати відрізняються від запланованих в зв'язку із економією фонду оплати праці, електроенергії</t>
  </si>
  <si>
    <t xml:space="preserve">Пояснення: п. 1 середні витрати відрізняються від запланованих  в зв'язку із фактичним вивезення рідких відходів відповідно до фактичного накопичення в туалетах </t>
  </si>
  <si>
    <t>Пояснення: п. 1-7, 9-15 економія коштів, роботи виконані</t>
  </si>
  <si>
    <t>Пояснення: п. 1-15 середні витрати змінилися за рахунок економії коштів</t>
  </si>
  <si>
    <t>Пояснення: п. 1 зміни показника пов'язані з економією коштів</t>
  </si>
  <si>
    <t xml:space="preserve">Пояснення: п.1 економія коштів, послуги виконані в повному обсязі, п.2 недоосвоєння коштів в звязку з меншим обсягом випадених атмосферних опадів </t>
  </si>
  <si>
    <t>Пояснення: п.1  відхилення за рахунок економії коштів</t>
  </si>
  <si>
    <t xml:space="preserve">Пояснення: п.2  зменшення обсягів випадених атмосферних опадів </t>
  </si>
  <si>
    <t>Пояснення: п. 1, п. 5 через неспиятливі погодні умови кошти не використані в повному обсязі, роботи продовжаться у 2020 р.</t>
  </si>
  <si>
    <t>п. 3,4, 6-9, 11-14 економія коштів, роботи виконані</t>
  </si>
  <si>
    <t xml:space="preserve">Аналіз стану виконання результативних показників: виконання робіт з поточного та капітального ремонту обєктів благоустрою здійснені в межах передбачених коштів, роботи, які не виконані в повному обсязі планується продовжити в 2020 р. </t>
  </si>
  <si>
    <t>Н. Вітковська</t>
  </si>
  <si>
    <t>Пояснення:  п.1-4 роботи виконані, економія коштів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</si>
</sst>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"/>
    <numFmt numFmtId="166" formatCode="0.0"/>
    <numFmt numFmtId="167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9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435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0" fillId="0" borderId="0" xfId="0" applyFont="1" applyFill="1"/>
    <xf numFmtId="0" fontId="2" fillId="0" borderId="5" xfId="3" applyFont="1" applyFill="1" applyBorder="1" applyAlignment="1"/>
    <xf numFmtId="0" fontId="10" fillId="0" borderId="5" xfId="0" applyFont="1" applyFill="1" applyBorder="1"/>
    <xf numFmtId="0" fontId="10" fillId="0" borderId="0" xfId="0" applyFont="1" applyFill="1" applyAlignment="1">
      <alignment horizontal="left"/>
    </xf>
    <xf numFmtId="0" fontId="2" fillId="0" borderId="6" xfId="3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/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left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/>
    <xf numFmtId="0" fontId="7" fillId="0" borderId="0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/>
    <xf numFmtId="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11" fillId="0" borderId="0" xfId="0" applyFont="1" applyFill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 applyAlignment="1"/>
    <xf numFmtId="0" fontId="7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7" fillId="0" borderId="0" xfId="0" applyFont="1" applyBorder="1"/>
    <xf numFmtId="0" fontId="2" fillId="0" borderId="5" xfId="3" applyFont="1" applyBorder="1"/>
    <xf numFmtId="0" fontId="7" fillId="0" borderId="5" xfId="0" applyFont="1" applyBorder="1"/>
    <xf numFmtId="0" fontId="2" fillId="0" borderId="0" xfId="2" applyFont="1" applyAlignment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7" fillId="0" borderId="0" xfId="0" applyFont="1" applyBorder="1" applyAlignment="1"/>
    <xf numFmtId="0" fontId="9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8" fillId="0" borderId="7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Alignment="1"/>
    <xf numFmtId="0" fontId="9" fillId="0" borderId="1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/>
    <xf numFmtId="4" fontId="9" fillId="0" borderId="3" xfId="0" applyNumberFormat="1" applyFont="1" applyFill="1" applyBorder="1"/>
    <xf numFmtId="0" fontId="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2" fillId="0" borderId="0" xfId="3" applyFont="1" applyFill="1" applyBorder="1" applyAlignment="1">
      <alignment vertical="top"/>
    </xf>
    <xf numFmtId="0" fontId="10" fillId="0" borderId="0" xfId="0" applyFont="1" applyFill="1" applyBorder="1" applyAlignment="1"/>
    <xf numFmtId="1" fontId="2" fillId="0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1" fontId="9" fillId="0" borderId="4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2" fillId="2" borderId="3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0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left" vertical="center" wrapText="1"/>
    </xf>
    <xf numFmtId="2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 wrapText="1"/>
    </xf>
    <xf numFmtId="2" fontId="2" fillId="2" borderId="1" xfId="2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/>
    <xf numFmtId="4" fontId="7" fillId="0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2" fillId="3" borderId="1" xfId="2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27" fillId="0" borderId="0" xfId="0" applyFont="1" applyFill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2" applyFont="1" applyFill="1" applyBorder="1" applyAlignment="1">
      <alignment vertical="center" wrapText="1"/>
    </xf>
    <xf numFmtId="0" fontId="2" fillId="2" borderId="3" xfId="2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3" applyFont="1" applyFill="1" applyBorder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0" fontId="2" fillId="0" borderId="1" xfId="2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4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2" fillId="0" borderId="3" xfId="2" applyFont="1" applyFill="1" applyBorder="1" applyAlignment="1">
      <alignment vertical="center" wrapText="1"/>
    </xf>
    <xf numFmtId="0" fontId="2" fillId="0" borderId="4" xfId="2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3" xfId="2" applyFont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8" fillId="0" borderId="1" xfId="2" applyFont="1" applyFill="1" applyBorder="1" applyAlignment="1">
      <alignment horizontal="left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2" fontId="9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center" vertical="center" wrapText="1"/>
    </xf>
    <xf numFmtId="0" fontId="12" fillId="0" borderId="1" xfId="2" applyNumberFormat="1" applyFont="1" applyFill="1" applyBorder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/>
    </xf>
    <xf numFmtId="0" fontId="2" fillId="0" borderId="2" xfId="2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8" fillId="0" borderId="3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wrapText="1"/>
    </xf>
    <xf numFmtId="0" fontId="2" fillId="0" borderId="9" xfId="2" applyFont="1" applyBorder="1" applyAlignment="1">
      <alignment vertical="center" wrapText="1"/>
    </xf>
    <xf numFmtId="0" fontId="2" fillId="0" borderId="5" xfId="2" applyFont="1" applyBorder="1" applyAlignment="1">
      <alignment vertical="center" wrapText="1"/>
    </xf>
    <xf numFmtId="0" fontId="2" fillId="0" borderId="8" xfId="2" applyFont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/>
    </xf>
    <xf numFmtId="0" fontId="8" fillId="0" borderId="0" xfId="2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8" fillId="0" borderId="4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 wrapText="1"/>
    </xf>
    <xf numFmtId="49" fontId="9" fillId="0" borderId="5" xfId="0" applyNumberFormat="1" applyFont="1" applyFill="1" applyBorder="1" applyAlignment="1">
      <alignment horizontal="center"/>
    </xf>
    <xf numFmtId="0" fontId="4" fillId="0" borderId="7" xfId="3" applyFont="1" applyBorder="1" applyAlignment="1">
      <alignment horizontal="center" vertical="top" wrapText="1"/>
    </xf>
    <xf numFmtId="0" fontId="4" fillId="0" borderId="7" xfId="3" applyFont="1" applyFill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35"/>
  <sheetViews>
    <sheetView tabSelected="1" zoomScaleNormal="100" zoomScaleSheetLayoutView="100" workbookViewId="0">
      <selection activeCell="R383" sqref="R383:S383"/>
    </sheetView>
  </sheetViews>
  <sheetFormatPr defaultRowHeight="15" x14ac:dyDescent="0.25"/>
  <cols>
    <col min="1" max="1" width="4.85546875" style="22" customWidth="1"/>
    <col min="2" max="2" width="14.42578125" style="22" customWidth="1"/>
    <col min="3" max="3" width="8.7109375" style="22" customWidth="1"/>
    <col min="4" max="4" width="9.140625" style="22"/>
    <col min="5" max="5" width="7.140625" style="22" customWidth="1"/>
    <col min="6" max="10" width="7.140625" style="22" hidden="1" customWidth="1"/>
    <col min="11" max="12" width="13.7109375" style="22" customWidth="1"/>
    <col min="13" max="13" width="13.42578125" style="22" customWidth="1"/>
    <col min="14" max="14" width="13.5703125" style="22" hidden="1" customWidth="1"/>
    <col min="15" max="15" width="2" style="22" hidden="1" customWidth="1"/>
    <col min="16" max="16" width="5.85546875" style="22" customWidth="1"/>
    <col min="17" max="17" width="9.140625" style="22"/>
    <col min="18" max="18" width="8.140625" style="22" customWidth="1"/>
    <col min="19" max="19" width="6.85546875" style="22" customWidth="1"/>
    <col min="20" max="20" width="9.140625" style="22"/>
    <col min="21" max="21" width="6.140625" style="22" customWidth="1"/>
    <col min="22" max="22" width="15" style="22" customWidth="1"/>
    <col min="23" max="24" width="14.140625" style="22" customWidth="1"/>
    <col min="25" max="25" width="15.42578125" style="22" customWidth="1"/>
    <col min="26" max="26" width="12" style="22" customWidth="1"/>
    <col min="27" max="27" width="15" style="22" customWidth="1"/>
    <col min="28" max="28" width="9.140625" style="22"/>
    <col min="29" max="29" width="13.140625" style="22" customWidth="1"/>
    <col min="30" max="16384" width="9.140625" style="22"/>
  </cols>
  <sheetData>
    <row r="1" spans="1:27" x14ac:dyDescent="0.25">
      <c r="T1" s="81" t="s">
        <v>8</v>
      </c>
    </row>
    <row r="2" spans="1:27" x14ac:dyDescent="0.25">
      <c r="T2" s="81" t="s">
        <v>5</v>
      </c>
    </row>
    <row r="3" spans="1:27" x14ac:dyDescent="0.25">
      <c r="T3" s="81" t="s">
        <v>6</v>
      </c>
    </row>
    <row r="4" spans="1:27" x14ac:dyDescent="0.25">
      <c r="T4" s="82" t="s">
        <v>7</v>
      </c>
    </row>
    <row r="5" spans="1:27" x14ac:dyDescent="0.25">
      <c r="T5" s="82" t="s">
        <v>197</v>
      </c>
    </row>
    <row r="8" spans="1:27" x14ac:dyDescent="0.25">
      <c r="L8" s="83"/>
      <c r="M8" s="84"/>
      <c r="N8" s="84"/>
      <c r="O8" s="84"/>
      <c r="P8" s="84"/>
      <c r="Q8" s="85" t="s">
        <v>198</v>
      </c>
      <c r="S8" s="83"/>
      <c r="T8" s="84"/>
      <c r="U8" s="84"/>
      <c r="V8" s="83"/>
    </row>
    <row r="9" spans="1:27" ht="15.75" x14ac:dyDescent="0.25">
      <c r="M9" s="238" t="s">
        <v>199</v>
      </c>
      <c r="N9" s="238"/>
      <c r="O9" s="238"/>
      <c r="P9" s="238"/>
      <c r="Q9" s="238"/>
      <c r="R9" s="238"/>
      <c r="S9" s="238"/>
      <c r="T9" s="238"/>
      <c r="U9" s="86"/>
      <c r="V9" s="86"/>
    </row>
    <row r="10" spans="1:27" ht="15.75" x14ac:dyDescent="0.25">
      <c r="K10" s="31"/>
      <c r="L10" s="86"/>
      <c r="M10" s="238" t="s">
        <v>200</v>
      </c>
      <c r="N10" s="238"/>
      <c r="O10" s="238"/>
      <c r="P10" s="238"/>
      <c r="Q10" s="238"/>
      <c r="R10" s="238"/>
      <c r="S10" s="238"/>
      <c r="T10" s="238"/>
      <c r="U10" s="86"/>
      <c r="V10" s="83"/>
    </row>
    <row r="13" spans="1:27" ht="19.5" customHeight="1" x14ac:dyDescent="0.25">
      <c r="A13" s="133" t="s">
        <v>0</v>
      </c>
      <c r="B13" s="199">
        <v>1200000</v>
      </c>
      <c r="C13" s="199"/>
      <c r="E13" s="24"/>
      <c r="F13" s="24"/>
      <c r="G13" s="24"/>
      <c r="H13" s="24"/>
      <c r="I13" s="24"/>
      <c r="J13" s="24"/>
      <c r="K13" s="23" t="s">
        <v>1</v>
      </c>
      <c r="L13" s="24"/>
      <c r="M13" s="24"/>
      <c r="N13" s="24"/>
      <c r="O13" s="24"/>
      <c r="P13" s="24"/>
      <c r="Q13" s="24"/>
      <c r="R13" s="24"/>
      <c r="S13" s="24"/>
      <c r="T13" s="24"/>
      <c r="Z13" s="193" t="s">
        <v>352</v>
      </c>
      <c r="AA13" s="193"/>
    </row>
    <row r="14" spans="1:27" ht="56.25" customHeight="1" x14ac:dyDescent="0.25">
      <c r="A14" s="133"/>
      <c r="B14" s="200" t="s">
        <v>347</v>
      </c>
      <c r="C14" s="200"/>
      <c r="E14" s="135"/>
      <c r="F14" s="135"/>
      <c r="G14" s="135"/>
      <c r="H14" s="135"/>
      <c r="I14" s="135"/>
      <c r="J14" s="135"/>
      <c r="K14" s="178" t="s">
        <v>346</v>
      </c>
      <c r="L14" s="178"/>
      <c r="M14" s="178"/>
      <c r="N14" s="178"/>
      <c r="O14" s="178"/>
      <c r="P14" s="178"/>
      <c r="Q14" s="178"/>
      <c r="R14" s="178"/>
      <c r="Z14" s="179" t="s">
        <v>353</v>
      </c>
      <c r="AA14" s="179"/>
    </row>
    <row r="15" spans="1:27" x14ac:dyDescent="0.25">
      <c r="A15" s="133"/>
      <c r="B15" s="25"/>
      <c r="Z15" s="83"/>
      <c r="AA15" s="83"/>
    </row>
    <row r="16" spans="1:27" ht="18.75" customHeight="1" x14ac:dyDescent="0.25">
      <c r="A16" s="133" t="s">
        <v>3</v>
      </c>
      <c r="B16" s="199">
        <v>1210000</v>
      </c>
      <c r="C16" s="199"/>
      <c r="E16" s="24"/>
      <c r="F16" s="24"/>
      <c r="G16" s="24"/>
      <c r="H16" s="24"/>
      <c r="I16" s="24"/>
      <c r="J16" s="24"/>
      <c r="K16" s="26" t="s">
        <v>1</v>
      </c>
      <c r="L16" s="24"/>
      <c r="M16" s="24"/>
      <c r="N16" s="24"/>
      <c r="O16" s="24"/>
      <c r="P16" s="24"/>
      <c r="Q16" s="24"/>
      <c r="R16" s="24"/>
      <c r="S16" s="24"/>
      <c r="T16" s="24"/>
      <c r="Z16" s="193" t="s">
        <v>352</v>
      </c>
      <c r="AA16" s="193"/>
    </row>
    <row r="17" spans="1:31" ht="55.5" customHeight="1" x14ac:dyDescent="0.25">
      <c r="A17" s="133"/>
      <c r="B17" s="200" t="s">
        <v>347</v>
      </c>
      <c r="C17" s="200"/>
      <c r="E17" s="31"/>
      <c r="F17" s="31"/>
      <c r="G17" s="31"/>
      <c r="H17" s="31"/>
      <c r="I17" s="31"/>
      <c r="J17" s="31"/>
      <c r="K17" s="190" t="s">
        <v>350</v>
      </c>
      <c r="L17" s="191"/>
      <c r="M17" s="191"/>
      <c r="N17" s="191"/>
      <c r="O17" s="191"/>
      <c r="P17" s="191"/>
      <c r="Q17" s="191"/>
      <c r="R17" s="191"/>
      <c r="Z17" s="179" t="s">
        <v>353</v>
      </c>
      <c r="AA17" s="179"/>
    </row>
    <row r="18" spans="1:31" x14ac:dyDescent="0.25">
      <c r="A18" s="133"/>
      <c r="B18" s="25"/>
      <c r="Z18" s="83"/>
      <c r="AA18" s="83"/>
    </row>
    <row r="19" spans="1:31" ht="18.75" customHeight="1" x14ac:dyDescent="0.25">
      <c r="A19" s="133" t="s">
        <v>4</v>
      </c>
      <c r="B19" s="199">
        <v>1216030</v>
      </c>
      <c r="C19" s="199"/>
      <c r="E19" s="197">
        <v>6030</v>
      </c>
      <c r="F19" s="197"/>
      <c r="G19" s="197"/>
      <c r="H19" s="197"/>
      <c r="I19" s="197"/>
      <c r="J19" s="197"/>
      <c r="K19" s="197"/>
      <c r="L19" s="137"/>
      <c r="M19" s="431" t="s">
        <v>2</v>
      </c>
      <c r="N19" s="431"/>
      <c r="O19" s="431"/>
      <c r="P19" s="431"/>
      <c r="Q19" s="137"/>
      <c r="R19" s="348" t="s">
        <v>28</v>
      </c>
      <c r="S19" s="348"/>
      <c r="T19" s="348"/>
      <c r="U19" s="348"/>
      <c r="V19" s="348"/>
      <c r="W19" s="348"/>
      <c r="X19" s="348"/>
      <c r="Z19" s="194">
        <v>22201100000</v>
      </c>
      <c r="AA19" s="194"/>
    </row>
    <row r="20" spans="1:31" ht="54" customHeight="1" x14ac:dyDescent="0.25">
      <c r="B20" s="200" t="s">
        <v>347</v>
      </c>
      <c r="C20" s="200"/>
      <c r="E20" s="192" t="s">
        <v>348</v>
      </c>
      <c r="F20" s="192"/>
      <c r="G20" s="192"/>
      <c r="H20" s="192"/>
      <c r="I20" s="192"/>
      <c r="J20" s="192"/>
      <c r="K20" s="192"/>
      <c r="L20" s="136"/>
      <c r="M20" s="432" t="s">
        <v>349</v>
      </c>
      <c r="N20" s="432"/>
      <c r="O20" s="432"/>
      <c r="P20" s="432"/>
      <c r="R20" s="433" t="s">
        <v>351</v>
      </c>
      <c r="S20" s="433"/>
      <c r="T20" s="433"/>
      <c r="U20" s="433"/>
      <c r="V20" s="433"/>
      <c r="W20" s="433"/>
      <c r="X20" s="433"/>
      <c r="Z20" s="179" t="s">
        <v>354</v>
      </c>
      <c r="AA20" s="179"/>
    </row>
    <row r="21" spans="1:31" x14ac:dyDescent="0.25">
      <c r="AB21" s="36"/>
      <c r="AC21" s="36"/>
      <c r="AD21" s="36"/>
      <c r="AE21" s="36"/>
    </row>
    <row r="22" spans="1:31" ht="15.75" x14ac:dyDescent="0.25">
      <c r="A22" s="87" t="s">
        <v>201</v>
      </c>
      <c r="B22" s="245" t="s">
        <v>202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89"/>
      <c r="Z22" s="89"/>
      <c r="AA22" s="89"/>
      <c r="AB22" s="89"/>
      <c r="AC22" s="93"/>
      <c r="AD22" s="93"/>
      <c r="AE22" s="36"/>
    </row>
    <row r="23" spans="1:31" ht="15.75" x14ac:dyDescent="0.25">
      <c r="A23" s="83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93"/>
      <c r="AD23" s="93"/>
      <c r="AE23" s="36"/>
    </row>
    <row r="24" spans="1:31" ht="18" customHeight="1" x14ac:dyDescent="0.25">
      <c r="A24" s="83"/>
      <c r="B24" s="90" t="s">
        <v>17</v>
      </c>
      <c r="C24" s="235" t="s">
        <v>203</v>
      </c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7"/>
      <c r="Z24" s="102"/>
      <c r="AA24" s="102"/>
      <c r="AB24" s="102"/>
      <c r="AC24" s="102"/>
      <c r="AD24" s="102"/>
      <c r="AE24" s="36"/>
    </row>
    <row r="25" spans="1:31" ht="18" customHeight="1" x14ac:dyDescent="0.25">
      <c r="A25" s="83"/>
      <c r="B25" s="90">
        <v>1</v>
      </c>
      <c r="C25" s="356" t="s">
        <v>209</v>
      </c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357"/>
      <c r="V25" s="357"/>
      <c r="W25" s="357"/>
      <c r="X25" s="357"/>
      <c r="Y25" s="358"/>
      <c r="Z25" s="102"/>
      <c r="AA25" s="102"/>
      <c r="AB25" s="102"/>
      <c r="AC25" s="102"/>
      <c r="AD25" s="102"/>
      <c r="AE25" s="36"/>
    </row>
    <row r="26" spans="1:31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93"/>
      <c r="Z26" s="93"/>
      <c r="AA26" s="93"/>
      <c r="AB26" s="93"/>
      <c r="AC26" s="93"/>
      <c r="AD26" s="93"/>
      <c r="AE26" s="36"/>
    </row>
    <row r="27" spans="1:31" ht="15.75" x14ac:dyDescent="0.25">
      <c r="A27" s="91" t="s">
        <v>204</v>
      </c>
      <c r="B27" s="92" t="s">
        <v>205</v>
      </c>
      <c r="C27" s="92"/>
      <c r="D27" s="92"/>
      <c r="E27" s="94" t="s">
        <v>237</v>
      </c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5"/>
      <c r="Q27" s="95"/>
      <c r="R27" s="95"/>
      <c r="S27" s="95"/>
      <c r="T27" s="95"/>
      <c r="U27" s="95"/>
      <c r="V27" s="93"/>
      <c r="W27" s="93"/>
      <c r="X27" s="93"/>
      <c r="Y27" s="93"/>
      <c r="Z27" s="93"/>
      <c r="AA27" s="93"/>
      <c r="AB27" s="93"/>
      <c r="AC27" s="93"/>
      <c r="AD27" s="93"/>
      <c r="AE27" s="36"/>
    </row>
    <row r="28" spans="1:31" x14ac:dyDescent="0.2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93"/>
      <c r="Z28" s="93"/>
      <c r="AA28" s="93"/>
      <c r="AB28" s="93"/>
      <c r="AC28" s="93"/>
      <c r="AD28" s="93"/>
      <c r="AE28" s="36"/>
    </row>
    <row r="29" spans="1:31" ht="15.75" customHeight="1" x14ac:dyDescent="0.25">
      <c r="A29" s="91" t="s">
        <v>15</v>
      </c>
      <c r="B29" s="96" t="s">
        <v>206</v>
      </c>
      <c r="C29" s="97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104"/>
      <c r="Z29" s="103"/>
      <c r="AA29" s="103"/>
      <c r="AB29" s="103"/>
      <c r="AC29" s="93"/>
      <c r="AD29" s="93"/>
      <c r="AE29" s="36"/>
    </row>
    <row r="30" spans="1:3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103"/>
      <c r="Z30" s="103"/>
      <c r="AA30" s="103"/>
      <c r="AB30" s="103"/>
      <c r="AC30" s="93"/>
      <c r="AD30" s="93"/>
      <c r="AE30" s="36"/>
    </row>
    <row r="31" spans="1:31" ht="18" customHeight="1" x14ac:dyDescent="0.25">
      <c r="A31" s="99"/>
      <c r="B31" s="90" t="s">
        <v>17</v>
      </c>
      <c r="C31" s="434" t="s">
        <v>207</v>
      </c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102"/>
      <c r="AA31" s="102"/>
      <c r="AB31" s="102"/>
      <c r="AC31" s="102"/>
      <c r="AD31" s="102"/>
      <c r="AE31" s="36"/>
    </row>
    <row r="32" spans="1:31" ht="33.75" customHeight="1" x14ac:dyDescent="0.25">
      <c r="A32" s="99"/>
      <c r="B32" s="90">
        <v>1</v>
      </c>
      <c r="C32" s="300" t="s">
        <v>212</v>
      </c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102"/>
      <c r="AA32" s="102"/>
      <c r="AB32" s="102"/>
      <c r="AC32" s="102"/>
      <c r="AD32" s="102"/>
      <c r="AE32" s="36"/>
    </row>
    <row r="33" spans="1:31" ht="18.95" customHeight="1" x14ac:dyDescent="0.25">
      <c r="A33" s="99"/>
      <c r="B33" s="90">
        <f>B32+1</f>
        <v>2</v>
      </c>
      <c r="C33" s="300" t="s">
        <v>30</v>
      </c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102"/>
      <c r="AA33" s="102"/>
      <c r="AB33" s="102"/>
      <c r="AC33" s="102"/>
      <c r="AD33" s="102"/>
      <c r="AE33" s="36"/>
    </row>
    <row r="34" spans="1:31" ht="18.95" customHeight="1" x14ac:dyDescent="0.25">
      <c r="A34" s="99"/>
      <c r="B34" s="90">
        <f t="shared" ref="B34:B43" si="0">B33+1</f>
        <v>3</v>
      </c>
      <c r="C34" s="300" t="s">
        <v>31</v>
      </c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102"/>
      <c r="AA34" s="102"/>
      <c r="AB34" s="102"/>
      <c r="AC34" s="102"/>
      <c r="AD34" s="102"/>
      <c r="AE34" s="36"/>
    </row>
    <row r="35" spans="1:31" ht="18.95" customHeight="1" x14ac:dyDescent="0.25">
      <c r="A35" s="99"/>
      <c r="B35" s="90">
        <f t="shared" si="0"/>
        <v>4</v>
      </c>
      <c r="C35" s="300" t="s">
        <v>32</v>
      </c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102"/>
      <c r="AA35" s="102"/>
      <c r="AB35" s="102"/>
      <c r="AC35" s="102"/>
      <c r="AD35" s="102"/>
      <c r="AE35" s="36"/>
    </row>
    <row r="36" spans="1:31" ht="18.95" customHeight="1" x14ac:dyDescent="0.25">
      <c r="A36" s="99"/>
      <c r="B36" s="90">
        <f t="shared" si="0"/>
        <v>5</v>
      </c>
      <c r="C36" s="300" t="s">
        <v>33</v>
      </c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102"/>
      <c r="AA36" s="102"/>
      <c r="AB36" s="102"/>
      <c r="AC36" s="102"/>
      <c r="AD36" s="102"/>
      <c r="AE36" s="36"/>
    </row>
    <row r="37" spans="1:31" ht="18.95" customHeight="1" x14ac:dyDescent="0.25">
      <c r="A37" s="99"/>
      <c r="B37" s="90">
        <f t="shared" si="0"/>
        <v>6</v>
      </c>
      <c r="C37" s="300" t="s">
        <v>34</v>
      </c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102"/>
      <c r="AA37" s="102"/>
      <c r="AB37" s="102"/>
      <c r="AC37" s="102"/>
      <c r="AD37" s="102"/>
      <c r="AE37" s="36"/>
    </row>
    <row r="38" spans="1:31" ht="18.95" customHeight="1" x14ac:dyDescent="0.25">
      <c r="A38" s="99"/>
      <c r="B38" s="90">
        <f t="shared" si="0"/>
        <v>7</v>
      </c>
      <c r="C38" s="300" t="s">
        <v>35</v>
      </c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102"/>
      <c r="AA38" s="102"/>
      <c r="AB38" s="102"/>
      <c r="AC38" s="102"/>
      <c r="AD38" s="102"/>
      <c r="AE38" s="36"/>
    </row>
    <row r="39" spans="1:31" ht="18.95" customHeight="1" x14ac:dyDescent="0.25">
      <c r="A39" s="99"/>
      <c r="B39" s="90">
        <f t="shared" si="0"/>
        <v>8</v>
      </c>
      <c r="C39" s="300" t="s">
        <v>36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102"/>
      <c r="AA39" s="102"/>
      <c r="AB39" s="102"/>
      <c r="AC39" s="102"/>
      <c r="AD39" s="102"/>
      <c r="AE39" s="36"/>
    </row>
    <row r="40" spans="1:31" ht="18.95" customHeight="1" x14ac:dyDescent="0.25">
      <c r="A40" s="99"/>
      <c r="B40" s="90">
        <f t="shared" si="0"/>
        <v>9</v>
      </c>
      <c r="C40" s="300" t="s">
        <v>211</v>
      </c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102"/>
      <c r="AA40" s="102"/>
      <c r="AB40" s="102"/>
      <c r="AC40" s="102"/>
      <c r="AD40" s="102"/>
      <c r="AE40" s="36"/>
    </row>
    <row r="41" spans="1:31" ht="18.95" customHeight="1" x14ac:dyDescent="0.25">
      <c r="A41" s="99"/>
      <c r="B41" s="90">
        <f t="shared" si="0"/>
        <v>10</v>
      </c>
      <c r="C41" s="300" t="s">
        <v>213</v>
      </c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102"/>
      <c r="AA41" s="102"/>
      <c r="AB41" s="102"/>
      <c r="AC41" s="102"/>
      <c r="AD41" s="102"/>
      <c r="AE41" s="36"/>
    </row>
    <row r="42" spans="1:31" ht="18.95" customHeight="1" x14ac:dyDescent="0.25">
      <c r="A42" s="99"/>
      <c r="B42" s="90">
        <f t="shared" si="0"/>
        <v>11</v>
      </c>
      <c r="C42" s="300" t="s">
        <v>214</v>
      </c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102"/>
      <c r="AA42" s="102"/>
      <c r="AB42" s="102"/>
      <c r="AC42" s="102"/>
      <c r="AD42" s="102"/>
      <c r="AE42" s="36"/>
    </row>
    <row r="43" spans="1:31" ht="18.95" customHeight="1" x14ac:dyDescent="0.25">
      <c r="A43" s="99"/>
      <c r="B43" s="90">
        <f t="shared" si="0"/>
        <v>12</v>
      </c>
      <c r="C43" s="300" t="s">
        <v>215</v>
      </c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102"/>
      <c r="AA43" s="102"/>
      <c r="AB43" s="102"/>
      <c r="AC43" s="102"/>
      <c r="AD43" s="102"/>
      <c r="AE43" s="36"/>
    </row>
    <row r="44" spans="1:31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93"/>
      <c r="Z44" s="93"/>
      <c r="AA44" s="93"/>
      <c r="AB44" s="93"/>
      <c r="AC44" s="100"/>
      <c r="AD44" s="93"/>
      <c r="AE44" s="36"/>
    </row>
    <row r="45" spans="1:31" ht="15.75" x14ac:dyDescent="0.25">
      <c r="A45" s="87" t="s">
        <v>18</v>
      </c>
      <c r="B45" s="101" t="s">
        <v>208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93"/>
      <c r="AC45" s="100"/>
      <c r="AD45" s="93"/>
      <c r="AE45" s="36"/>
    </row>
    <row r="46" spans="1:31" ht="15.75" customHeight="1" x14ac:dyDescent="0.25">
      <c r="B46" s="34"/>
      <c r="X46" s="61" t="s">
        <v>216</v>
      </c>
    </row>
    <row r="47" spans="1:31" ht="31.5" customHeight="1" x14ac:dyDescent="0.25">
      <c r="A47" s="341" t="s">
        <v>17</v>
      </c>
      <c r="B47" s="371" t="s">
        <v>14</v>
      </c>
      <c r="C47" s="372"/>
      <c r="D47" s="372"/>
      <c r="E47" s="373"/>
      <c r="F47" s="35"/>
      <c r="G47" s="35"/>
      <c r="H47" s="35"/>
      <c r="I47" s="35"/>
      <c r="J47" s="35"/>
      <c r="K47" s="370" t="s">
        <v>12</v>
      </c>
      <c r="L47" s="359"/>
      <c r="M47" s="247"/>
      <c r="N47" s="29"/>
      <c r="O47" s="29"/>
      <c r="P47" s="370" t="s">
        <v>317</v>
      </c>
      <c r="Q47" s="359"/>
      <c r="R47" s="359"/>
      <c r="S47" s="359"/>
      <c r="T47" s="359"/>
      <c r="U47" s="247"/>
      <c r="V47" s="246" t="s">
        <v>13</v>
      </c>
      <c r="W47" s="359"/>
      <c r="X47" s="247"/>
      <c r="Y47" s="36"/>
    </row>
    <row r="48" spans="1:31" ht="30" customHeight="1" x14ac:dyDescent="0.25">
      <c r="A48" s="342"/>
      <c r="B48" s="374"/>
      <c r="C48" s="375"/>
      <c r="D48" s="375"/>
      <c r="E48" s="376"/>
      <c r="F48" s="37"/>
      <c r="G48" s="37"/>
      <c r="H48" s="37"/>
      <c r="I48" s="37"/>
      <c r="J48" s="37"/>
      <c r="K48" s="27" t="s">
        <v>9</v>
      </c>
      <c r="L48" s="27" t="s">
        <v>10</v>
      </c>
      <c r="M48" s="27" t="s">
        <v>11</v>
      </c>
      <c r="N48" s="28"/>
      <c r="O48" s="28"/>
      <c r="P48" s="246" t="s">
        <v>9</v>
      </c>
      <c r="Q48" s="247"/>
      <c r="R48" s="246" t="s">
        <v>10</v>
      </c>
      <c r="S48" s="247"/>
      <c r="T48" s="246" t="s">
        <v>11</v>
      </c>
      <c r="U48" s="247"/>
      <c r="V48" s="38" t="s">
        <v>9</v>
      </c>
      <c r="W48" s="27" t="s">
        <v>10</v>
      </c>
      <c r="X48" s="27" t="s">
        <v>11</v>
      </c>
      <c r="Y48" s="36"/>
    </row>
    <row r="49" spans="1:25" x14ac:dyDescent="0.25">
      <c r="A49" s="39">
        <v>1</v>
      </c>
      <c r="B49" s="246">
        <v>2</v>
      </c>
      <c r="C49" s="359"/>
      <c r="D49" s="359"/>
      <c r="E49" s="247"/>
      <c r="F49" s="30"/>
      <c r="G49" s="30"/>
      <c r="H49" s="30"/>
      <c r="I49" s="30"/>
      <c r="J49" s="30"/>
      <c r="K49" s="27">
        <v>3</v>
      </c>
      <c r="L49" s="27">
        <v>4</v>
      </c>
      <c r="M49" s="27">
        <v>5</v>
      </c>
      <c r="N49" s="28"/>
      <c r="O49" s="28"/>
      <c r="P49" s="246">
        <v>6</v>
      </c>
      <c r="Q49" s="247"/>
      <c r="R49" s="246">
        <v>7</v>
      </c>
      <c r="S49" s="247"/>
      <c r="T49" s="246">
        <v>8</v>
      </c>
      <c r="U49" s="247"/>
      <c r="V49" s="27">
        <v>9</v>
      </c>
      <c r="W49" s="27">
        <v>10</v>
      </c>
      <c r="X49" s="27">
        <v>11</v>
      </c>
      <c r="Y49" s="40"/>
    </row>
    <row r="50" spans="1:25" ht="101.25" customHeight="1" x14ac:dyDescent="0.25">
      <c r="A50" s="49">
        <v>1</v>
      </c>
      <c r="B50" s="230" t="s">
        <v>217</v>
      </c>
      <c r="C50" s="231"/>
      <c r="D50" s="231"/>
      <c r="E50" s="208"/>
      <c r="F50" s="20"/>
      <c r="G50" s="20"/>
      <c r="H50" s="20"/>
      <c r="I50" s="20"/>
      <c r="J50" s="20"/>
      <c r="K50" s="32">
        <f>P93</f>
        <v>19839165</v>
      </c>
      <c r="L50" s="32">
        <f>R93</f>
        <v>3154000</v>
      </c>
      <c r="M50" s="32">
        <f>K50+L50</f>
        <v>22993165</v>
      </c>
      <c r="N50" s="33"/>
      <c r="O50" s="33"/>
      <c r="P50" s="248">
        <f>V93</f>
        <v>19835099.319999997</v>
      </c>
      <c r="Q50" s="249"/>
      <c r="R50" s="248">
        <f>W93</f>
        <v>3152679.94</v>
      </c>
      <c r="S50" s="249"/>
      <c r="T50" s="248">
        <f t="shared" ref="T50:T63" si="1">P50+R50</f>
        <v>22987779.259999998</v>
      </c>
      <c r="U50" s="249"/>
      <c r="V50" s="32">
        <f t="shared" ref="V50:V71" si="2">P50-K50</f>
        <v>-4065.6800000034273</v>
      </c>
      <c r="W50" s="32">
        <f t="shared" ref="W50:W71" si="3">R50-L50</f>
        <v>-1320.0600000000559</v>
      </c>
      <c r="X50" s="32">
        <f>V50+W50</f>
        <v>-5385.7400000034831</v>
      </c>
      <c r="Y50" s="36"/>
    </row>
    <row r="51" spans="1:25" ht="22.5" customHeight="1" x14ac:dyDescent="0.25">
      <c r="A51" s="49"/>
      <c r="B51" s="230" t="s">
        <v>334</v>
      </c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08"/>
      <c r="Y51" s="36"/>
    </row>
    <row r="52" spans="1:25" ht="22.5" customHeight="1" x14ac:dyDescent="0.25">
      <c r="A52" s="49">
        <v>2</v>
      </c>
      <c r="B52" s="230" t="s">
        <v>210</v>
      </c>
      <c r="C52" s="231"/>
      <c r="D52" s="231"/>
      <c r="E52" s="208"/>
      <c r="F52" s="20"/>
      <c r="G52" s="20"/>
      <c r="H52" s="20"/>
      <c r="I52" s="20"/>
      <c r="J52" s="20"/>
      <c r="K52" s="32">
        <f>P154</f>
        <v>6313100</v>
      </c>
      <c r="L52" s="32"/>
      <c r="M52" s="32">
        <f t="shared" ref="M52:M71" si="4">K52+L52</f>
        <v>6313100</v>
      </c>
      <c r="N52" s="32"/>
      <c r="O52" s="32"/>
      <c r="P52" s="229">
        <f>V154</f>
        <v>6313100</v>
      </c>
      <c r="Q52" s="229"/>
      <c r="R52" s="229"/>
      <c r="S52" s="229"/>
      <c r="T52" s="229">
        <f t="shared" si="1"/>
        <v>6313100</v>
      </c>
      <c r="U52" s="229"/>
      <c r="V52" s="32">
        <f t="shared" si="2"/>
        <v>0</v>
      </c>
      <c r="W52" s="32">
        <f t="shared" si="3"/>
        <v>0</v>
      </c>
      <c r="X52" s="32">
        <f t="shared" ref="X52:X71" si="5">V52+W52</f>
        <v>0</v>
      </c>
      <c r="Y52" s="36"/>
    </row>
    <row r="53" spans="1:25" ht="34.5" customHeight="1" x14ac:dyDescent="0.25">
      <c r="A53" s="49">
        <v>3</v>
      </c>
      <c r="B53" s="230" t="s">
        <v>219</v>
      </c>
      <c r="C53" s="231"/>
      <c r="D53" s="231"/>
      <c r="E53" s="208"/>
      <c r="F53" s="20"/>
      <c r="G53" s="20"/>
      <c r="H53" s="20"/>
      <c r="I53" s="20"/>
      <c r="J53" s="20"/>
      <c r="K53" s="32">
        <f>P164</f>
        <v>20609200</v>
      </c>
      <c r="L53" s="32">
        <f>R164</f>
        <v>3500000</v>
      </c>
      <c r="M53" s="32">
        <f t="shared" si="4"/>
        <v>24109200</v>
      </c>
      <c r="N53" s="32"/>
      <c r="O53" s="32"/>
      <c r="P53" s="229">
        <f>V164</f>
        <v>20558763.59</v>
      </c>
      <c r="Q53" s="229"/>
      <c r="R53" s="229">
        <f>W164</f>
        <v>3494196.07</v>
      </c>
      <c r="S53" s="229"/>
      <c r="T53" s="229">
        <f t="shared" si="1"/>
        <v>24052959.66</v>
      </c>
      <c r="U53" s="229"/>
      <c r="V53" s="32">
        <f t="shared" si="2"/>
        <v>-50436.410000000149</v>
      </c>
      <c r="W53" s="32">
        <f t="shared" si="3"/>
        <v>-5803.9300000001676</v>
      </c>
      <c r="X53" s="32">
        <f t="shared" si="5"/>
        <v>-56240.340000000317</v>
      </c>
      <c r="Y53" s="36"/>
    </row>
    <row r="54" spans="1:25" ht="33" customHeight="1" x14ac:dyDescent="0.25">
      <c r="A54" s="49"/>
      <c r="B54" s="230" t="s">
        <v>356</v>
      </c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08"/>
      <c r="Y54" s="36"/>
    </row>
    <row r="55" spans="1:25" ht="36" customHeight="1" x14ac:dyDescent="0.25">
      <c r="A55" s="49">
        <v>4</v>
      </c>
      <c r="B55" s="230" t="s">
        <v>218</v>
      </c>
      <c r="C55" s="231"/>
      <c r="D55" s="231"/>
      <c r="E55" s="208"/>
      <c r="F55" s="20"/>
      <c r="G55" s="20"/>
      <c r="H55" s="20"/>
      <c r="I55" s="20"/>
      <c r="J55" s="20"/>
      <c r="K55" s="32">
        <f>P187</f>
        <v>3565300</v>
      </c>
      <c r="L55" s="32"/>
      <c r="M55" s="32">
        <f t="shared" si="4"/>
        <v>3565300</v>
      </c>
      <c r="N55" s="32"/>
      <c r="O55" s="32"/>
      <c r="P55" s="229">
        <f>V187</f>
        <v>3519751.92</v>
      </c>
      <c r="Q55" s="229"/>
      <c r="R55" s="229"/>
      <c r="S55" s="229"/>
      <c r="T55" s="229">
        <f t="shared" si="1"/>
        <v>3519751.92</v>
      </c>
      <c r="U55" s="229"/>
      <c r="V55" s="32">
        <f t="shared" si="2"/>
        <v>-45548.080000000075</v>
      </c>
      <c r="W55" s="32">
        <f t="shared" si="3"/>
        <v>0</v>
      </c>
      <c r="X55" s="32">
        <f t="shared" si="5"/>
        <v>-45548.080000000075</v>
      </c>
      <c r="Y55" s="36"/>
    </row>
    <row r="56" spans="1:25" ht="20.25" customHeight="1" x14ac:dyDescent="0.25">
      <c r="A56" s="49"/>
      <c r="B56" s="230" t="s">
        <v>335</v>
      </c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08"/>
      <c r="Y56" s="36"/>
    </row>
    <row r="57" spans="1:25" ht="48.75" customHeight="1" x14ac:dyDescent="0.25">
      <c r="A57" s="49">
        <v>5</v>
      </c>
      <c r="B57" s="302" t="s">
        <v>220</v>
      </c>
      <c r="C57" s="180"/>
      <c r="D57" s="180"/>
      <c r="E57" s="181"/>
      <c r="F57" s="14"/>
      <c r="G57" s="14"/>
      <c r="H57" s="14"/>
      <c r="I57" s="14"/>
      <c r="J57" s="14"/>
      <c r="K57" s="32">
        <f>P230</f>
        <v>64854578</v>
      </c>
      <c r="L57" s="32"/>
      <c r="M57" s="32">
        <f t="shared" si="4"/>
        <v>64854578</v>
      </c>
      <c r="N57" s="32"/>
      <c r="O57" s="32"/>
      <c r="P57" s="229">
        <f>V230</f>
        <v>64677577.799999997</v>
      </c>
      <c r="Q57" s="229"/>
      <c r="R57" s="229"/>
      <c r="S57" s="229"/>
      <c r="T57" s="229">
        <f t="shared" si="1"/>
        <v>64677577.799999997</v>
      </c>
      <c r="U57" s="229"/>
      <c r="V57" s="32">
        <f t="shared" si="2"/>
        <v>-177000.20000000298</v>
      </c>
      <c r="W57" s="32">
        <f t="shared" si="3"/>
        <v>0</v>
      </c>
      <c r="X57" s="32">
        <f t="shared" si="5"/>
        <v>-177000.20000000298</v>
      </c>
      <c r="Y57" s="36"/>
    </row>
    <row r="58" spans="1:25" ht="24.75" customHeight="1" x14ac:dyDescent="0.25">
      <c r="A58" s="49"/>
      <c r="B58" s="242" t="s">
        <v>335</v>
      </c>
      <c r="C58" s="243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4"/>
      <c r="Y58" s="36"/>
    </row>
    <row r="59" spans="1:25" ht="50.25" customHeight="1" x14ac:dyDescent="0.25">
      <c r="A59" s="49">
        <v>6</v>
      </c>
      <c r="B59" s="302" t="s">
        <v>221</v>
      </c>
      <c r="C59" s="180"/>
      <c r="D59" s="180"/>
      <c r="E59" s="181"/>
      <c r="F59" s="14"/>
      <c r="G59" s="14"/>
      <c r="H59" s="14"/>
      <c r="I59" s="14"/>
      <c r="J59" s="14"/>
      <c r="K59" s="32">
        <f>P265</f>
        <v>55000</v>
      </c>
      <c r="L59" s="32"/>
      <c r="M59" s="32">
        <f t="shared" si="4"/>
        <v>55000</v>
      </c>
      <c r="N59" s="32"/>
      <c r="O59" s="32"/>
      <c r="P59" s="229">
        <f>V265</f>
        <v>40108.699999999997</v>
      </c>
      <c r="Q59" s="229"/>
      <c r="R59" s="229"/>
      <c r="S59" s="229"/>
      <c r="T59" s="229">
        <f t="shared" si="1"/>
        <v>40108.699999999997</v>
      </c>
      <c r="U59" s="229"/>
      <c r="V59" s="32">
        <f t="shared" si="2"/>
        <v>-14891.300000000003</v>
      </c>
      <c r="W59" s="32">
        <f t="shared" si="3"/>
        <v>0</v>
      </c>
      <c r="X59" s="32">
        <f t="shared" si="5"/>
        <v>-14891.300000000003</v>
      </c>
      <c r="Y59" s="36"/>
    </row>
    <row r="60" spans="1:25" ht="20.25" customHeight="1" x14ac:dyDescent="0.25">
      <c r="A60" s="49"/>
      <c r="B60" s="242" t="s">
        <v>323</v>
      </c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4"/>
      <c r="Y60" s="36"/>
    </row>
    <row r="61" spans="1:25" ht="34.5" customHeight="1" x14ac:dyDescent="0.25">
      <c r="A61" s="49">
        <v>7</v>
      </c>
      <c r="B61" s="302" t="s">
        <v>222</v>
      </c>
      <c r="C61" s="180"/>
      <c r="D61" s="180"/>
      <c r="E61" s="181"/>
      <c r="F61" s="14"/>
      <c r="G61" s="14"/>
      <c r="H61" s="14"/>
      <c r="I61" s="14"/>
      <c r="J61" s="14"/>
      <c r="K61" s="32">
        <f>P278</f>
        <v>3709559</v>
      </c>
      <c r="L61" s="32"/>
      <c r="M61" s="32">
        <f t="shared" si="4"/>
        <v>3709559</v>
      </c>
      <c r="N61" s="32"/>
      <c r="O61" s="32"/>
      <c r="P61" s="229">
        <f>V278</f>
        <v>3622702.28</v>
      </c>
      <c r="Q61" s="229"/>
      <c r="R61" s="229"/>
      <c r="S61" s="229"/>
      <c r="T61" s="229">
        <f t="shared" si="1"/>
        <v>3622702.28</v>
      </c>
      <c r="U61" s="229"/>
      <c r="V61" s="32">
        <f t="shared" si="2"/>
        <v>-86856.720000000205</v>
      </c>
      <c r="W61" s="32">
        <f t="shared" si="3"/>
        <v>0</v>
      </c>
      <c r="X61" s="32">
        <f t="shared" si="5"/>
        <v>-86856.720000000205</v>
      </c>
      <c r="Y61" s="36"/>
    </row>
    <row r="62" spans="1:25" ht="17.25" customHeight="1" x14ac:dyDescent="0.25">
      <c r="A62" s="49"/>
      <c r="B62" s="242" t="s">
        <v>357</v>
      </c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43"/>
      <c r="S62" s="243"/>
      <c r="T62" s="243"/>
      <c r="U62" s="243"/>
      <c r="V62" s="243"/>
      <c r="W62" s="243"/>
      <c r="X62" s="244"/>
      <c r="Y62" s="36"/>
    </row>
    <row r="63" spans="1:25" ht="82.5" customHeight="1" x14ac:dyDescent="0.25">
      <c r="A63" s="49">
        <v>8</v>
      </c>
      <c r="B63" s="302" t="s">
        <v>223</v>
      </c>
      <c r="C63" s="180"/>
      <c r="D63" s="180"/>
      <c r="E63" s="181"/>
      <c r="F63" s="14"/>
      <c r="G63" s="14"/>
      <c r="H63" s="14"/>
      <c r="I63" s="14"/>
      <c r="J63" s="14"/>
      <c r="K63" s="32">
        <f>P332</f>
        <v>149028</v>
      </c>
      <c r="L63" s="32">
        <f>R332</f>
        <v>0</v>
      </c>
      <c r="M63" s="32">
        <f t="shared" si="4"/>
        <v>149028</v>
      </c>
      <c r="N63" s="32"/>
      <c r="O63" s="32"/>
      <c r="P63" s="229">
        <f>V332</f>
        <v>127893.31</v>
      </c>
      <c r="Q63" s="229"/>
      <c r="R63" s="229">
        <f>W332</f>
        <v>0</v>
      </c>
      <c r="S63" s="229"/>
      <c r="T63" s="229">
        <f t="shared" si="1"/>
        <v>127893.31</v>
      </c>
      <c r="U63" s="229"/>
      <c r="V63" s="32">
        <f t="shared" si="2"/>
        <v>-21134.690000000002</v>
      </c>
      <c r="W63" s="32">
        <f t="shared" si="3"/>
        <v>0</v>
      </c>
      <c r="X63" s="32">
        <f t="shared" si="5"/>
        <v>-21134.690000000002</v>
      </c>
      <c r="Y63" s="36"/>
    </row>
    <row r="64" spans="1:25" ht="33" customHeight="1" x14ac:dyDescent="0.25">
      <c r="A64" s="49"/>
      <c r="B64" s="242" t="s">
        <v>358</v>
      </c>
      <c r="C64" s="243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4"/>
      <c r="Y64" s="36"/>
    </row>
    <row r="65" spans="1:25" ht="34.5" customHeight="1" x14ac:dyDescent="0.25">
      <c r="A65" s="49">
        <v>9</v>
      </c>
      <c r="B65" s="302" t="s">
        <v>224</v>
      </c>
      <c r="C65" s="180"/>
      <c r="D65" s="180"/>
      <c r="E65" s="181"/>
      <c r="F65" s="14"/>
      <c r="G65" s="14"/>
      <c r="H65" s="14"/>
      <c r="I65" s="14"/>
      <c r="J65" s="14"/>
      <c r="K65" s="32">
        <f>P349</f>
        <v>6285546</v>
      </c>
      <c r="L65" s="32"/>
      <c r="M65" s="32">
        <f t="shared" si="4"/>
        <v>6285546</v>
      </c>
      <c r="N65" s="32"/>
      <c r="O65" s="32"/>
      <c r="P65" s="229">
        <f>V349</f>
        <v>6284567.3300000001</v>
      </c>
      <c r="Q65" s="229"/>
      <c r="R65" s="229"/>
      <c r="S65" s="229"/>
      <c r="T65" s="229">
        <f>P65+R65</f>
        <v>6284567.3300000001</v>
      </c>
      <c r="U65" s="229"/>
      <c r="V65" s="32">
        <f t="shared" si="2"/>
        <v>-978.66999999992549</v>
      </c>
      <c r="W65" s="32">
        <f t="shared" si="3"/>
        <v>0</v>
      </c>
      <c r="X65" s="32">
        <f t="shared" si="5"/>
        <v>-978.66999999992549</v>
      </c>
      <c r="Y65" s="36"/>
    </row>
    <row r="66" spans="1:25" ht="18.75" customHeight="1" x14ac:dyDescent="0.25">
      <c r="A66" s="49"/>
      <c r="B66" s="242" t="s">
        <v>357</v>
      </c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  <c r="W66" s="243"/>
      <c r="X66" s="244"/>
      <c r="Y66" s="36"/>
    </row>
    <row r="67" spans="1:25" ht="34.5" customHeight="1" x14ac:dyDescent="0.25">
      <c r="A67" s="49">
        <v>10</v>
      </c>
      <c r="B67" s="302" t="s">
        <v>225</v>
      </c>
      <c r="C67" s="180"/>
      <c r="D67" s="180"/>
      <c r="E67" s="181"/>
      <c r="F67" s="14"/>
      <c r="G67" s="14"/>
      <c r="H67" s="14"/>
      <c r="I67" s="14"/>
      <c r="J67" s="14"/>
      <c r="K67" s="32">
        <f>P360</f>
        <v>800000</v>
      </c>
      <c r="L67" s="32"/>
      <c r="M67" s="32">
        <f t="shared" si="4"/>
        <v>800000</v>
      </c>
      <c r="N67" s="32"/>
      <c r="O67" s="32"/>
      <c r="P67" s="229">
        <f>V360</f>
        <v>799721.28</v>
      </c>
      <c r="Q67" s="229"/>
      <c r="R67" s="229"/>
      <c r="S67" s="229"/>
      <c r="T67" s="229">
        <f>P67+R67</f>
        <v>799721.28</v>
      </c>
      <c r="U67" s="229"/>
      <c r="V67" s="32">
        <f t="shared" si="2"/>
        <v>-278.71999999997206</v>
      </c>
      <c r="W67" s="32">
        <f t="shared" si="3"/>
        <v>0</v>
      </c>
      <c r="X67" s="32">
        <f t="shared" si="5"/>
        <v>-278.71999999997206</v>
      </c>
      <c r="Y67" s="36"/>
    </row>
    <row r="68" spans="1:25" ht="19.5" customHeight="1" x14ac:dyDescent="0.25">
      <c r="A68" s="49"/>
      <c r="B68" s="242" t="s">
        <v>357</v>
      </c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4"/>
      <c r="Y68" s="36"/>
    </row>
    <row r="69" spans="1:25" ht="36.75" customHeight="1" x14ac:dyDescent="0.25">
      <c r="A69" s="49">
        <v>11</v>
      </c>
      <c r="B69" s="230" t="s">
        <v>226</v>
      </c>
      <c r="C69" s="231"/>
      <c r="D69" s="231"/>
      <c r="E69" s="208"/>
      <c r="F69" s="20"/>
      <c r="G69" s="20"/>
      <c r="H69" s="20"/>
      <c r="I69" s="20"/>
      <c r="J69" s="20"/>
      <c r="K69" s="32"/>
      <c r="L69" s="32">
        <f>R369</f>
        <v>13765692</v>
      </c>
      <c r="M69" s="32">
        <f t="shared" si="4"/>
        <v>13765692</v>
      </c>
      <c r="N69" s="32"/>
      <c r="O69" s="32"/>
      <c r="P69" s="229"/>
      <c r="Q69" s="229"/>
      <c r="R69" s="248">
        <f>W369</f>
        <v>13203966.869999999</v>
      </c>
      <c r="S69" s="249"/>
      <c r="T69" s="229">
        <f>P69+R69</f>
        <v>13203966.869999999</v>
      </c>
      <c r="U69" s="229"/>
      <c r="V69" s="32">
        <f t="shared" si="2"/>
        <v>0</v>
      </c>
      <c r="W69" s="32">
        <f t="shared" si="3"/>
        <v>-561725.13000000082</v>
      </c>
      <c r="X69" s="32">
        <f t="shared" si="5"/>
        <v>-561725.13000000082</v>
      </c>
      <c r="Y69" s="36"/>
    </row>
    <row r="70" spans="1:25" ht="19.5" customHeight="1" x14ac:dyDescent="0.25">
      <c r="A70" s="49"/>
      <c r="B70" s="360" t="s">
        <v>359</v>
      </c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4"/>
      <c r="Y70" s="36"/>
    </row>
    <row r="71" spans="1:25" ht="51.75" customHeight="1" x14ac:dyDescent="0.25">
      <c r="A71" s="49">
        <v>12</v>
      </c>
      <c r="B71" s="230" t="s">
        <v>227</v>
      </c>
      <c r="C71" s="231"/>
      <c r="D71" s="231"/>
      <c r="E71" s="208"/>
      <c r="F71" s="20"/>
      <c r="G71" s="20"/>
      <c r="H71" s="20"/>
      <c r="I71" s="20"/>
      <c r="J71" s="20"/>
      <c r="K71" s="32">
        <f>P405</f>
        <v>3405512</v>
      </c>
      <c r="L71" s="32"/>
      <c r="M71" s="32">
        <f t="shared" si="4"/>
        <v>3405512</v>
      </c>
      <c r="N71" s="32"/>
      <c r="O71" s="32"/>
      <c r="P71" s="229">
        <f>V405</f>
        <v>3394609.72</v>
      </c>
      <c r="Q71" s="229"/>
      <c r="R71" s="229"/>
      <c r="S71" s="229"/>
      <c r="T71" s="229">
        <f>P71+R71</f>
        <v>3394609.72</v>
      </c>
      <c r="U71" s="229"/>
      <c r="V71" s="32">
        <f t="shared" si="2"/>
        <v>-10902.279999999795</v>
      </c>
      <c r="W71" s="32">
        <f t="shared" si="3"/>
        <v>0</v>
      </c>
      <c r="X71" s="32">
        <f t="shared" si="5"/>
        <v>-10902.279999999795</v>
      </c>
      <c r="Y71" s="36"/>
    </row>
    <row r="72" spans="1:25" ht="35.25" customHeight="1" x14ac:dyDescent="0.25">
      <c r="A72" s="49"/>
      <c r="B72" s="360" t="s">
        <v>360</v>
      </c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4"/>
      <c r="Y72" s="36"/>
    </row>
    <row r="73" spans="1:25" ht="19.5" customHeight="1" x14ac:dyDescent="0.25">
      <c r="A73" s="46"/>
      <c r="B73" s="366" t="s">
        <v>16</v>
      </c>
      <c r="C73" s="367"/>
      <c r="D73" s="367"/>
      <c r="E73" s="368"/>
      <c r="F73" s="41"/>
      <c r="G73" s="41"/>
      <c r="H73" s="41"/>
      <c r="I73" s="41"/>
      <c r="J73" s="41"/>
      <c r="K73" s="32">
        <f>SUM(K50:K71)</f>
        <v>129585988</v>
      </c>
      <c r="L73" s="32">
        <f>SUM(L50:L71)</f>
        <v>20419692</v>
      </c>
      <c r="M73" s="32">
        <f>K73+L73</f>
        <v>150005680</v>
      </c>
      <c r="N73" s="32"/>
      <c r="O73" s="32"/>
      <c r="P73" s="229">
        <f>SUM(P50:Q71)</f>
        <v>129173895.25</v>
      </c>
      <c r="Q73" s="229"/>
      <c r="R73" s="229">
        <f>SUM(R50:S71)</f>
        <v>19850842.879999999</v>
      </c>
      <c r="S73" s="229"/>
      <c r="T73" s="229">
        <f>P73+R73</f>
        <v>149024738.13</v>
      </c>
      <c r="U73" s="229"/>
      <c r="V73" s="32">
        <f>SUM(V50:V71)</f>
        <v>-412092.75000000652</v>
      </c>
      <c r="W73" s="32">
        <f>SUM(W50:W71)</f>
        <v>-568849.12000000104</v>
      </c>
      <c r="X73" s="32">
        <f>V73+W73</f>
        <v>-980941.87000000756</v>
      </c>
    </row>
    <row r="74" spans="1:25" x14ac:dyDescent="0.25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</row>
    <row r="75" spans="1:25" x14ac:dyDescent="0.25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</row>
    <row r="76" spans="1:25" ht="15.75" x14ac:dyDescent="0.25">
      <c r="A76" s="87" t="s">
        <v>361</v>
      </c>
      <c r="B76" s="96" t="s">
        <v>362</v>
      </c>
    </row>
    <row r="77" spans="1:25" ht="15.75" x14ac:dyDescent="0.25">
      <c r="B77" s="34"/>
      <c r="X77" s="61" t="s">
        <v>216</v>
      </c>
    </row>
    <row r="78" spans="1:25" ht="30.75" customHeight="1" x14ac:dyDescent="0.25">
      <c r="A78" s="233" t="s">
        <v>17</v>
      </c>
      <c r="B78" s="365" t="s">
        <v>19</v>
      </c>
      <c r="C78" s="233"/>
      <c r="D78" s="233"/>
      <c r="E78" s="233"/>
      <c r="F78" s="27"/>
      <c r="G78" s="27"/>
      <c r="H78" s="27"/>
      <c r="I78" s="27"/>
      <c r="J78" s="27"/>
      <c r="K78" s="233" t="s">
        <v>12</v>
      </c>
      <c r="L78" s="233"/>
      <c r="M78" s="233"/>
      <c r="N78" s="27"/>
      <c r="O78" s="27"/>
      <c r="P78" s="365" t="s">
        <v>317</v>
      </c>
      <c r="Q78" s="233"/>
      <c r="R78" s="233"/>
      <c r="S78" s="233"/>
      <c r="T78" s="233"/>
      <c r="U78" s="233"/>
      <c r="V78" s="233" t="s">
        <v>13</v>
      </c>
      <c r="W78" s="233"/>
      <c r="X78" s="233"/>
    </row>
    <row r="79" spans="1:25" ht="33" customHeight="1" x14ac:dyDescent="0.25">
      <c r="A79" s="233"/>
      <c r="B79" s="233"/>
      <c r="C79" s="233"/>
      <c r="D79" s="233"/>
      <c r="E79" s="233"/>
      <c r="F79" s="27"/>
      <c r="G79" s="27"/>
      <c r="H79" s="27"/>
      <c r="I79" s="27"/>
      <c r="J79" s="27"/>
      <c r="K79" s="27" t="s">
        <v>9</v>
      </c>
      <c r="L79" s="27" t="s">
        <v>10</v>
      </c>
      <c r="M79" s="27" t="s">
        <v>11</v>
      </c>
      <c r="N79" s="27"/>
      <c r="O79" s="27"/>
      <c r="P79" s="233" t="s">
        <v>9</v>
      </c>
      <c r="Q79" s="233"/>
      <c r="R79" s="233" t="s">
        <v>10</v>
      </c>
      <c r="S79" s="233"/>
      <c r="T79" s="233" t="s">
        <v>11</v>
      </c>
      <c r="U79" s="233"/>
      <c r="V79" s="27" t="s">
        <v>9</v>
      </c>
      <c r="W79" s="27" t="s">
        <v>10</v>
      </c>
      <c r="X79" s="27" t="s">
        <v>11</v>
      </c>
    </row>
    <row r="80" spans="1:25" ht="18" customHeight="1" x14ac:dyDescent="0.25">
      <c r="A80" s="39">
        <v>1</v>
      </c>
      <c r="B80" s="233">
        <v>2</v>
      </c>
      <c r="C80" s="233"/>
      <c r="D80" s="233"/>
      <c r="E80" s="233"/>
      <c r="F80" s="27"/>
      <c r="G80" s="27"/>
      <c r="H80" s="27"/>
      <c r="I80" s="27"/>
      <c r="J80" s="27"/>
      <c r="K80" s="27">
        <v>3</v>
      </c>
      <c r="L80" s="27">
        <v>4</v>
      </c>
      <c r="M80" s="27">
        <v>5</v>
      </c>
      <c r="N80" s="27"/>
      <c r="O80" s="27"/>
      <c r="P80" s="233">
        <v>6</v>
      </c>
      <c r="Q80" s="233"/>
      <c r="R80" s="233">
        <v>7</v>
      </c>
      <c r="S80" s="233"/>
      <c r="T80" s="233">
        <v>8</v>
      </c>
      <c r="U80" s="233"/>
      <c r="V80" s="27">
        <v>9</v>
      </c>
      <c r="W80" s="27">
        <v>10</v>
      </c>
      <c r="X80" s="27">
        <v>11</v>
      </c>
    </row>
    <row r="81" spans="1:36" ht="64.5" customHeight="1" x14ac:dyDescent="0.25">
      <c r="A81" s="4">
        <v>1</v>
      </c>
      <c r="B81" s="369" t="s">
        <v>193</v>
      </c>
      <c r="C81" s="369"/>
      <c r="D81" s="369"/>
      <c r="E81" s="369"/>
      <c r="F81" s="44"/>
      <c r="G81" s="44"/>
      <c r="H81" s="44"/>
      <c r="I81" s="44"/>
      <c r="J81" s="44"/>
      <c r="K81" s="45">
        <f>K73-K82-K83</f>
        <v>129370988</v>
      </c>
      <c r="L81" s="45">
        <f>L73</f>
        <v>20419692</v>
      </c>
      <c r="M81" s="45">
        <f>K81+L81</f>
        <v>149790680</v>
      </c>
      <c r="N81" s="45"/>
      <c r="O81" s="45"/>
      <c r="P81" s="196">
        <f>P73-P82-P83</f>
        <v>129009973.5</v>
      </c>
      <c r="Q81" s="221"/>
      <c r="R81" s="196">
        <f>R73</f>
        <v>19850842.879999999</v>
      </c>
      <c r="S81" s="221"/>
      <c r="T81" s="196">
        <f>P81+R81</f>
        <v>148860816.38</v>
      </c>
      <c r="U81" s="221"/>
      <c r="V81" s="45">
        <f>P81-K81</f>
        <v>-361014.5</v>
      </c>
      <c r="W81" s="45">
        <f>R81-L81</f>
        <v>-568849.12000000104</v>
      </c>
      <c r="X81" s="45">
        <f>V81+W81</f>
        <v>-929863.62000000104</v>
      </c>
      <c r="AE81" s="36"/>
      <c r="AF81" s="36"/>
      <c r="AG81" s="36"/>
      <c r="AH81" s="36"/>
      <c r="AI81" s="36"/>
      <c r="AJ81" s="36"/>
    </row>
    <row r="82" spans="1:36" ht="37.5" customHeight="1" x14ac:dyDescent="0.25">
      <c r="A82" s="130">
        <v>2</v>
      </c>
      <c r="B82" s="234" t="s">
        <v>318</v>
      </c>
      <c r="C82" s="234"/>
      <c r="D82" s="234"/>
      <c r="E82" s="234"/>
      <c r="F82" s="44"/>
      <c r="G82" s="44"/>
      <c r="H82" s="44"/>
      <c r="I82" s="44"/>
      <c r="J82" s="44"/>
      <c r="K82" s="45">
        <v>200000</v>
      </c>
      <c r="L82" s="45"/>
      <c r="M82" s="45">
        <f>K82</f>
        <v>200000</v>
      </c>
      <c r="N82" s="45"/>
      <c r="O82" s="45"/>
      <c r="P82" s="196">
        <f>V293</f>
        <v>149961.75</v>
      </c>
      <c r="Q82" s="196"/>
      <c r="R82" s="196"/>
      <c r="S82" s="196"/>
      <c r="T82" s="196">
        <f>P82</f>
        <v>149961.75</v>
      </c>
      <c r="U82" s="196"/>
      <c r="V82" s="45">
        <f>P82-K82</f>
        <v>-50038.25</v>
      </c>
      <c r="W82" s="45"/>
      <c r="X82" s="45">
        <f>V82+W82</f>
        <v>-50038.25</v>
      </c>
      <c r="AE82" s="131"/>
      <c r="AF82" s="131"/>
      <c r="AG82" s="131"/>
      <c r="AH82" s="131"/>
      <c r="AI82" s="131"/>
      <c r="AJ82" s="131"/>
    </row>
    <row r="83" spans="1:36" ht="67.5" customHeight="1" x14ac:dyDescent="0.25">
      <c r="A83" s="130">
        <v>3</v>
      </c>
      <c r="B83" s="234" t="s">
        <v>319</v>
      </c>
      <c r="C83" s="234"/>
      <c r="D83" s="234"/>
      <c r="E83" s="234"/>
      <c r="F83" s="44"/>
      <c r="G83" s="44"/>
      <c r="H83" s="44"/>
      <c r="I83" s="44"/>
      <c r="J83" s="44"/>
      <c r="K83" s="45">
        <f>P292</f>
        <v>15000</v>
      </c>
      <c r="L83" s="45"/>
      <c r="M83" s="45">
        <f>K83</f>
        <v>15000</v>
      </c>
      <c r="N83" s="45"/>
      <c r="O83" s="45"/>
      <c r="P83" s="196">
        <f>V292</f>
        <v>13960</v>
      </c>
      <c r="Q83" s="196"/>
      <c r="R83" s="196"/>
      <c r="S83" s="196"/>
      <c r="T83" s="196">
        <f>P83</f>
        <v>13960</v>
      </c>
      <c r="U83" s="196"/>
      <c r="V83" s="45">
        <f>P83-K83</f>
        <v>-1040</v>
      </c>
      <c r="W83" s="45"/>
      <c r="X83" s="45">
        <f>V83</f>
        <v>-1040</v>
      </c>
      <c r="AE83" s="131"/>
      <c r="AF83" s="131"/>
      <c r="AG83" s="131"/>
      <c r="AH83" s="131"/>
      <c r="AI83" s="131"/>
      <c r="AJ83" s="131"/>
    </row>
    <row r="84" spans="1:36" ht="21" customHeight="1" x14ac:dyDescent="0.25">
      <c r="A84" s="46"/>
      <c r="B84" s="250" t="s">
        <v>16</v>
      </c>
      <c r="C84" s="250"/>
      <c r="D84" s="250"/>
      <c r="E84" s="250"/>
      <c r="F84" s="47"/>
      <c r="G84" s="47"/>
      <c r="H84" s="47"/>
      <c r="I84" s="47"/>
      <c r="J84" s="47"/>
      <c r="K84" s="45">
        <f>K81+K82+K83</f>
        <v>129585988</v>
      </c>
      <c r="L84" s="45">
        <f>L81</f>
        <v>20419692</v>
      </c>
      <c r="M84" s="45">
        <f>M81</f>
        <v>149790680</v>
      </c>
      <c r="N84" s="45"/>
      <c r="O84" s="45"/>
      <c r="P84" s="343">
        <f>P81+P82+P83</f>
        <v>129173895.25</v>
      </c>
      <c r="Q84" s="344"/>
      <c r="R84" s="196">
        <f>R81</f>
        <v>19850842.879999999</v>
      </c>
      <c r="S84" s="221"/>
      <c r="T84" s="196">
        <f>T81+T82+T83</f>
        <v>149024738.13</v>
      </c>
      <c r="U84" s="221"/>
      <c r="V84" s="45">
        <f>V81+V82+V83</f>
        <v>-412092.75</v>
      </c>
      <c r="W84" s="45">
        <f>W81</f>
        <v>-568849.12000000104</v>
      </c>
      <c r="X84" s="45">
        <f>V84+W84</f>
        <v>-980941.87000000104</v>
      </c>
      <c r="AE84" s="36"/>
      <c r="AF84" s="36"/>
      <c r="AG84" s="36"/>
      <c r="AH84" s="36"/>
      <c r="AI84" s="36"/>
      <c r="AJ84" s="36"/>
    </row>
    <row r="85" spans="1:36" x14ac:dyDescent="0.25">
      <c r="AE85" s="36"/>
      <c r="AF85" s="36"/>
      <c r="AG85" s="36"/>
      <c r="AH85" s="36"/>
      <c r="AI85" s="36"/>
      <c r="AJ85" s="36"/>
    </row>
    <row r="86" spans="1:36" ht="15.75" x14ac:dyDescent="0.25">
      <c r="A86" s="87" t="s">
        <v>363</v>
      </c>
      <c r="B86" s="96" t="s">
        <v>236</v>
      </c>
      <c r="AE86" s="36"/>
      <c r="AF86" s="36"/>
      <c r="AG86" s="36"/>
      <c r="AH86" s="36"/>
      <c r="AI86" s="36"/>
      <c r="AJ86" s="36"/>
    </row>
    <row r="87" spans="1:36" ht="15.75" x14ac:dyDescent="0.25">
      <c r="B87" s="34"/>
    </row>
    <row r="88" spans="1:36" ht="46.5" customHeight="1" x14ac:dyDescent="0.25">
      <c r="A88" s="233" t="s">
        <v>17</v>
      </c>
      <c r="B88" s="233" t="s">
        <v>22</v>
      </c>
      <c r="C88" s="233"/>
      <c r="D88" s="233"/>
      <c r="E88" s="233"/>
      <c r="F88" s="27"/>
      <c r="G88" s="27"/>
      <c r="H88" s="27"/>
      <c r="I88" s="27"/>
      <c r="J88" s="27"/>
      <c r="K88" s="233" t="s">
        <v>20</v>
      </c>
      <c r="L88" s="233" t="s">
        <v>21</v>
      </c>
      <c r="M88" s="233"/>
      <c r="N88" s="27"/>
      <c r="O88" s="27"/>
      <c r="P88" s="233" t="s">
        <v>12</v>
      </c>
      <c r="Q88" s="233"/>
      <c r="R88" s="233"/>
      <c r="S88" s="233"/>
      <c r="T88" s="233"/>
      <c r="U88" s="233"/>
      <c r="V88" s="365" t="s">
        <v>355</v>
      </c>
      <c r="W88" s="233"/>
      <c r="X88" s="233"/>
      <c r="Y88" s="233" t="s">
        <v>13</v>
      </c>
      <c r="Z88" s="233"/>
      <c r="AA88" s="233"/>
    </row>
    <row r="89" spans="1:36" ht="36" customHeight="1" x14ac:dyDescent="0.25">
      <c r="A89" s="233"/>
      <c r="B89" s="233"/>
      <c r="C89" s="233"/>
      <c r="D89" s="233"/>
      <c r="E89" s="233"/>
      <c r="F89" s="27"/>
      <c r="G89" s="27"/>
      <c r="H89" s="27"/>
      <c r="I89" s="27"/>
      <c r="J89" s="27"/>
      <c r="K89" s="233"/>
      <c r="L89" s="233"/>
      <c r="M89" s="233"/>
      <c r="N89" s="27"/>
      <c r="O89" s="27"/>
      <c r="P89" s="233" t="s">
        <v>9</v>
      </c>
      <c r="Q89" s="233"/>
      <c r="R89" s="233" t="s">
        <v>10</v>
      </c>
      <c r="S89" s="233"/>
      <c r="T89" s="233" t="s">
        <v>11</v>
      </c>
      <c r="U89" s="233"/>
      <c r="V89" s="27" t="s">
        <v>9</v>
      </c>
      <c r="W89" s="27" t="s">
        <v>10</v>
      </c>
      <c r="X89" s="27" t="s">
        <v>11</v>
      </c>
      <c r="Y89" s="27" t="s">
        <v>9</v>
      </c>
      <c r="Z89" s="27" t="s">
        <v>10</v>
      </c>
      <c r="AA89" s="27" t="s">
        <v>11</v>
      </c>
    </row>
    <row r="90" spans="1:36" ht="18.75" customHeight="1" x14ac:dyDescent="0.25">
      <c r="A90" s="27">
        <v>1</v>
      </c>
      <c r="B90" s="233">
        <v>2</v>
      </c>
      <c r="C90" s="233"/>
      <c r="D90" s="233"/>
      <c r="E90" s="233"/>
      <c r="F90" s="27"/>
      <c r="G90" s="27"/>
      <c r="H90" s="27"/>
      <c r="I90" s="27"/>
      <c r="J90" s="27"/>
      <c r="K90" s="27">
        <v>3</v>
      </c>
      <c r="L90" s="233">
        <v>4</v>
      </c>
      <c r="M90" s="233"/>
      <c r="N90" s="27"/>
      <c r="O90" s="27"/>
      <c r="P90" s="233">
        <v>5</v>
      </c>
      <c r="Q90" s="233"/>
      <c r="R90" s="233">
        <v>6</v>
      </c>
      <c r="S90" s="233"/>
      <c r="T90" s="233">
        <v>7</v>
      </c>
      <c r="U90" s="233"/>
      <c r="V90" s="27">
        <v>8</v>
      </c>
      <c r="W90" s="27">
        <v>9</v>
      </c>
      <c r="X90" s="27">
        <v>10</v>
      </c>
      <c r="Y90" s="27">
        <v>11</v>
      </c>
      <c r="Z90" s="27">
        <v>12</v>
      </c>
      <c r="AA90" s="27">
        <v>13</v>
      </c>
    </row>
    <row r="91" spans="1:36" ht="21.75" customHeight="1" x14ac:dyDescent="0.25">
      <c r="A91" s="46"/>
      <c r="B91" s="284" t="s">
        <v>29</v>
      </c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</row>
    <row r="92" spans="1:36" ht="20.25" customHeight="1" x14ac:dyDescent="0.25">
      <c r="A92" s="46"/>
      <c r="B92" s="298" t="s">
        <v>188</v>
      </c>
      <c r="C92" s="298"/>
      <c r="D92" s="298"/>
      <c r="E92" s="298"/>
      <c r="F92" s="48"/>
      <c r="G92" s="48"/>
      <c r="H92" s="48"/>
      <c r="I92" s="48"/>
      <c r="J92" s="48"/>
      <c r="K92" s="46"/>
      <c r="L92" s="221"/>
      <c r="M92" s="221"/>
      <c r="N92" s="39"/>
      <c r="O92" s="39"/>
      <c r="P92" s="221"/>
      <c r="Q92" s="221"/>
      <c r="R92" s="221"/>
      <c r="S92" s="221"/>
      <c r="T92" s="221"/>
      <c r="U92" s="221"/>
      <c r="V92" s="46"/>
      <c r="W92" s="46"/>
      <c r="X92" s="46"/>
      <c r="Y92" s="46"/>
      <c r="Z92" s="46"/>
      <c r="AA92" s="46"/>
    </row>
    <row r="93" spans="1:36" ht="20.25" customHeight="1" x14ac:dyDescent="0.25">
      <c r="A93" s="49">
        <v>1</v>
      </c>
      <c r="B93" s="198" t="s">
        <v>37</v>
      </c>
      <c r="C93" s="198"/>
      <c r="D93" s="198"/>
      <c r="E93" s="198"/>
      <c r="F93" s="198"/>
      <c r="G93" s="198"/>
      <c r="H93" s="198"/>
      <c r="I93" s="198"/>
      <c r="J93" s="198"/>
      <c r="K93" s="4" t="s">
        <v>46</v>
      </c>
      <c r="L93" s="185" t="s">
        <v>44</v>
      </c>
      <c r="M93" s="185"/>
      <c r="N93" s="185"/>
      <c r="O93" s="185"/>
      <c r="P93" s="223">
        <f>SUM(P94:Q104)</f>
        <v>19839165</v>
      </c>
      <c r="Q93" s="232"/>
      <c r="R93" s="223">
        <f>R97</f>
        <v>3154000</v>
      </c>
      <c r="S93" s="232"/>
      <c r="T93" s="223">
        <f>P93+R93</f>
        <v>22993165</v>
      </c>
      <c r="U93" s="232"/>
      <c r="V93" s="128">
        <f>SUM(V94:V104)</f>
        <v>19835099.319999997</v>
      </c>
      <c r="W93" s="128">
        <f>W97+W98</f>
        <v>3152679.94</v>
      </c>
      <c r="X93" s="128">
        <f>V93+W93</f>
        <v>22987779.259999998</v>
      </c>
      <c r="Y93" s="128">
        <f>Y94+Y95+Y96+Y97+Y98+Y99</f>
        <v>-563.13000000017928</v>
      </c>
      <c r="Z93" s="128">
        <f>Z94+Z95+Z96+Z97+Z98+Z99</f>
        <v>-1320.0600000000559</v>
      </c>
      <c r="AA93" s="128">
        <f>Y93+Z93</f>
        <v>-1883.1900000002352</v>
      </c>
    </row>
    <row r="94" spans="1:36" ht="81" customHeight="1" x14ac:dyDescent="0.25">
      <c r="A94" s="49">
        <v>2</v>
      </c>
      <c r="B94" s="277" t="s">
        <v>38</v>
      </c>
      <c r="C94" s="277"/>
      <c r="D94" s="277"/>
      <c r="E94" s="277"/>
      <c r="F94" s="277"/>
      <c r="G94" s="277"/>
      <c r="H94" s="277"/>
      <c r="I94" s="277"/>
      <c r="J94" s="277"/>
      <c r="K94" s="4" t="s">
        <v>46</v>
      </c>
      <c r="L94" s="185" t="s">
        <v>44</v>
      </c>
      <c r="M94" s="185"/>
      <c r="N94" s="185"/>
      <c r="O94" s="185"/>
      <c r="P94" s="223">
        <f>12444670+421250</f>
        <v>12865920</v>
      </c>
      <c r="Q94" s="223"/>
      <c r="R94" s="223"/>
      <c r="S94" s="223"/>
      <c r="T94" s="223">
        <f>P94</f>
        <v>12865920</v>
      </c>
      <c r="U94" s="223"/>
      <c r="V94" s="128">
        <v>12865851.59</v>
      </c>
      <c r="W94" s="128"/>
      <c r="X94" s="128">
        <f>V94</f>
        <v>12865851.59</v>
      </c>
      <c r="Y94" s="128">
        <f t="shared" ref="Y94:Y104" si="6">V94-P94</f>
        <v>-68.410000000149012</v>
      </c>
      <c r="Z94" s="128"/>
      <c r="AA94" s="128">
        <f>Y94</f>
        <v>-68.410000000149012</v>
      </c>
    </row>
    <row r="95" spans="1:36" ht="38.25" customHeight="1" x14ac:dyDescent="0.25">
      <c r="A95" s="49">
        <f t="shared" ref="A95:A104" si="7">A94+1</f>
        <v>3</v>
      </c>
      <c r="B95" s="277" t="s">
        <v>39</v>
      </c>
      <c r="C95" s="277"/>
      <c r="D95" s="277"/>
      <c r="E95" s="277"/>
      <c r="F95" s="277"/>
      <c r="G95" s="277"/>
      <c r="H95" s="277"/>
      <c r="I95" s="277"/>
      <c r="J95" s="277"/>
      <c r="K95" s="4" t="s">
        <v>46</v>
      </c>
      <c r="L95" s="185" t="s">
        <v>44</v>
      </c>
      <c r="M95" s="185"/>
      <c r="N95" s="185"/>
      <c r="O95" s="185"/>
      <c r="P95" s="223">
        <f>4602700-5256.39</f>
        <v>4597443.6100000003</v>
      </c>
      <c r="Q95" s="223"/>
      <c r="R95" s="223"/>
      <c r="S95" s="223"/>
      <c r="T95" s="223">
        <f>P95</f>
        <v>4597443.6100000003</v>
      </c>
      <c r="U95" s="223"/>
      <c r="V95" s="128">
        <v>4597443.6100000003</v>
      </c>
      <c r="W95" s="128"/>
      <c r="X95" s="128">
        <f>V95</f>
        <v>4597443.6100000003</v>
      </c>
      <c r="Y95" s="128">
        <f t="shared" si="6"/>
        <v>0</v>
      </c>
      <c r="Z95" s="128"/>
      <c r="AA95" s="128">
        <f>Y95</f>
        <v>0</v>
      </c>
    </row>
    <row r="96" spans="1:36" ht="36" customHeight="1" x14ac:dyDescent="0.25">
      <c r="A96" s="49">
        <f t="shared" si="7"/>
        <v>4</v>
      </c>
      <c r="B96" s="242" t="s">
        <v>40</v>
      </c>
      <c r="C96" s="243"/>
      <c r="D96" s="243"/>
      <c r="E96" s="243"/>
      <c r="F96" s="243"/>
      <c r="G96" s="243"/>
      <c r="H96" s="243"/>
      <c r="I96" s="243"/>
      <c r="J96" s="244"/>
      <c r="K96" s="4" t="s">
        <v>46</v>
      </c>
      <c r="L96" s="185" t="s">
        <v>45</v>
      </c>
      <c r="M96" s="185"/>
      <c r="N96" s="185"/>
      <c r="O96" s="185"/>
      <c r="P96" s="223">
        <f>400000-36330</f>
        <v>363670</v>
      </c>
      <c r="Q96" s="223"/>
      <c r="R96" s="223"/>
      <c r="S96" s="223"/>
      <c r="T96" s="223">
        <f>P96</f>
        <v>363670</v>
      </c>
      <c r="U96" s="223"/>
      <c r="V96" s="128">
        <v>363670</v>
      </c>
      <c r="W96" s="128"/>
      <c r="X96" s="128">
        <f>V96</f>
        <v>363670</v>
      </c>
      <c r="Y96" s="128">
        <f t="shared" si="6"/>
        <v>0</v>
      </c>
      <c r="Z96" s="128"/>
      <c r="AA96" s="128">
        <f>Y96</f>
        <v>0</v>
      </c>
    </row>
    <row r="97" spans="1:27" ht="33.75" customHeight="1" x14ac:dyDescent="0.25">
      <c r="A97" s="49">
        <f t="shared" si="7"/>
        <v>5</v>
      </c>
      <c r="B97" s="242" t="s">
        <v>41</v>
      </c>
      <c r="C97" s="243"/>
      <c r="D97" s="243"/>
      <c r="E97" s="243"/>
      <c r="F97" s="243"/>
      <c r="G97" s="243"/>
      <c r="H97" s="243"/>
      <c r="I97" s="243"/>
      <c r="J97" s="244"/>
      <c r="K97" s="4" t="s">
        <v>46</v>
      </c>
      <c r="L97" s="185" t="s">
        <v>45</v>
      </c>
      <c r="M97" s="185"/>
      <c r="N97" s="185"/>
      <c r="O97" s="185"/>
      <c r="P97" s="223"/>
      <c r="Q97" s="223"/>
      <c r="R97" s="223">
        <f>2000000+1154000</f>
        <v>3154000</v>
      </c>
      <c r="S97" s="223"/>
      <c r="T97" s="223">
        <f>R97</f>
        <v>3154000</v>
      </c>
      <c r="U97" s="223"/>
      <c r="V97" s="128"/>
      <c r="W97" s="128">
        <v>3152679.94</v>
      </c>
      <c r="X97" s="128">
        <f>W97</f>
        <v>3152679.94</v>
      </c>
      <c r="Y97" s="128">
        <f t="shared" si="6"/>
        <v>0</v>
      </c>
      <c r="Z97" s="128">
        <f>W97-R97</f>
        <v>-1320.0600000000559</v>
      </c>
      <c r="AA97" s="128">
        <f>Z97</f>
        <v>-1320.0600000000559</v>
      </c>
    </row>
    <row r="98" spans="1:27" ht="49.5" customHeight="1" x14ac:dyDescent="0.25">
      <c r="A98" s="49">
        <f t="shared" si="7"/>
        <v>6</v>
      </c>
      <c r="B98" s="202" t="s">
        <v>154</v>
      </c>
      <c r="C98" s="203"/>
      <c r="D98" s="203"/>
      <c r="E98" s="203"/>
      <c r="F98" s="203"/>
      <c r="G98" s="203"/>
      <c r="H98" s="203"/>
      <c r="I98" s="203"/>
      <c r="J98" s="204"/>
      <c r="K98" s="4" t="s">
        <v>46</v>
      </c>
      <c r="L98" s="363" t="s">
        <v>45</v>
      </c>
      <c r="M98" s="363"/>
      <c r="N98" s="363"/>
      <c r="O98" s="363"/>
      <c r="P98" s="223">
        <f>800000+100000</f>
        <v>900000</v>
      </c>
      <c r="Q98" s="223"/>
      <c r="R98" s="224"/>
      <c r="S98" s="225"/>
      <c r="T98" s="223">
        <f t="shared" ref="T98:T104" si="8">P98</f>
        <v>900000</v>
      </c>
      <c r="U98" s="223"/>
      <c r="V98" s="128">
        <v>899799.22</v>
      </c>
      <c r="W98" s="128"/>
      <c r="X98" s="128">
        <f t="shared" ref="X98:X104" si="9">V98</f>
        <v>899799.22</v>
      </c>
      <c r="Y98" s="128">
        <f t="shared" si="6"/>
        <v>-200.78000000002794</v>
      </c>
      <c r="Z98" s="128">
        <f>W98-R98</f>
        <v>0</v>
      </c>
      <c r="AA98" s="128">
        <f t="shared" ref="AA98:AA104" si="10">Y98</f>
        <v>-200.78000000002794</v>
      </c>
    </row>
    <row r="99" spans="1:27" ht="20.25" customHeight="1" x14ac:dyDescent="0.25">
      <c r="A99" s="49">
        <f t="shared" si="7"/>
        <v>7</v>
      </c>
      <c r="B99" s="202" t="s">
        <v>155</v>
      </c>
      <c r="C99" s="203"/>
      <c r="D99" s="203"/>
      <c r="E99" s="203"/>
      <c r="F99" s="203"/>
      <c r="G99" s="203"/>
      <c r="H99" s="203"/>
      <c r="I99" s="203"/>
      <c r="J99" s="204"/>
      <c r="K99" s="4" t="s">
        <v>46</v>
      </c>
      <c r="L99" s="363" t="s">
        <v>45</v>
      </c>
      <c r="M99" s="363"/>
      <c r="N99" s="363"/>
      <c r="O99" s="363"/>
      <c r="P99" s="223">
        <f>500000-85900</f>
        <v>414100</v>
      </c>
      <c r="Q99" s="223"/>
      <c r="R99" s="224"/>
      <c r="S99" s="225"/>
      <c r="T99" s="223">
        <f t="shared" si="8"/>
        <v>414100</v>
      </c>
      <c r="U99" s="223"/>
      <c r="V99" s="128">
        <v>413806.06</v>
      </c>
      <c r="W99" s="128"/>
      <c r="X99" s="128">
        <f t="shared" si="9"/>
        <v>413806.06</v>
      </c>
      <c r="Y99" s="128">
        <f t="shared" si="6"/>
        <v>-293.94000000000233</v>
      </c>
      <c r="Z99" s="128"/>
      <c r="AA99" s="128">
        <f t="shared" si="10"/>
        <v>-293.94000000000233</v>
      </c>
    </row>
    <row r="100" spans="1:27" ht="126.75" customHeight="1" x14ac:dyDescent="0.25">
      <c r="A100" s="49">
        <f t="shared" si="7"/>
        <v>8</v>
      </c>
      <c r="B100" s="202" t="s">
        <v>228</v>
      </c>
      <c r="C100" s="203"/>
      <c r="D100" s="203"/>
      <c r="E100" s="203"/>
      <c r="F100" s="203"/>
      <c r="G100" s="203"/>
      <c r="H100" s="203"/>
      <c r="I100" s="203"/>
      <c r="J100" s="204"/>
      <c r="K100" s="4" t="s">
        <v>46</v>
      </c>
      <c r="L100" s="185" t="s">
        <v>233</v>
      </c>
      <c r="M100" s="185"/>
      <c r="N100" s="185"/>
      <c r="O100" s="185"/>
      <c r="P100" s="224">
        <f>50000+24707.61+30000+31250+22800+50725-12500+5256.39</f>
        <v>202239</v>
      </c>
      <c r="Q100" s="228"/>
      <c r="R100" s="224"/>
      <c r="S100" s="225"/>
      <c r="T100" s="223">
        <f t="shared" si="8"/>
        <v>202239</v>
      </c>
      <c r="U100" s="223"/>
      <c r="V100" s="128">
        <f>94900+29964+23025.19+31250+20344.8</f>
        <v>199483.99</v>
      </c>
      <c r="W100" s="128"/>
      <c r="X100" s="128">
        <f t="shared" si="9"/>
        <v>199483.99</v>
      </c>
      <c r="Y100" s="128">
        <f t="shared" si="6"/>
        <v>-2755.0100000000093</v>
      </c>
      <c r="Z100" s="129"/>
      <c r="AA100" s="128">
        <f t="shared" si="10"/>
        <v>-2755.0100000000093</v>
      </c>
    </row>
    <row r="101" spans="1:27" ht="36" customHeight="1" x14ac:dyDescent="0.25">
      <c r="A101" s="49">
        <f t="shared" si="7"/>
        <v>9</v>
      </c>
      <c r="B101" s="242" t="s">
        <v>229</v>
      </c>
      <c r="C101" s="243"/>
      <c r="D101" s="243"/>
      <c r="E101" s="243"/>
      <c r="F101" s="243"/>
      <c r="G101" s="243"/>
      <c r="H101" s="243"/>
      <c r="I101" s="243"/>
      <c r="J101" s="244"/>
      <c r="K101" s="4" t="s">
        <v>46</v>
      </c>
      <c r="L101" s="214" t="s">
        <v>234</v>
      </c>
      <c r="M101" s="215"/>
      <c r="N101" s="215"/>
      <c r="O101" s="227"/>
      <c r="P101" s="224">
        <f>13975.43+15900</f>
        <v>29875.43</v>
      </c>
      <c r="Q101" s="228"/>
      <c r="R101" s="224"/>
      <c r="S101" s="225"/>
      <c r="T101" s="223">
        <f t="shared" si="8"/>
        <v>29875.43</v>
      </c>
      <c r="U101" s="223"/>
      <c r="V101" s="128">
        <f>13975.43+15873.79</f>
        <v>29849.22</v>
      </c>
      <c r="W101" s="128"/>
      <c r="X101" s="128">
        <f t="shared" si="9"/>
        <v>29849.22</v>
      </c>
      <c r="Y101" s="128">
        <f t="shared" si="6"/>
        <v>-26.209999999999127</v>
      </c>
      <c r="Z101" s="129"/>
      <c r="AA101" s="128">
        <f t="shared" si="10"/>
        <v>-26.209999999999127</v>
      </c>
    </row>
    <row r="102" spans="1:27" ht="33.75" customHeight="1" x14ac:dyDescent="0.25">
      <c r="A102" s="49">
        <f t="shared" si="7"/>
        <v>10</v>
      </c>
      <c r="B102" s="202" t="s">
        <v>230</v>
      </c>
      <c r="C102" s="203"/>
      <c r="D102" s="203"/>
      <c r="E102" s="203"/>
      <c r="F102" s="203"/>
      <c r="G102" s="203"/>
      <c r="H102" s="203"/>
      <c r="I102" s="203"/>
      <c r="J102" s="204"/>
      <c r="K102" s="4" t="s">
        <v>46</v>
      </c>
      <c r="L102" s="185" t="s">
        <v>159</v>
      </c>
      <c r="M102" s="185"/>
      <c r="N102" s="185"/>
      <c r="O102" s="185"/>
      <c r="P102" s="224">
        <f>199316.96</f>
        <v>199316.96</v>
      </c>
      <c r="Q102" s="228"/>
      <c r="R102" s="224"/>
      <c r="S102" s="225"/>
      <c r="T102" s="223">
        <f t="shared" si="8"/>
        <v>199316.96</v>
      </c>
      <c r="U102" s="223"/>
      <c r="V102" s="128">
        <v>198999.53</v>
      </c>
      <c r="W102" s="128"/>
      <c r="X102" s="128">
        <f t="shared" si="9"/>
        <v>198999.53</v>
      </c>
      <c r="Y102" s="128">
        <f t="shared" si="6"/>
        <v>-317.42999999999302</v>
      </c>
      <c r="Z102" s="129"/>
      <c r="AA102" s="128">
        <f t="shared" si="10"/>
        <v>-317.42999999999302</v>
      </c>
    </row>
    <row r="103" spans="1:27" ht="49.5" customHeight="1" x14ac:dyDescent="0.25">
      <c r="A103" s="49">
        <f t="shared" si="7"/>
        <v>11</v>
      </c>
      <c r="B103" s="202" t="s">
        <v>231</v>
      </c>
      <c r="C103" s="203"/>
      <c r="D103" s="203"/>
      <c r="E103" s="203"/>
      <c r="F103" s="203"/>
      <c r="G103" s="203"/>
      <c r="H103" s="203"/>
      <c r="I103" s="203"/>
      <c r="J103" s="204"/>
      <c r="K103" s="4" t="s">
        <v>46</v>
      </c>
      <c r="L103" s="185" t="s">
        <v>159</v>
      </c>
      <c r="M103" s="185"/>
      <c r="N103" s="185"/>
      <c r="O103" s="185"/>
      <c r="P103" s="224">
        <v>254600</v>
      </c>
      <c r="Q103" s="228"/>
      <c r="R103" s="224"/>
      <c r="S103" s="225"/>
      <c r="T103" s="223">
        <f t="shared" si="8"/>
        <v>254600</v>
      </c>
      <c r="U103" s="223"/>
      <c r="V103" s="128">
        <v>254600</v>
      </c>
      <c r="W103" s="128"/>
      <c r="X103" s="128">
        <f t="shared" si="9"/>
        <v>254600</v>
      </c>
      <c r="Y103" s="128">
        <f t="shared" si="6"/>
        <v>0</v>
      </c>
      <c r="Z103" s="129"/>
      <c r="AA103" s="128">
        <f t="shared" si="10"/>
        <v>0</v>
      </c>
    </row>
    <row r="104" spans="1:27" ht="51" customHeight="1" x14ac:dyDescent="0.25">
      <c r="A104" s="49">
        <f t="shared" si="7"/>
        <v>12</v>
      </c>
      <c r="B104" s="202" t="s">
        <v>232</v>
      </c>
      <c r="C104" s="203"/>
      <c r="D104" s="203"/>
      <c r="E104" s="203"/>
      <c r="F104" s="203"/>
      <c r="G104" s="203"/>
      <c r="H104" s="203"/>
      <c r="I104" s="203"/>
      <c r="J104" s="204"/>
      <c r="K104" s="4" t="s">
        <v>46</v>
      </c>
      <c r="L104" s="185" t="s">
        <v>235</v>
      </c>
      <c r="M104" s="185"/>
      <c r="N104" s="185"/>
      <c r="O104" s="185"/>
      <c r="P104" s="224">
        <v>12000</v>
      </c>
      <c r="Q104" s="228"/>
      <c r="R104" s="224"/>
      <c r="S104" s="225"/>
      <c r="T104" s="223">
        <f t="shared" si="8"/>
        <v>12000</v>
      </c>
      <c r="U104" s="223"/>
      <c r="V104" s="128">
        <v>11596.1</v>
      </c>
      <c r="W104" s="128"/>
      <c r="X104" s="128">
        <f t="shared" si="9"/>
        <v>11596.1</v>
      </c>
      <c r="Y104" s="128">
        <f t="shared" si="6"/>
        <v>-403.89999999999964</v>
      </c>
      <c r="Z104" s="129"/>
      <c r="AA104" s="128">
        <f t="shared" si="10"/>
        <v>-403.89999999999964</v>
      </c>
    </row>
    <row r="105" spans="1:27" ht="18" customHeight="1" x14ac:dyDescent="0.25">
      <c r="A105" s="49"/>
      <c r="B105" s="242" t="s">
        <v>364</v>
      </c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4"/>
    </row>
    <row r="106" spans="1:27" ht="18" customHeight="1" x14ac:dyDescent="0.25">
      <c r="A106" s="49"/>
      <c r="B106" s="165" t="s">
        <v>336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4"/>
      <c r="U106" s="15"/>
      <c r="V106" s="15"/>
      <c r="W106" s="15"/>
      <c r="X106" s="15"/>
      <c r="Y106" s="15"/>
      <c r="Z106" s="15"/>
      <c r="AA106" s="14"/>
    </row>
    <row r="107" spans="1:27" ht="18" customHeight="1" x14ac:dyDescent="0.25">
      <c r="A107" s="49"/>
      <c r="B107" s="352" t="s">
        <v>365</v>
      </c>
      <c r="C107" s="353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353"/>
      <c r="Z107" s="353"/>
      <c r="AA107" s="354"/>
    </row>
    <row r="108" spans="1:27" ht="22.5" customHeight="1" x14ac:dyDescent="0.25">
      <c r="A108" s="49"/>
      <c r="B108" s="297" t="s">
        <v>189</v>
      </c>
      <c r="C108" s="298"/>
      <c r="D108" s="298"/>
      <c r="E108" s="298"/>
      <c r="F108" s="48"/>
      <c r="G108" s="48"/>
      <c r="H108" s="48"/>
      <c r="I108" s="48"/>
      <c r="J108" s="48"/>
      <c r="K108" s="46"/>
      <c r="L108" s="221"/>
      <c r="M108" s="221"/>
      <c r="N108" s="39"/>
      <c r="O108" s="39"/>
      <c r="P108" s="221"/>
      <c r="Q108" s="221"/>
      <c r="R108" s="221"/>
      <c r="S108" s="221"/>
      <c r="T108" s="221"/>
      <c r="U108" s="221"/>
      <c r="V108" s="46"/>
      <c r="W108" s="46"/>
      <c r="X108" s="46"/>
      <c r="Y108" s="46"/>
      <c r="Z108" s="46"/>
      <c r="AA108" s="46"/>
    </row>
    <row r="109" spans="1:27" ht="66.75" customHeight="1" x14ac:dyDescent="0.25">
      <c r="A109" s="49">
        <v>1</v>
      </c>
      <c r="B109" s="239" t="s">
        <v>238</v>
      </c>
      <c r="C109" s="240"/>
      <c r="D109" s="240"/>
      <c r="E109" s="240"/>
      <c r="F109" s="240"/>
      <c r="G109" s="240"/>
      <c r="H109" s="240"/>
      <c r="I109" s="240"/>
      <c r="J109" s="241"/>
      <c r="K109" s="2" t="s">
        <v>47</v>
      </c>
      <c r="L109" s="185" t="s">
        <v>51</v>
      </c>
      <c r="M109" s="185"/>
      <c r="N109" s="185"/>
      <c r="O109" s="185"/>
      <c r="P109" s="382">
        <f>(48.59+27.98+0.72+15.1+0.4+0.08+0.47+0.7+0.5+4.4)+64.938</f>
        <v>163.87800000000001</v>
      </c>
      <c r="Q109" s="382"/>
      <c r="R109" s="226"/>
      <c r="S109" s="226"/>
      <c r="T109" s="380">
        <f>P109</f>
        <v>163.87800000000001</v>
      </c>
      <c r="U109" s="226"/>
      <c r="V109" s="126">
        <f>(48.59+27.98+0.72+15.1+0.4+0.08+0.47+0.7+0.5+4.4)+64.938</f>
        <v>163.87800000000001</v>
      </c>
      <c r="W109" s="126"/>
      <c r="X109" s="4">
        <f>V109</f>
        <v>163.87800000000001</v>
      </c>
      <c r="Y109" s="117">
        <f>V109-P109</f>
        <v>0</v>
      </c>
      <c r="Z109" s="117"/>
      <c r="AA109" s="117">
        <f>Y109</f>
        <v>0</v>
      </c>
    </row>
    <row r="110" spans="1:27" ht="51" customHeight="1" x14ac:dyDescent="0.25">
      <c r="A110" s="49">
        <f>A109+1</f>
        <v>2</v>
      </c>
      <c r="B110" s="239" t="s">
        <v>239</v>
      </c>
      <c r="C110" s="240"/>
      <c r="D110" s="240"/>
      <c r="E110" s="240"/>
      <c r="F110" s="240"/>
      <c r="G110" s="240"/>
      <c r="H110" s="240"/>
      <c r="I110" s="240"/>
      <c r="J110" s="241"/>
      <c r="K110" s="2" t="s">
        <v>48</v>
      </c>
      <c r="L110" s="185" t="s">
        <v>53</v>
      </c>
      <c r="M110" s="185"/>
      <c r="N110" s="185"/>
      <c r="O110" s="185"/>
      <c r="P110" s="378">
        <v>1985</v>
      </c>
      <c r="Q110" s="378"/>
      <c r="R110" s="364">
        <v>1379</v>
      </c>
      <c r="S110" s="364"/>
      <c r="T110" s="364">
        <f>P110+R110</f>
        <v>3364</v>
      </c>
      <c r="U110" s="364"/>
      <c r="V110" s="127">
        <v>1985</v>
      </c>
      <c r="W110" s="113">
        <v>1379</v>
      </c>
      <c r="X110" s="111">
        <f>V110+W110</f>
        <v>3364</v>
      </c>
      <c r="Y110" s="141">
        <f>V110-P110</f>
        <v>0</v>
      </c>
      <c r="Z110" s="117">
        <f>W110-R110</f>
        <v>0</v>
      </c>
      <c r="AA110" s="117">
        <f t="shared" ref="AA110:AA119" si="11">Y110</f>
        <v>0</v>
      </c>
    </row>
    <row r="111" spans="1:27" ht="49.5" customHeight="1" x14ac:dyDescent="0.25">
      <c r="A111" s="49">
        <f t="shared" ref="A111:A119" si="12">A110+1</f>
        <v>3</v>
      </c>
      <c r="B111" s="239" t="s">
        <v>240</v>
      </c>
      <c r="C111" s="240"/>
      <c r="D111" s="240"/>
      <c r="E111" s="240"/>
      <c r="F111" s="240"/>
      <c r="G111" s="240"/>
      <c r="H111" s="240"/>
      <c r="I111" s="240"/>
      <c r="J111" s="241"/>
      <c r="K111" s="2" t="s">
        <v>48</v>
      </c>
      <c r="L111" s="185" t="s">
        <v>54</v>
      </c>
      <c r="M111" s="185"/>
      <c r="N111" s="185"/>
      <c r="O111" s="185"/>
      <c r="P111" s="378">
        <v>253</v>
      </c>
      <c r="Q111" s="378"/>
      <c r="R111" s="226"/>
      <c r="S111" s="226"/>
      <c r="T111" s="216">
        <f>P111+R111</f>
        <v>253</v>
      </c>
      <c r="U111" s="216"/>
      <c r="V111" s="4">
        <v>253</v>
      </c>
      <c r="W111" s="4"/>
      <c r="X111" s="4">
        <f>V111+W111</f>
        <v>253</v>
      </c>
      <c r="Y111" s="117">
        <f t="shared" ref="Y111:Y119" si="13">V111-P111</f>
        <v>0</v>
      </c>
      <c r="Z111" s="117"/>
      <c r="AA111" s="117">
        <f>Y111+Z111</f>
        <v>0</v>
      </c>
    </row>
    <row r="112" spans="1:27" ht="36" customHeight="1" x14ac:dyDescent="0.25">
      <c r="A112" s="49">
        <f t="shared" si="12"/>
        <v>4</v>
      </c>
      <c r="B112" s="242" t="s">
        <v>241</v>
      </c>
      <c r="C112" s="243"/>
      <c r="D112" s="243"/>
      <c r="E112" s="243"/>
      <c r="F112" s="243"/>
      <c r="G112" s="243"/>
      <c r="H112" s="243"/>
      <c r="I112" s="243"/>
      <c r="J112" s="244"/>
      <c r="K112" s="2" t="s">
        <v>47</v>
      </c>
      <c r="L112" s="185" t="s">
        <v>53</v>
      </c>
      <c r="M112" s="185"/>
      <c r="N112" s="185"/>
      <c r="O112" s="185"/>
      <c r="P112" s="332">
        <f>10.1284+12.7196</f>
        <v>22.847999999999999</v>
      </c>
      <c r="Q112" s="332"/>
      <c r="R112" s="379"/>
      <c r="S112" s="379"/>
      <c r="T112" s="379">
        <f>P112+R112</f>
        <v>22.847999999999999</v>
      </c>
      <c r="U112" s="379"/>
      <c r="V112" s="70">
        <v>22.847999999999999</v>
      </c>
      <c r="W112" s="70"/>
      <c r="X112" s="70">
        <f>V112+W112</f>
        <v>22.847999999999999</v>
      </c>
      <c r="Y112" s="117">
        <f t="shared" si="13"/>
        <v>0</v>
      </c>
      <c r="Z112" s="117"/>
      <c r="AA112" s="117">
        <f>Y112+Z112</f>
        <v>0</v>
      </c>
    </row>
    <row r="113" spans="1:27" ht="33.75" customHeight="1" x14ac:dyDescent="0.25">
      <c r="A113" s="49">
        <f t="shared" si="12"/>
        <v>5</v>
      </c>
      <c r="B113" s="337" t="s">
        <v>156</v>
      </c>
      <c r="C113" s="282"/>
      <c r="D113" s="282"/>
      <c r="E113" s="282"/>
      <c r="F113" s="282"/>
      <c r="G113" s="282"/>
      <c r="H113" s="282"/>
      <c r="I113" s="282"/>
      <c r="J113" s="270"/>
      <c r="K113" s="2" t="s">
        <v>86</v>
      </c>
      <c r="L113" s="214" t="s">
        <v>53</v>
      </c>
      <c r="M113" s="215"/>
      <c r="N113" s="215"/>
      <c r="O113" s="227"/>
      <c r="P113" s="332">
        <f>765+62.3</f>
        <v>827.3</v>
      </c>
      <c r="Q113" s="332"/>
      <c r="R113" s="379"/>
      <c r="S113" s="379"/>
      <c r="T113" s="379">
        <f t="shared" ref="T113:T119" si="14">P113</f>
        <v>827.3</v>
      </c>
      <c r="U113" s="379"/>
      <c r="V113" s="70">
        <v>783</v>
      </c>
      <c r="W113" s="70"/>
      <c r="X113" s="70">
        <f t="shared" ref="X113:X119" si="15">V113</f>
        <v>783</v>
      </c>
      <c r="Y113" s="111">
        <f t="shared" si="13"/>
        <v>-44.299999999999955</v>
      </c>
      <c r="Z113" s="111"/>
      <c r="AA113" s="111">
        <f t="shared" si="11"/>
        <v>-44.299999999999955</v>
      </c>
    </row>
    <row r="114" spans="1:27" ht="34.5" customHeight="1" x14ac:dyDescent="0.25">
      <c r="A114" s="49">
        <f t="shared" si="12"/>
        <v>6</v>
      </c>
      <c r="B114" s="337" t="s">
        <v>157</v>
      </c>
      <c r="C114" s="282"/>
      <c r="D114" s="282"/>
      <c r="E114" s="282"/>
      <c r="F114" s="282"/>
      <c r="G114" s="282"/>
      <c r="H114" s="282"/>
      <c r="I114" s="282"/>
      <c r="J114" s="270"/>
      <c r="K114" s="2" t="s">
        <v>48</v>
      </c>
      <c r="L114" s="338" t="s">
        <v>52</v>
      </c>
      <c r="M114" s="339"/>
      <c r="N114" s="339"/>
      <c r="O114" s="340"/>
      <c r="P114" s="378">
        <v>1408</v>
      </c>
      <c r="Q114" s="378"/>
      <c r="R114" s="364"/>
      <c r="S114" s="364"/>
      <c r="T114" s="364">
        <f t="shared" si="14"/>
        <v>1408</v>
      </c>
      <c r="U114" s="364"/>
      <c r="V114" s="4">
        <f>123+2657</f>
        <v>2780</v>
      </c>
      <c r="W114" s="4"/>
      <c r="X114" s="4">
        <f t="shared" si="15"/>
        <v>2780</v>
      </c>
      <c r="Y114" s="111">
        <f t="shared" si="13"/>
        <v>1372</v>
      </c>
      <c r="Z114" s="111"/>
      <c r="AA114" s="111">
        <f t="shared" si="11"/>
        <v>1372</v>
      </c>
    </row>
    <row r="115" spans="1:27" ht="36" customHeight="1" x14ac:dyDescent="0.25">
      <c r="A115" s="49">
        <f t="shared" si="12"/>
        <v>7</v>
      </c>
      <c r="B115" s="337" t="s">
        <v>158</v>
      </c>
      <c r="C115" s="282"/>
      <c r="D115" s="282"/>
      <c r="E115" s="282"/>
      <c r="F115" s="282"/>
      <c r="G115" s="282"/>
      <c r="H115" s="282"/>
      <c r="I115" s="282"/>
      <c r="J115" s="270"/>
      <c r="K115" s="2" t="s">
        <v>48</v>
      </c>
      <c r="L115" s="185" t="s">
        <v>120</v>
      </c>
      <c r="M115" s="185"/>
      <c r="N115" s="185"/>
      <c r="O115" s="185"/>
      <c r="P115" s="292">
        <v>14</v>
      </c>
      <c r="Q115" s="292"/>
      <c r="R115" s="226"/>
      <c r="S115" s="226"/>
      <c r="T115" s="216">
        <f t="shared" si="14"/>
        <v>14</v>
      </c>
      <c r="U115" s="216"/>
      <c r="V115" s="4">
        <f>13+1</f>
        <v>14</v>
      </c>
      <c r="W115" s="4"/>
      <c r="X115" s="4">
        <f t="shared" si="15"/>
        <v>14</v>
      </c>
      <c r="Y115" s="111">
        <f t="shared" si="13"/>
        <v>0</v>
      </c>
      <c r="Z115" s="111"/>
      <c r="AA115" s="111">
        <f t="shared" si="11"/>
        <v>0</v>
      </c>
    </row>
    <row r="116" spans="1:27" ht="49.5" customHeight="1" x14ac:dyDescent="0.25">
      <c r="A116" s="49">
        <f t="shared" si="12"/>
        <v>8</v>
      </c>
      <c r="B116" s="230" t="s">
        <v>242</v>
      </c>
      <c r="C116" s="231"/>
      <c r="D116" s="231"/>
      <c r="E116" s="231"/>
      <c r="F116" s="231"/>
      <c r="G116" s="231"/>
      <c r="H116" s="231"/>
      <c r="I116" s="231"/>
      <c r="J116" s="208"/>
      <c r="K116" s="2" t="s">
        <v>48</v>
      </c>
      <c r="L116" s="214" t="s">
        <v>246</v>
      </c>
      <c r="M116" s="215"/>
      <c r="N116" s="215"/>
      <c r="O116" s="227"/>
      <c r="P116" s="292">
        <f>1+1</f>
        <v>2</v>
      </c>
      <c r="Q116" s="292"/>
      <c r="R116" s="226"/>
      <c r="S116" s="226"/>
      <c r="T116" s="216">
        <f t="shared" si="14"/>
        <v>2</v>
      </c>
      <c r="U116" s="216"/>
      <c r="V116" s="4">
        <v>2</v>
      </c>
      <c r="W116" s="4"/>
      <c r="X116" s="4">
        <f t="shared" si="15"/>
        <v>2</v>
      </c>
      <c r="Y116" s="111">
        <f t="shared" si="13"/>
        <v>0</v>
      </c>
      <c r="Z116" s="111"/>
      <c r="AA116" s="111">
        <f t="shared" si="11"/>
        <v>0</v>
      </c>
    </row>
    <row r="117" spans="1:27" ht="33.75" customHeight="1" x14ac:dyDescent="0.25">
      <c r="A117" s="49">
        <f t="shared" si="12"/>
        <v>9</v>
      </c>
      <c r="B117" s="230" t="s">
        <v>243</v>
      </c>
      <c r="C117" s="231"/>
      <c r="D117" s="231"/>
      <c r="E117" s="231"/>
      <c r="F117" s="231"/>
      <c r="G117" s="231"/>
      <c r="H117" s="231"/>
      <c r="I117" s="231"/>
      <c r="J117" s="208"/>
      <c r="K117" s="2" t="s">
        <v>88</v>
      </c>
      <c r="L117" s="214" t="s">
        <v>54</v>
      </c>
      <c r="M117" s="215"/>
      <c r="N117" s="215"/>
      <c r="O117" s="227"/>
      <c r="P117" s="292">
        <v>268</v>
      </c>
      <c r="Q117" s="292"/>
      <c r="R117" s="216"/>
      <c r="S117" s="216"/>
      <c r="T117" s="216">
        <f t="shared" si="14"/>
        <v>268</v>
      </c>
      <c r="U117" s="216"/>
      <c r="V117" s="4">
        <v>301</v>
      </c>
      <c r="W117" s="4"/>
      <c r="X117" s="4">
        <f t="shared" si="15"/>
        <v>301</v>
      </c>
      <c r="Y117" s="111">
        <f t="shared" si="13"/>
        <v>33</v>
      </c>
      <c r="Z117" s="111"/>
      <c r="AA117" s="111">
        <f t="shared" si="11"/>
        <v>33</v>
      </c>
    </row>
    <row r="118" spans="1:27" ht="33" customHeight="1" x14ac:dyDescent="0.25">
      <c r="A118" s="49">
        <f t="shared" si="12"/>
        <v>10</v>
      </c>
      <c r="B118" s="239" t="s">
        <v>244</v>
      </c>
      <c r="C118" s="240"/>
      <c r="D118" s="240"/>
      <c r="E118" s="240"/>
      <c r="F118" s="240"/>
      <c r="G118" s="240"/>
      <c r="H118" s="240"/>
      <c r="I118" s="240"/>
      <c r="J118" s="241"/>
      <c r="K118" s="2" t="s">
        <v>48</v>
      </c>
      <c r="L118" s="214" t="s">
        <v>234</v>
      </c>
      <c r="M118" s="215"/>
      <c r="N118" s="215"/>
      <c r="O118" s="227"/>
      <c r="P118" s="292">
        <v>1</v>
      </c>
      <c r="Q118" s="292"/>
      <c r="R118" s="216"/>
      <c r="S118" s="216"/>
      <c r="T118" s="216">
        <f t="shared" si="14"/>
        <v>1</v>
      </c>
      <c r="U118" s="216"/>
      <c r="V118" s="4">
        <v>1</v>
      </c>
      <c r="W118" s="4"/>
      <c r="X118" s="4">
        <f t="shared" si="15"/>
        <v>1</v>
      </c>
      <c r="Y118" s="111">
        <f t="shared" si="13"/>
        <v>0</v>
      </c>
      <c r="Z118" s="111"/>
      <c r="AA118" s="111">
        <f t="shared" si="11"/>
        <v>0</v>
      </c>
    </row>
    <row r="119" spans="1:27" ht="67.5" customHeight="1" x14ac:dyDescent="0.25">
      <c r="A119" s="49">
        <f t="shared" si="12"/>
        <v>11</v>
      </c>
      <c r="B119" s="230" t="s">
        <v>245</v>
      </c>
      <c r="C119" s="231"/>
      <c r="D119" s="231"/>
      <c r="E119" s="231"/>
      <c r="F119" s="231"/>
      <c r="G119" s="231"/>
      <c r="H119" s="231"/>
      <c r="I119" s="231"/>
      <c r="J119" s="208"/>
      <c r="K119" s="2" t="s">
        <v>48</v>
      </c>
      <c r="L119" s="214" t="s">
        <v>235</v>
      </c>
      <c r="M119" s="215"/>
      <c r="N119" s="215"/>
      <c r="O119" s="227"/>
      <c r="P119" s="377">
        <v>1</v>
      </c>
      <c r="Q119" s="377"/>
      <c r="R119" s="216"/>
      <c r="S119" s="216"/>
      <c r="T119" s="216">
        <f t="shared" si="14"/>
        <v>1</v>
      </c>
      <c r="U119" s="216"/>
      <c r="V119" s="4">
        <v>1</v>
      </c>
      <c r="W119" s="4"/>
      <c r="X119" s="4">
        <f t="shared" si="15"/>
        <v>1</v>
      </c>
      <c r="Y119" s="111">
        <f t="shared" si="13"/>
        <v>0</v>
      </c>
      <c r="Z119" s="111"/>
      <c r="AA119" s="111">
        <f t="shared" si="11"/>
        <v>0</v>
      </c>
    </row>
    <row r="120" spans="1:27" ht="18.95" customHeight="1" x14ac:dyDescent="0.25">
      <c r="A120" s="49"/>
      <c r="B120" s="198" t="s">
        <v>366</v>
      </c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8"/>
      <c r="N120" s="198"/>
      <c r="O120" s="198"/>
      <c r="P120" s="198"/>
      <c r="Q120" s="198"/>
      <c r="R120" s="198"/>
      <c r="S120" s="198"/>
      <c r="T120" s="198"/>
      <c r="U120" s="198"/>
      <c r="V120" s="198"/>
      <c r="W120" s="198"/>
      <c r="X120" s="198"/>
      <c r="Y120" s="198"/>
      <c r="Z120" s="198"/>
      <c r="AA120" s="198"/>
    </row>
    <row r="121" spans="1:27" ht="18.95" customHeight="1" x14ac:dyDescent="0.25">
      <c r="A121" s="49"/>
      <c r="B121" s="198" t="s">
        <v>337</v>
      </c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8"/>
      <c r="N121" s="198"/>
      <c r="O121" s="198"/>
      <c r="P121" s="198"/>
      <c r="Q121" s="198"/>
      <c r="R121" s="198"/>
      <c r="S121" s="198"/>
      <c r="T121" s="198"/>
      <c r="U121" s="198"/>
      <c r="V121" s="198"/>
      <c r="W121" s="198"/>
      <c r="X121" s="198"/>
      <c r="Y121" s="198"/>
      <c r="Z121" s="198"/>
      <c r="AA121" s="198"/>
    </row>
    <row r="122" spans="1:27" ht="18.95" customHeight="1" x14ac:dyDescent="0.25">
      <c r="A122" s="49"/>
      <c r="B122" s="198" t="s">
        <v>367</v>
      </c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</row>
    <row r="123" spans="1:27" ht="19.5" customHeight="1" x14ac:dyDescent="0.25">
      <c r="A123" s="49"/>
      <c r="B123" s="381" t="s">
        <v>190</v>
      </c>
      <c r="C123" s="381"/>
      <c r="D123" s="381"/>
      <c r="E123" s="381"/>
      <c r="F123" s="21"/>
      <c r="G123" s="21"/>
      <c r="H123" s="21"/>
      <c r="I123" s="21"/>
      <c r="J123" s="21"/>
      <c r="K123" s="2"/>
      <c r="L123" s="185"/>
      <c r="M123" s="185"/>
      <c r="N123" s="3"/>
      <c r="O123" s="3"/>
      <c r="P123" s="221"/>
      <c r="Q123" s="221"/>
      <c r="R123" s="221"/>
      <c r="S123" s="221"/>
      <c r="T123" s="221"/>
      <c r="U123" s="221"/>
      <c r="V123" s="39"/>
      <c r="W123" s="39"/>
      <c r="X123" s="39"/>
      <c r="Y123" s="39"/>
      <c r="Z123" s="39"/>
      <c r="AA123" s="39"/>
    </row>
    <row r="124" spans="1:27" ht="33.75" customHeight="1" x14ac:dyDescent="0.25">
      <c r="A124" s="49">
        <v>1</v>
      </c>
      <c r="B124" s="239" t="s">
        <v>247</v>
      </c>
      <c r="C124" s="240"/>
      <c r="D124" s="240"/>
      <c r="E124" s="240"/>
      <c r="F124" s="240"/>
      <c r="G124" s="240"/>
      <c r="H124" s="240"/>
      <c r="I124" s="240"/>
      <c r="J124" s="241"/>
      <c r="K124" s="51" t="s">
        <v>46</v>
      </c>
      <c r="L124" s="185" t="s">
        <v>55</v>
      </c>
      <c r="M124" s="185"/>
      <c r="N124" s="3"/>
      <c r="O124" s="3"/>
      <c r="P124" s="223">
        <f>(6792.56+1029.37+1695.95+457.66+4566.08+421.25-5.25639)/P109*1000</f>
        <v>91272.859139115681</v>
      </c>
      <c r="Q124" s="223"/>
      <c r="R124" s="223"/>
      <c r="S124" s="223"/>
      <c r="T124" s="223">
        <f>P124+R124</f>
        <v>91272.859139115681</v>
      </c>
      <c r="U124" s="223"/>
      <c r="V124" s="77">
        <f>(6792.56+1029.37+1695.95+457.66-0.06841+4566.08+421.25-5.25639)/V109*1000</f>
        <v>91272.441694431225</v>
      </c>
      <c r="W124" s="125"/>
      <c r="X124" s="77">
        <f>V124</f>
        <v>91272.441694431225</v>
      </c>
      <c r="Y124" s="77">
        <f>V124-P124</f>
        <v>-0.41744468445540406</v>
      </c>
      <c r="Z124" s="77"/>
      <c r="AA124" s="77">
        <f>Y124</f>
        <v>-0.41744468445540406</v>
      </c>
    </row>
    <row r="125" spans="1:27" ht="48" customHeight="1" x14ac:dyDescent="0.25">
      <c r="A125" s="49">
        <f>A124+1</f>
        <v>2</v>
      </c>
      <c r="B125" s="239" t="s">
        <v>42</v>
      </c>
      <c r="C125" s="240"/>
      <c r="D125" s="240"/>
      <c r="E125" s="240"/>
      <c r="F125" s="240"/>
      <c r="G125" s="240"/>
      <c r="H125" s="240"/>
      <c r="I125" s="240"/>
      <c r="J125" s="241"/>
      <c r="K125" s="51" t="s">
        <v>46</v>
      </c>
      <c r="L125" s="185" t="s">
        <v>55</v>
      </c>
      <c r="M125" s="185"/>
      <c r="N125" s="3"/>
      <c r="O125" s="3"/>
      <c r="P125" s="223">
        <f>(1146.98+36.62)/P110*1000</f>
        <v>596.27204030226699</v>
      </c>
      <c r="Q125" s="223"/>
      <c r="R125" s="223">
        <f>R97/R110</f>
        <v>2287.1646120377086</v>
      </c>
      <c r="S125" s="223"/>
      <c r="T125" s="223">
        <f t="shared" ref="T125:T131" si="16">P125+R125</f>
        <v>2883.4366523399758</v>
      </c>
      <c r="U125" s="223"/>
      <c r="V125" s="77">
        <f>(1146.98+36.62)/V110*1000</f>
        <v>596.27204030226699</v>
      </c>
      <c r="W125" s="125">
        <f>W97/W110</f>
        <v>2286.2073531544597</v>
      </c>
      <c r="X125" s="77">
        <f>V125</f>
        <v>596.27204030226699</v>
      </c>
      <c r="Y125" s="77">
        <f t="shared" ref="Y125:Y130" si="17">V125-P125</f>
        <v>0</v>
      </c>
      <c r="Z125" s="77">
        <f>W125-R125</f>
        <v>-0.9572588832488691</v>
      </c>
      <c r="AA125" s="77">
        <f t="shared" ref="AA125:AA134" si="18">Y125</f>
        <v>0</v>
      </c>
    </row>
    <row r="126" spans="1:27" ht="34.5" customHeight="1" x14ac:dyDescent="0.25">
      <c r="A126" s="49">
        <f t="shared" ref="A126:A134" si="19">A125+1</f>
        <v>3</v>
      </c>
      <c r="B126" s="239" t="s">
        <v>43</v>
      </c>
      <c r="C126" s="240"/>
      <c r="D126" s="240"/>
      <c r="E126" s="240"/>
      <c r="F126" s="240"/>
      <c r="G126" s="240"/>
      <c r="H126" s="240"/>
      <c r="I126" s="240"/>
      <c r="J126" s="241"/>
      <c r="K126" s="51" t="s">
        <v>46</v>
      </c>
      <c r="L126" s="185" t="s">
        <v>55</v>
      </c>
      <c r="M126" s="185"/>
      <c r="N126" s="3"/>
      <c r="O126" s="3"/>
      <c r="P126" s="223">
        <f>(273.44+437.5+346.5+264.71)/P111*1000</f>
        <v>5225.889328063241</v>
      </c>
      <c r="Q126" s="223"/>
      <c r="R126" s="223"/>
      <c r="S126" s="223"/>
      <c r="T126" s="223">
        <f t="shared" si="16"/>
        <v>5225.889328063241</v>
      </c>
      <c r="U126" s="223"/>
      <c r="V126" s="77">
        <f>(273.44+437.5+346.5+264.71)/V111*1000</f>
        <v>5225.889328063241</v>
      </c>
      <c r="W126" s="125"/>
      <c r="X126" s="77">
        <f t="shared" ref="X126:X134" si="20">V126</f>
        <v>5225.889328063241</v>
      </c>
      <c r="Y126" s="77">
        <f t="shared" si="17"/>
        <v>0</v>
      </c>
      <c r="Z126" s="77"/>
      <c r="AA126" s="77">
        <f t="shared" si="18"/>
        <v>0</v>
      </c>
    </row>
    <row r="127" spans="1:27" ht="36.75" customHeight="1" x14ac:dyDescent="0.25">
      <c r="A127" s="49">
        <f t="shared" si="19"/>
        <v>4</v>
      </c>
      <c r="B127" s="360" t="s">
        <v>248</v>
      </c>
      <c r="C127" s="273"/>
      <c r="D127" s="273"/>
      <c r="E127" s="273"/>
      <c r="F127" s="273"/>
      <c r="G127" s="273"/>
      <c r="H127" s="273"/>
      <c r="I127" s="273"/>
      <c r="J127" s="274"/>
      <c r="K127" s="51" t="s">
        <v>46</v>
      </c>
      <c r="L127" s="185" t="s">
        <v>55</v>
      </c>
      <c r="M127" s="185"/>
      <c r="N127" s="3"/>
      <c r="O127" s="3"/>
      <c r="P127" s="223">
        <f>P96/P112</f>
        <v>15916.929271708685</v>
      </c>
      <c r="Q127" s="223"/>
      <c r="R127" s="223"/>
      <c r="S127" s="223"/>
      <c r="T127" s="223">
        <f t="shared" si="16"/>
        <v>15916.929271708685</v>
      </c>
      <c r="U127" s="223"/>
      <c r="V127" s="77">
        <f>V96/V112</f>
        <v>15916.929271708685</v>
      </c>
      <c r="W127" s="125"/>
      <c r="X127" s="77">
        <f t="shared" si="20"/>
        <v>15916.929271708685</v>
      </c>
      <c r="Y127" s="77">
        <f t="shared" si="17"/>
        <v>0</v>
      </c>
      <c r="Z127" s="77"/>
      <c r="AA127" s="77">
        <f t="shared" si="18"/>
        <v>0</v>
      </c>
    </row>
    <row r="128" spans="1:27" ht="33.75" customHeight="1" x14ac:dyDescent="0.25">
      <c r="A128" s="49">
        <f t="shared" si="19"/>
        <v>5</v>
      </c>
      <c r="B128" s="337" t="s">
        <v>160</v>
      </c>
      <c r="C128" s="282"/>
      <c r="D128" s="282"/>
      <c r="E128" s="282"/>
      <c r="F128" s="282"/>
      <c r="G128" s="282"/>
      <c r="H128" s="282"/>
      <c r="I128" s="282"/>
      <c r="J128" s="270"/>
      <c r="K128" s="51" t="s">
        <v>46</v>
      </c>
      <c r="L128" s="185" t="s">
        <v>55</v>
      </c>
      <c r="M128" s="185"/>
      <c r="N128" s="3"/>
      <c r="O128" s="3"/>
      <c r="P128" s="223">
        <f t="shared" ref="P128:P134" si="21">P98/P113</f>
        <v>1087.8762238607519</v>
      </c>
      <c r="Q128" s="223"/>
      <c r="R128" s="223"/>
      <c r="S128" s="223"/>
      <c r="T128" s="223">
        <f t="shared" si="16"/>
        <v>1087.8762238607519</v>
      </c>
      <c r="U128" s="223"/>
      <c r="V128" s="77">
        <f t="shared" ref="V128:V134" si="22">V98/V113</f>
        <v>1149.1688633461047</v>
      </c>
      <c r="W128" s="125"/>
      <c r="X128" s="77">
        <f t="shared" si="20"/>
        <v>1149.1688633461047</v>
      </c>
      <c r="Y128" s="77">
        <f t="shared" si="17"/>
        <v>61.292639485352765</v>
      </c>
      <c r="Z128" s="77"/>
      <c r="AA128" s="77">
        <f t="shared" si="18"/>
        <v>61.292639485352765</v>
      </c>
    </row>
    <row r="129" spans="1:27" ht="33.75" customHeight="1" x14ac:dyDescent="0.25">
      <c r="A129" s="49">
        <f t="shared" si="19"/>
        <v>6</v>
      </c>
      <c r="B129" s="337" t="s">
        <v>161</v>
      </c>
      <c r="C129" s="282"/>
      <c r="D129" s="282"/>
      <c r="E129" s="282"/>
      <c r="F129" s="282"/>
      <c r="G129" s="282"/>
      <c r="H129" s="282"/>
      <c r="I129" s="282"/>
      <c r="J129" s="270"/>
      <c r="K129" s="2" t="s">
        <v>46</v>
      </c>
      <c r="L129" s="185" t="s">
        <v>55</v>
      </c>
      <c r="M129" s="185"/>
      <c r="N129" s="3"/>
      <c r="O129" s="3"/>
      <c r="P129" s="223">
        <f t="shared" si="21"/>
        <v>294.10511363636363</v>
      </c>
      <c r="Q129" s="223"/>
      <c r="R129" s="223"/>
      <c r="S129" s="223"/>
      <c r="T129" s="223">
        <f t="shared" si="16"/>
        <v>294.10511363636363</v>
      </c>
      <c r="U129" s="223"/>
      <c r="V129" s="77">
        <f t="shared" si="22"/>
        <v>148.85110071942447</v>
      </c>
      <c r="W129" s="125"/>
      <c r="X129" s="77">
        <f t="shared" si="20"/>
        <v>148.85110071942447</v>
      </c>
      <c r="Y129" s="77">
        <f t="shared" si="17"/>
        <v>-145.25401291693916</v>
      </c>
      <c r="Z129" s="77"/>
      <c r="AA129" s="77">
        <f t="shared" si="18"/>
        <v>-145.25401291693916</v>
      </c>
    </row>
    <row r="130" spans="1:27" ht="33.75" customHeight="1" x14ac:dyDescent="0.25">
      <c r="A130" s="49">
        <f t="shared" si="19"/>
        <v>7</v>
      </c>
      <c r="B130" s="337" t="s">
        <v>162</v>
      </c>
      <c r="C130" s="282"/>
      <c r="D130" s="282"/>
      <c r="E130" s="282"/>
      <c r="F130" s="282"/>
      <c r="G130" s="282"/>
      <c r="H130" s="282"/>
      <c r="I130" s="282"/>
      <c r="J130" s="270"/>
      <c r="K130" s="2" t="s">
        <v>46</v>
      </c>
      <c r="L130" s="185" t="s">
        <v>55</v>
      </c>
      <c r="M130" s="185"/>
      <c r="N130" s="3"/>
      <c r="O130" s="3"/>
      <c r="P130" s="223">
        <f t="shared" si="21"/>
        <v>14445.642857142857</v>
      </c>
      <c r="Q130" s="223"/>
      <c r="R130" s="223"/>
      <c r="S130" s="223"/>
      <c r="T130" s="223">
        <f t="shared" si="16"/>
        <v>14445.642857142857</v>
      </c>
      <c r="U130" s="223"/>
      <c r="V130" s="77">
        <f t="shared" si="22"/>
        <v>14248.856428571427</v>
      </c>
      <c r="W130" s="125"/>
      <c r="X130" s="77">
        <f>W130</f>
        <v>0</v>
      </c>
      <c r="Y130" s="77">
        <f t="shared" si="17"/>
        <v>-196.7864285714295</v>
      </c>
      <c r="Z130" s="77"/>
      <c r="AA130" s="77">
        <f>Z130</f>
        <v>0</v>
      </c>
    </row>
    <row r="131" spans="1:27" ht="33.75" customHeight="1" x14ac:dyDescent="0.25">
      <c r="A131" s="49">
        <f t="shared" si="19"/>
        <v>8</v>
      </c>
      <c r="B131" s="361" t="s">
        <v>249</v>
      </c>
      <c r="C131" s="362"/>
      <c r="D131" s="362"/>
      <c r="E131" s="362"/>
      <c r="F131" s="362"/>
      <c r="G131" s="362"/>
      <c r="H131" s="362"/>
      <c r="I131" s="362"/>
      <c r="J131" s="299"/>
      <c r="K131" s="2" t="s">
        <v>46</v>
      </c>
      <c r="L131" s="185" t="s">
        <v>55</v>
      </c>
      <c r="M131" s="185"/>
      <c r="N131" s="3"/>
      <c r="O131" s="3"/>
      <c r="P131" s="223">
        <f t="shared" si="21"/>
        <v>14937.715</v>
      </c>
      <c r="Q131" s="223"/>
      <c r="R131" s="223"/>
      <c r="S131" s="223"/>
      <c r="T131" s="223">
        <f t="shared" si="16"/>
        <v>14937.715</v>
      </c>
      <c r="U131" s="223"/>
      <c r="V131" s="77">
        <f t="shared" si="22"/>
        <v>14924.61</v>
      </c>
      <c r="W131" s="125"/>
      <c r="X131" s="77">
        <f t="shared" si="20"/>
        <v>14924.61</v>
      </c>
      <c r="Y131" s="77">
        <f>V131-P131</f>
        <v>-13.104999999999563</v>
      </c>
      <c r="Z131" s="77"/>
      <c r="AA131" s="77">
        <f t="shared" si="18"/>
        <v>-13.104999999999563</v>
      </c>
    </row>
    <row r="132" spans="1:27" ht="21" customHeight="1" x14ac:dyDescent="0.25">
      <c r="A132" s="49">
        <f t="shared" si="19"/>
        <v>9</v>
      </c>
      <c r="B132" s="361" t="s">
        <v>250</v>
      </c>
      <c r="C132" s="362"/>
      <c r="D132" s="362"/>
      <c r="E132" s="362"/>
      <c r="F132" s="362"/>
      <c r="G132" s="362"/>
      <c r="H132" s="362"/>
      <c r="I132" s="362"/>
      <c r="J132" s="299"/>
      <c r="K132" s="2" t="s">
        <v>46</v>
      </c>
      <c r="L132" s="185" t="s">
        <v>55</v>
      </c>
      <c r="M132" s="185"/>
      <c r="N132" s="63"/>
      <c r="O132" s="63"/>
      <c r="P132" s="228">
        <f t="shared" si="21"/>
        <v>743.71999999999991</v>
      </c>
      <c r="Q132" s="228"/>
      <c r="R132" s="223"/>
      <c r="S132" s="223"/>
      <c r="T132" s="223">
        <f>P132+R132</f>
        <v>743.71999999999991</v>
      </c>
      <c r="U132" s="223"/>
      <c r="V132" s="77">
        <f t="shared" si="22"/>
        <v>661.12800664451822</v>
      </c>
      <c r="W132" s="125"/>
      <c r="X132" s="77">
        <f t="shared" si="20"/>
        <v>661.12800664451822</v>
      </c>
      <c r="Y132" s="77">
        <f>V132-P132</f>
        <v>-82.591993355481691</v>
      </c>
      <c r="Z132" s="77"/>
      <c r="AA132" s="77">
        <f t="shared" si="18"/>
        <v>-82.591993355481691</v>
      </c>
    </row>
    <row r="133" spans="1:27" ht="33.75" customHeight="1" x14ac:dyDescent="0.25">
      <c r="A133" s="49">
        <f t="shared" si="19"/>
        <v>10</v>
      </c>
      <c r="B133" s="337" t="s">
        <v>251</v>
      </c>
      <c r="C133" s="282"/>
      <c r="D133" s="282"/>
      <c r="E133" s="282"/>
      <c r="F133" s="282"/>
      <c r="G133" s="282"/>
      <c r="H133" s="282"/>
      <c r="I133" s="282"/>
      <c r="J133" s="270"/>
      <c r="K133" s="2" t="s">
        <v>46</v>
      </c>
      <c r="L133" s="185" t="s">
        <v>55</v>
      </c>
      <c r="M133" s="185"/>
      <c r="N133" s="63"/>
      <c r="O133" s="63"/>
      <c r="P133" s="228">
        <f t="shared" si="21"/>
        <v>254600</v>
      </c>
      <c r="Q133" s="228"/>
      <c r="R133" s="223"/>
      <c r="S133" s="223"/>
      <c r="T133" s="223">
        <f>P133+R133</f>
        <v>254600</v>
      </c>
      <c r="U133" s="223"/>
      <c r="V133" s="77">
        <f t="shared" si="22"/>
        <v>254600</v>
      </c>
      <c r="W133" s="125"/>
      <c r="X133" s="77">
        <f t="shared" si="20"/>
        <v>254600</v>
      </c>
      <c r="Y133" s="77">
        <f>V133-P133</f>
        <v>0</v>
      </c>
      <c r="Z133" s="77"/>
      <c r="AA133" s="77">
        <f t="shared" si="18"/>
        <v>0</v>
      </c>
    </row>
    <row r="134" spans="1:27" ht="49.5" customHeight="1" x14ac:dyDescent="0.25">
      <c r="A134" s="49">
        <f t="shared" si="19"/>
        <v>11</v>
      </c>
      <c r="B134" s="337" t="s">
        <v>252</v>
      </c>
      <c r="C134" s="282"/>
      <c r="D134" s="282"/>
      <c r="E134" s="282"/>
      <c r="F134" s="282"/>
      <c r="G134" s="282"/>
      <c r="H134" s="282"/>
      <c r="I134" s="282"/>
      <c r="J134" s="270"/>
      <c r="K134" s="2" t="s">
        <v>46</v>
      </c>
      <c r="L134" s="185" t="s">
        <v>55</v>
      </c>
      <c r="M134" s="185"/>
      <c r="N134" s="63"/>
      <c r="O134" s="63"/>
      <c r="P134" s="228">
        <f t="shared" si="21"/>
        <v>12000</v>
      </c>
      <c r="Q134" s="228"/>
      <c r="R134" s="223"/>
      <c r="S134" s="223"/>
      <c r="T134" s="223">
        <f>P134+R134</f>
        <v>12000</v>
      </c>
      <c r="U134" s="223"/>
      <c r="V134" s="77">
        <f t="shared" si="22"/>
        <v>11596.1</v>
      </c>
      <c r="W134" s="125"/>
      <c r="X134" s="77">
        <f t="shared" si="20"/>
        <v>11596.1</v>
      </c>
      <c r="Y134" s="77">
        <f>V134-P134</f>
        <v>-403.89999999999964</v>
      </c>
      <c r="Z134" s="77"/>
      <c r="AA134" s="77">
        <f t="shared" si="18"/>
        <v>-403.89999999999964</v>
      </c>
    </row>
    <row r="135" spans="1:27" ht="18.95" customHeight="1" x14ac:dyDescent="0.25">
      <c r="A135" s="49"/>
      <c r="B135" s="198" t="s">
        <v>369</v>
      </c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  <c r="P135" s="198"/>
      <c r="Q135" s="198"/>
      <c r="R135" s="198"/>
      <c r="S135" s="198"/>
      <c r="T135" s="198"/>
      <c r="U135" s="198"/>
      <c r="V135" s="198"/>
      <c r="W135" s="198"/>
      <c r="X135" s="198"/>
      <c r="Y135" s="198"/>
      <c r="Z135" s="198"/>
      <c r="AA135" s="198"/>
    </row>
    <row r="136" spans="1:27" ht="33.75" customHeight="1" x14ac:dyDescent="0.25">
      <c r="A136" s="49"/>
      <c r="B136" s="198" t="s">
        <v>389</v>
      </c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  <c r="P136" s="198"/>
      <c r="Q136" s="198"/>
      <c r="R136" s="198"/>
      <c r="S136" s="198"/>
      <c r="T136" s="198"/>
      <c r="U136" s="198"/>
      <c r="V136" s="198"/>
      <c r="W136" s="198"/>
      <c r="X136" s="198"/>
      <c r="Y136" s="198"/>
      <c r="Z136" s="198"/>
      <c r="AA136" s="198"/>
    </row>
    <row r="137" spans="1:27" ht="18.95" customHeight="1" x14ac:dyDescent="0.25">
      <c r="A137" s="49"/>
      <c r="B137" s="198" t="s">
        <v>386</v>
      </c>
      <c r="C137" s="198"/>
      <c r="D137" s="198"/>
      <c r="E137" s="198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  <c r="P137" s="198"/>
      <c r="Q137" s="198"/>
      <c r="R137" s="198"/>
      <c r="S137" s="198"/>
      <c r="T137" s="198"/>
      <c r="U137" s="198"/>
      <c r="V137" s="198"/>
      <c r="W137" s="198"/>
      <c r="X137" s="198"/>
      <c r="Y137" s="198"/>
      <c r="Z137" s="198"/>
      <c r="AA137" s="198"/>
    </row>
    <row r="138" spans="1:27" ht="18.95" customHeight="1" x14ac:dyDescent="0.25">
      <c r="A138" s="49"/>
      <c r="B138" s="198" t="s">
        <v>387</v>
      </c>
      <c r="C138" s="198"/>
      <c r="D138" s="198"/>
      <c r="E138" s="198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8"/>
      <c r="Z138" s="198"/>
      <c r="AA138" s="198"/>
    </row>
    <row r="139" spans="1:27" ht="18.95" customHeight="1" x14ac:dyDescent="0.25">
      <c r="A139" s="49"/>
      <c r="B139" s="198" t="s">
        <v>368</v>
      </c>
      <c r="C139" s="198"/>
      <c r="D139" s="198"/>
      <c r="E139" s="198"/>
      <c r="F139" s="198"/>
      <c r="G139" s="198"/>
      <c r="H139" s="198"/>
      <c r="I139" s="198"/>
      <c r="J139" s="198"/>
      <c r="K139" s="198"/>
      <c r="L139" s="198"/>
      <c r="M139" s="198"/>
      <c r="N139" s="198"/>
      <c r="O139" s="198"/>
      <c r="P139" s="198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</row>
    <row r="140" spans="1:27" ht="18.95" customHeight="1" x14ac:dyDescent="0.25">
      <c r="A140" s="49"/>
      <c r="B140" s="198" t="s">
        <v>388</v>
      </c>
      <c r="C140" s="198"/>
      <c r="D140" s="198"/>
      <c r="E140" s="198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  <c r="P140" s="198"/>
      <c r="Q140" s="198"/>
      <c r="R140" s="198"/>
      <c r="S140" s="198"/>
      <c r="T140" s="198"/>
      <c r="U140" s="198"/>
      <c r="V140" s="198"/>
      <c r="W140" s="198"/>
      <c r="X140" s="198"/>
      <c r="Y140" s="198"/>
      <c r="Z140" s="198"/>
      <c r="AA140" s="198"/>
    </row>
    <row r="141" spans="1:27" ht="18.75" customHeight="1" x14ac:dyDescent="0.25">
      <c r="A141" s="49"/>
      <c r="B141" s="414" t="s">
        <v>191</v>
      </c>
      <c r="C141" s="414"/>
      <c r="D141" s="414"/>
      <c r="E141" s="414"/>
      <c r="F141" s="53"/>
      <c r="G141" s="53"/>
      <c r="H141" s="53"/>
      <c r="I141" s="53"/>
      <c r="J141" s="53"/>
      <c r="K141" s="54"/>
      <c r="L141" s="312"/>
      <c r="M141" s="413"/>
      <c r="N141" s="55"/>
      <c r="O141" s="55"/>
      <c r="P141" s="399"/>
      <c r="Q141" s="399"/>
      <c r="R141" s="399"/>
      <c r="S141" s="399"/>
      <c r="T141" s="399"/>
      <c r="U141" s="399"/>
    </row>
    <row r="142" spans="1:27" ht="51" customHeight="1" x14ac:dyDescent="0.25">
      <c r="A142" s="49">
        <f>1</f>
        <v>1</v>
      </c>
      <c r="B142" s="360" t="s">
        <v>253</v>
      </c>
      <c r="C142" s="273"/>
      <c r="D142" s="273"/>
      <c r="E142" s="273"/>
      <c r="F142" s="273"/>
      <c r="G142" s="273"/>
      <c r="H142" s="273"/>
      <c r="I142" s="273"/>
      <c r="J142" s="274"/>
      <c r="K142" s="2" t="s">
        <v>50</v>
      </c>
      <c r="L142" s="185" t="s">
        <v>55</v>
      </c>
      <c r="M142" s="185"/>
      <c r="N142" s="3"/>
      <c r="O142" s="3"/>
      <c r="P142" s="222">
        <f>P109/163.878*100</f>
        <v>100.00000000000003</v>
      </c>
      <c r="Q142" s="222"/>
      <c r="R142" s="222"/>
      <c r="S142" s="222"/>
      <c r="T142" s="222">
        <f t="shared" ref="T142:T147" si="23">P142</f>
        <v>100.00000000000003</v>
      </c>
      <c r="U142" s="222"/>
      <c r="V142" s="124">
        <f>V109/163.878*100</f>
        <v>100.00000000000003</v>
      </c>
      <c r="W142" s="124"/>
      <c r="X142" s="124">
        <f t="shared" ref="X142:X151" si="24">V142</f>
        <v>100.00000000000003</v>
      </c>
      <c r="Y142" s="124">
        <f t="shared" ref="Y142:Y151" si="25">V142-P142</f>
        <v>0</v>
      </c>
      <c r="Z142" s="124"/>
      <c r="AA142" s="124">
        <f t="shared" ref="AA142:AA151" si="26">Y142</f>
        <v>0</v>
      </c>
    </row>
    <row r="143" spans="1:27" ht="80.25" customHeight="1" x14ac:dyDescent="0.25">
      <c r="A143" s="49">
        <f t="shared" ref="A143:A151" si="27">1+A142</f>
        <v>2</v>
      </c>
      <c r="B143" s="360" t="s">
        <v>254</v>
      </c>
      <c r="C143" s="273"/>
      <c r="D143" s="273"/>
      <c r="E143" s="273"/>
      <c r="F143" s="273"/>
      <c r="G143" s="273"/>
      <c r="H143" s="273"/>
      <c r="I143" s="273"/>
      <c r="J143" s="274"/>
      <c r="K143" s="2" t="s">
        <v>50</v>
      </c>
      <c r="L143" s="185" t="s">
        <v>55</v>
      </c>
      <c r="M143" s="185"/>
      <c r="N143" s="3"/>
      <c r="O143" s="3"/>
      <c r="P143" s="222">
        <f>P110/1985*100</f>
        <v>100</v>
      </c>
      <c r="Q143" s="222"/>
      <c r="R143" s="222">
        <f>R110/1379*100</f>
        <v>100</v>
      </c>
      <c r="S143" s="222"/>
      <c r="T143" s="222">
        <f t="shared" si="23"/>
        <v>100</v>
      </c>
      <c r="U143" s="222"/>
      <c r="V143" s="124">
        <f>V110/1985*100</f>
        <v>100</v>
      </c>
      <c r="W143" s="124">
        <f>W110/1379*100</f>
        <v>100</v>
      </c>
      <c r="X143" s="124">
        <f t="shared" si="24"/>
        <v>100</v>
      </c>
      <c r="Y143" s="124">
        <f t="shared" si="25"/>
        <v>0</v>
      </c>
      <c r="Z143" s="124">
        <f>W143-R143</f>
        <v>0</v>
      </c>
      <c r="AA143" s="124">
        <f t="shared" si="26"/>
        <v>0</v>
      </c>
    </row>
    <row r="144" spans="1:27" ht="81" customHeight="1" x14ac:dyDescent="0.25">
      <c r="A144" s="49">
        <f t="shared" si="27"/>
        <v>3</v>
      </c>
      <c r="B144" s="360" t="s">
        <v>255</v>
      </c>
      <c r="C144" s="273"/>
      <c r="D144" s="273"/>
      <c r="E144" s="273"/>
      <c r="F144" s="273"/>
      <c r="G144" s="273"/>
      <c r="H144" s="273"/>
      <c r="I144" s="273"/>
      <c r="J144" s="274"/>
      <c r="K144" s="2" t="s">
        <v>50</v>
      </c>
      <c r="L144" s="185" t="s">
        <v>55</v>
      </c>
      <c r="M144" s="185"/>
      <c r="N144" s="3"/>
      <c r="O144" s="3"/>
      <c r="P144" s="222">
        <f>P111/253*100</f>
        <v>100</v>
      </c>
      <c r="Q144" s="222"/>
      <c r="R144" s="222"/>
      <c r="S144" s="222"/>
      <c r="T144" s="222">
        <f t="shared" si="23"/>
        <v>100</v>
      </c>
      <c r="U144" s="222"/>
      <c r="V144" s="124">
        <f>V111/253*100</f>
        <v>100</v>
      </c>
      <c r="W144" s="124"/>
      <c r="X144" s="124">
        <f t="shared" si="24"/>
        <v>100</v>
      </c>
      <c r="Y144" s="124">
        <f t="shared" si="25"/>
        <v>0</v>
      </c>
      <c r="Z144" s="124"/>
      <c r="AA144" s="124">
        <f t="shared" si="26"/>
        <v>0</v>
      </c>
    </row>
    <row r="145" spans="1:27" ht="51" customHeight="1" x14ac:dyDescent="0.25">
      <c r="A145" s="49">
        <f t="shared" si="27"/>
        <v>4</v>
      </c>
      <c r="B145" s="242" t="s">
        <v>256</v>
      </c>
      <c r="C145" s="243"/>
      <c r="D145" s="243"/>
      <c r="E145" s="243"/>
      <c r="F145" s="243"/>
      <c r="G145" s="243"/>
      <c r="H145" s="243"/>
      <c r="I145" s="243"/>
      <c r="J145" s="244"/>
      <c r="K145" s="2" t="s">
        <v>50</v>
      </c>
      <c r="L145" s="185" t="s">
        <v>55</v>
      </c>
      <c r="M145" s="185"/>
      <c r="N145" s="3"/>
      <c r="O145" s="3"/>
      <c r="P145" s="222">
        <f>P112/22.848*100</f>
        <v>100</v>
      </c>
      <c r="Q145" s="222"/>
      <c r="R145" s="222"/>
      <c r="S145" s="222"/>
      <c r="T145" s="222">
        <f t="shared" si="23"/>
        <v>100</v>
      </c>
      <c r="U145" s="222"/>
      <c r="V145" s="124">
        <f>V112/22.848*100</f>
        <v>100</v>
      </c>
      <c r="W145" s="124"/>
      <c r="X145" s="124">
        <f t="shared" si="24"/>
        <v>100</v>
      </c>
      <c r="Y145" s="124">
        <f t="shared" si="25"/>
        <v>0</v>
      </c>
      <c r="Z145" s="124"/>
      <c r="AA145" s="124">
        <f t="shared" si="26"/>
        <v>0</v>
      </c>
    </row>
    <row r="146" spans="1:27" ht="48" customHeight="1" x14ac:dyDescent="0.25">
      <c r="A146" s="49">
        <f t="shared" si="27"/>
        <v>5</v>
      </c>
      <c r="B146" s="325" t="s">
        <v>257</v>
      </c>
      <c r="C146" s="325"/>
      <c r="D146" s="325"/>
      <c r="E146" s="325"/>
      <c r="F146" s="325"/>
      <c r="G146" s="325"/>
      <c r="H146" s="325"/>
      <c r="I146" s="325"/>
      <c r="J146" s="325"/>
      <c r="K146" s="2" t="s">
        <v>50</v>
      </c>
      <c r="L146" s="185" t="s">
        <v>55</v>
      </c>
      <c r="M146" s="185"/>
      <c r="N146" s="3"/>
      <c r="O146" s="3"/>
      <c r="P146" s="222">
        <f>P113/827.3*100</f>
        <v>100</v>
      </c>
      <c r="Q146" s="222"/>
      <c r="R146" s="222"/>
      <c r="S146" s="222"/>
      <c r="T146" s="222">
        <f t="shared" si="23"/>
        <v>100</v>
      </c>
      <c r="U146" s="222"/>
      <c r="V146" s="124">
        <f>V113/783*100</f>
        <v>100</v>
      </c>
      <c r="W146" s="124"/>
      <c r="X146" s="124">
        <f t="shared" si="24"/>
        <v>100</v>
      </c>
      <c r="Y146" s="124">
        <f t="shared" si="25"/>
        <v>0</v>
      </c>
      <c r="Z146" s="124"/>
      <c r="AA146" s="124">
        <f t="shared" si="26"/>
        <v>0</v>
      </c>
    </row>
    <row r="147" spans="1:27" ht="48.75" customHeight="1" x14ac:dyDescent="0.25">
      <c r="A147" s="49">
        <f t="shared" si="27"/>
        <v>6</v>
      </c>
      <c r="B147" s="325" t="s">
        <v>258</v>
      </c>
      <c r="C147" s="325"/>
      <c r="D147" s="325"/>
      <c r="E147" s="325"/>
      <c r="F147" s="325"/>
      <c r="G147" s="325"/>
      <c r="H147" s="325"/>
      <c r="I147" s="325"/>
      <c r="J147" s="325"/>
      <c r="K147" s="2" t="s">
        <v>50</v>
      </c>
      <c r="L147" s="185" t="s">
        <v>55</v>
      </c>
      <c r="M147" s="185"/>
      <c r="N147" s="3"/>
      <c r="O147" s="3"/>
      <c r="P147" s="222">
        <f>P114/1408*100</f>
        <v>100</v>
      </c>
      <c r="Q147" s="222"/>
      <c r="R147" s="222"/>
      <c r="S147" s="222"/>
      <c r="T147" s="222">
        <f t="shared" si="23"/>
        <v>100</v>
      </c>
      <c r="U147" s="222"/>
      <c r="V147" s="124">
        <f>V114/2780*100</f>
        <v>100</v>
      </c>
      <c r="W147" s="124"/>
      <c r="X147" s="124">
        <f t="shared" si="24"/>
        <v>100</v>
      </c>
      <c r="Y147" s="124">
        <f t="shared" si="25"/>
        <v>0</v>
      </c>
      <c r="Z147" s="124"/>
      <c r="AA147" s="124">
        <f t="shared" si="26"/>
        <v>0</v>
      </c>
    </row>
    <row r="148" spans="1:27" ht="68.25" customHeight="1" x14ac:dyDescent="0.25">
      <c r="A148" s="49">
        <f t="shared" si="27"/>
        <v>7</v>
      </c>
      <c r="B148" s="325" t="s">
        <v>259</v>
      </c>
      <c r="C148" s="325"/>
      <c r="D148" s="325"/>
      <c r="E148" s="325"/>
      <c r="F148" s="325"/>
      <c r="G148" s="325"/>
      <c r="H148" s="325"/>
      <c r="I148" s="325"/>
      <c r="J148" s="325"/>
      <c r="K148" s="2" t="s">
        <v>50</v>
      </c>
      <c r="L148" s="185" t="s">
        <v>55</v>
      </c>
      <c r="M148" s="185"/>
      <c r="N148" s="3"/>
      <c r="O148" s="3"/>
      <c r="P148" s="222">
        <f>P115/14*100</f>
        <v>100</v>
      </c>
      <c r="Q148" s="222"/>
      <c r="R148" s="222"/>
      <c r="S148" s="222"/>
      <c r="T148" s="222">
        <f>P148</f>
        <v>100</v>
      </c>
      <c r="U148" s="222"/>
      <c r="V148" s="124">
        <f>V115/14*100</f>
        <v>100</v>
      </c>
      <c r="W148" s="124"/>
      <c r="X148" s="124">
        <f t="shared" si="24"/>
        <v>100</v>
      </c>
      <c r="Y148" s="124">
        <f t="shared" si="25"/>
        <v>0</v>
      </c>
      <c r="Z148" s="124"/>
      <c r="AA148" s="124">
        <f t="shared" si="26"/>
        <v>0</v>
      </c>
    </row>
    <row r="149" spans="1:27" ht="65.25" customHeight="1" x14ac:dyDescent="0.25">
      <c r="A149" s="49">
        <f t="shared" si="27"/>
        <v>8</v>
      </c>
      <c r="B149" s="325" t="s">
        <v>260</v>
      </c>
      <c r="C149" s="325"/>
      <c r="D149" s="325"/>
      <c r="E149" s="325"/>
      <c r="F149" s="325"/>
      <c r="G149" s="325"/>
      <c r="H149" s="325"/>
      <c r="I149" s="325"/>
      <c r="J149" s="325"/>
      <c r="K149" s="2" t="s">
        <v>50</v>
      </c>
      <c r="L149" s="185" t="s">
        <v>55</v>
      </c>
      <c r="M149" s="185"/>
      <c r="N149" s="66"/>
      <c r="O149" s="66"/>
      <c r="P149" s="222">
        <f>P116/2*100</f>
        <v>100</v>
      </c>
      <c r="Q149" s="222"/>
      <c r="R149" s="222"/>
      <c r="S149" s="222"/>
      <c r="T149" s="222">
        <f>P149</f>
        <v>100</v>
      </c>
      <c r="U149" s="222"/>
      <c r="V149" s="124">
        <f>V116/2*100</f>
        <v>100</v>
      </c>
      <c r="W149" s="124"/>
      <c r="X149" s="124">
        <f t="shared" si="24"/>
        <v>100</v>
      </c>
      <c r="Y149" s="124">
        <f t="shared" si="25"/>
        <v>0</v>
      </c>
      <c r="Z149" s="124"/>
      <c r="AA149" s="124">
        <f t="shared" si="26"/>
        <v>0</v>
      </c>
    </row>
    <row r="150" spans="1:27" ht="50.25" customHeight="1" x14ac:dyDescent="0.25">
      <c r="A150" s="49">
        <f t="shared" si="27"/>
        <v>9</v>
      </c>
      <c r="B150" s="325" t="s">
        <v>261</v>
      </c>
      <c r="C150" s="325"/>
      <c r="D150" s="325"/>
      <c r="E150" s="325"/>
      <c r="F150" s="325"/>
      <c r="G150" s="325"/>
      <c r="H150" s="325"/>
      <c r="I150" s="325"/>
      <c r="J150" s="325"/>
      <c r="K150" s="2" t="s">
        <v>50</v>
      </c>
      <c r="L150" s="185" t="s">
        <v>55</v>
      </c>
      <c r="M150" s="185"/>
      <c r="N150" s="66"/>
      <c r="O150" s="66"/>
      <c r="P150" s="222">
        <f>P117/268*100</f>
        <v>100</v>
      </c>
      <c r="Q150" s="222"/>
      <c r="R150" s="222"/>
      <c r="S150" s="222"/>
      <c r="T150" s="222">
        <f>P150</f>
        <v>100</v>
      </c>
      <c r="U150" s="222"/>
      <c r="V150" s="124">
        <f>V117/301*100</f>
        <v>100</v>
      </c>
      <c r="W150" s="124"/>
      <c r="X150" s="124">
        <f t="shared" si="24"/>
        <v>100</v>
      </c>
      <c r="Y150" s="124">
        <f t="shared" si="25"/>
        <v>0</v>
      </c>
      <c r="Z150" s="124"/>
      <c r="AA150" s="124">
        <f t="shared" si="26"/>
        <v>0</v>
      </c>
    </row>
    <row r="151" spans="1:27" ht="66" customHeight="1" x14ac:dyDescent="0.25">
      <c r="A151" s="49">
        <f t="shared" si="27"/>
        <v>10</v>
      </c>
      <c r="B151" s="325" t="s">
        <v>262</v>
      </c>
      <c r="C151" s="325"/>
      <c r="D151" s="325"/>
      <c r="E151" s="325"/>
      <c r="F151" s="325"/>
      <c r="G151" s="325"/>
      <c r="H151" s="325"/>
      <c r="I151" s="325"/>
      <c r="J151" s="325"/>
      <c r="K151" s="2" t="s">
        <v>50</v>
      </c>
      <c r="L151" s="185" t="s">
        <v>55</v>
      </c>
      <c r="M151" s="185"/>
      <c r="N151" s="66"/>
      <c r="O151" s="66"/>
      <c r="P151" s="222">
        <f>P118/1*100</f>
        <v>100</v>
      </c>
      <c r="Q151" s="222"/>
      <c r="R151" s="222"/>
      <c r="S151" s="222"/>
      <c r="T151" s="222">
        <f>P151</f>
        <v>100</v>
      </c>
      <c r="U151" s="222"/>
      <c r="V151" s="124">
        <f>V118/1*100</f>
        <v>100</v>
      </c>
      <c r="W151" s="124"/>
      <c r="X151" s="124">
        <f t="shared" si="24"/>
        <v>100</v>
      </c>
      <c r="Y151" s="124">
        <f t="shared" si="25"/>
        <v>0</v>
      </c>
      <c r="Z151" s="124"/>
      <c r="AA151" s="124">
        <f t="shared" si="26"/>
        <v>0</v>
      </c>
    </row>
    <row r="152" spans="1:27" ht="20.100000000000001" customHeight="1" x14ac:dyDescent="0.25">
      <c r="A152" s="49"/>
      <c r="B152" s="349" t="s">
        <v>30</v>
      </c>
      <c r="C152" s="349"/>
      <c r="D152" s="349"/>
      <c r="E152" s="349"/>
      <c r="F152" s="349"/>
      <c r="G152" s="349"/>
      <c r="H152" s="349"/>
      <c r="I152" s="349"/>
      <c r="J152" s="349"/>
      <c r="K152" s="349"/>
      <c r="L152" s="349"/>
      <c r="M152" s="349"/>
      <c r="N152" s="350"/>
      <c r="O152" s="350"/>
      <c r="P152" s="350"/>
      <c r="Q152" s="351"/>
      <c r="R152" s="221"/>
      <c r="S152" s="221"/>
      <c r="T152" s="221"/>
      <c r="U152" s="221"/>
      <c r="V152" s="46"/>
      <c r="W152" s="46"/>
      <c r="X152" s="46"/>
      <c r="Y152" s="46"/>
      <c r="Z152" s="46"/>
      <c r="AA152" s="46"/>
    </row>
    <row r="153" spans="1:27" ht="20.100000000000001" customHeight="1" x14ac:dyDescent="0.25">
      <c r="A153" s="49"/>
      <c r="B153" s="288" t="s">
        <v>188</v>
      </c>
      <c r="C153" s="288"/>
      <c r="D153" s="288"/>
      <c r="E153" s="288"/>
      <c r="F153" s="18"/>
      <c r="G153" s="18"/>
      <c r="H153" s="18"/>
      <c r="I153" s="18"/>
      <c r="J153" s="18"/>
      <c r="K153" s="2"/>
      <c r="L153" s="185"/>
      <c r="M153" s="185"/>
      <c r="N153" s="3"/>
      <c r="O153" s="3"/>
      <c r="P153" s="220"/>
      <c r="Q153" s="383"/>
      <c r="R153" s="384"/>
      <c r="S153" s="384"/>
      <c r="T153" s="384"/>
      <c r="U153" s="384"/>
      <c r="V153" s="56"/>
      <c r="W153" s="56"/>
      <c r="X153" s="56"/>
      <c r="Y153" s="56"/>
      <c r="Z153" s="56"/>
      <c r="AA153" s="56"/>
    </row>
    <row r="154" spans="1:27" ht="20.100000000000001" customHeight="1" x14ac:dyDescent="0.25">
      <c r="A154" s="49"/>
      <c r="B154" s="180" t="s">
        <v>56</v>
      </c>
      <c r="C154" s="180"/>
      <c r="D154" s="180"/>
      <c r="E154" s="180"/>
      <c r="F154" s="15"/>
      <c r="G154" s="15"/>
      <c r="H154" s="15"/>
      <c r="I154" s="15"/>
      <c r="J154" s="15"/>
      <c r="K154" s="2" t="s">
        <v>46</v>
      </c>
      <c r="L154" s="185" t="s">
        <v>44</v>
      </c>
      <c r="M154" s="185"/>
      <c r="N154" s="3"/>
      <c r="O154" s="3"/>
      <c r="P154" s="217">
        <f>5713100+600000</f>
        <v>6313100</v>
      </c>
      <c r="Q154" s="219"/>
      <c r="R154" s="226"/>
      <c r="S154" s="226"/>
      <c r="T154" s="291">
        <f>P154</f>
        <v>6313100</v>
      </c>
      <c r="U154" s="226"/>
      <c r="V154" s="1">
        <f>5796541.98+516558.02</f>
        <v>6313100</v>
      </c>
      <c r="W154" s="108"/>
      <c r="X154" s="6">
        <f>V154</f>
        <v>6313100</v>
      </c>
      <c r="Y154" s="6">
        <f>V154-P154</f>
        <v>0</v>
      </c>
      <c r="Z154" s="4"/>
      <c r="AA154" s="6">
        <f>Y154</f>
        <v>0</v>
      </c>
    </row>
    <row r="155" spans="1:27" ht="20.100000000000001" customHeight="1" x14ac:dyDescent="0.25">
      <c r="A155" s="49"/>
      <c r="B155" s="288" t="s">
        <v>189</v>
      </c>
      <c r="C155" s="288"/>
      <c r="D155" s="288"/>
      <c r="E155" s="288"/>
      <c r="F155" s="18"/>
      <c r="G155" s="18"/>
      <c r="H155" s="18"/>
      <c r="I155" s="18"/>
      <c r="J155" s="18"/>
      <c r="K155" s="2"/>
      <c r="L155" s="185"/>
      <c r="M155" s="185"/>
      <c r="N155" s="3"/>
      <c r="O155" s="3"/>
      <c r="P155" s="185"/>
      <c r="Q155" s="185"/>
      <c r="R155" s="226"/>
      <c r="S155" s="226"/>
      <c r="T155" s="291"/>
      <c r="U155" s="226"/>
      <c r="V155" s="4"/>
      <c r="W155" s="4"/>
      <c r="X155" s="6"/>
      <c r="Y155" s="6"/>
      <c r="Z155" s="4"/>
      <c r="AA155" s="6"/>
    </row>
    <row r="156" spans="1:27" ht="35.25" customHeight="1" x14ac:dyDescent="0.25">
      <c r="A156" s="49"/>
      <c r="B156" s="180" t="s">
        <v>58</v>
      </c>
      <c r="C156" s="180"/>
      <c r="D156" s="180"/>
      <c r="E156" s="180"/>
      <c r="F156" s="15"/>
      <c r="G156" s="15"/>
      <c r="H156" s="15"/>
      <c r="I156" s="15"/>
      <c r="J156" s="15"/>
      <c r="K156" s="2" t="s">
        <v>47</v>
      </c>
      <c r="L156" s="185" t="s">
        <v>52</v>
      </c>
      <c r="M156" s="185"/>
      <c r="N156" s="3"/>
      <c r="O156" s="3"/>
      <c r="P156" s="292">
        <v>158</v>
      </c>
      <c r="Q156" s="292"/>
      <c r="R156" s="216"/>
      <c r="S156" s="216"/>
      <c r="T156" s="216">
        <f t="shared" ref="T156:T161" si="28">P156</f>
        <v>158</v>
      </c>
      <c r="U156" s="216"/>
      <c r="V156" s="106">
        <v>158</v>
      </c>
      <c r="W156" s="106"/>
      <c r="X156" s="106">
        <f t="shared" ref="X156:X161" si="29">V156</f>
        <v>158</v>
      </c>
      <c r="Y156" s="6">
        <f t="shared" ref="Y156:Y161" si="30">V156-P156</f>
        <v>0</v>
      </c>
      <c r="Z156" s="4"/>
      <c r="AA156" s="6">
        <f t="shared" ref="AA156:AA161" si="31">Y156</f>
        <v>0</v>
      </c>
    </row>
    <row r="157" spans="1:27" ht="33" customHeight="1" x14ac:dyDescent="0.25">
      <c r="A157" s="49"/>
      <c r="B157" s="180" t="s">
        <v>59</v>
      </c>
      <c r="C157" s="180"/>
      <c r="D157" s="180"/>
      <c r="E157" s="180"/>
      <c r="F157" s="15"/>
      <c r="G157" s="15"/>
      <c r="H157" s="15"/>
      <c r="I157" s="15"/>
      <c r="J157" s="15"/>
      <c r="K157" s="2" t="s">
        <v>47</v>
      </c>
      <c r="L157" s="185" t="s">
        <v>52</v>
      </c>
      <c r="M157" s="185"/>
      <c r="N157" s="3"/>
      <c r="O157" s="3"/>
      <c r="P157" s="292">
        <v>158</v>
      </c>
      <c r="Q157" s="292"/>
      <c r="R157" s="216"/>
      <c r="S157" s="216"/>
      <c r="T157" s="216">
        <f t="shared" si="28"/>
        <v>158</v>
      </c>
      <c r="U157" s="216"/>
      <c r="V157" s="106">
        <v>158</v>
      </c>
      <c r="W157" s="106"/>
      <c r="X157" s="106">
        <f t="shared" si="29"/>
        <v>158</v>
      </c>
      <c r="Y157" s="6">
        <f t="shared" si="30"/>
        <v>0</v>
      </c>
      <c r="Z157" s="4"/>
      <c r="AA157" s="6">
        <f t="shared" si="31"/>
        <v>0</v>
      </c>
    </row>
    <row r="158" spans="1:27" ht="20.100000000000001" customHeight="1" x14ac:dyDescent="0.25">
      <c r="A158" s="49"/>
      <c r="B158" s="288" t="s">
        <v>190</v>
      </c>
      <c r="C158" s="288"/>
      <c r="D158" s="288"/>
      <c r="E158" s="288"/>
      <c r="F158" s="18"/>
      <c r="G158" s="18"/>
      <c r="H158" s="18"/>
      <c r="I158" s="18"/>
      <c r="J158" s="18"/>
      <c r="K158" s="2"/>
      <c r="L158" s="185"/>
      <c r="M158" s="185"/>
      <c r="N158" s="3"/>
      <c r="O158" s="3"/>
      <c r="P158" s="185"/>
      <c r="Q158" s="185"/>
      <c r="R158" s="226"/>
      <c r="S158" s="226"/>
      <c r="T158" s="291"/>
      <c r="U158" s="226"/>
      <c r="V158" s="4"/>
      <c r="W158" s="4"/>
      <c r="X158" s="6"/>
      <c r="Y158" s="6"/>
      <c r="Z158" s="4"/>
      <c r="AA158" s="6"/>
    </row>
    <row r="159" spans="1:27" ht="32.25" customHeight="1" x14ac:dyDescent="0.25">
      <c r="A159" s="49"/>
      <c r="B159" s="208" t="s">
        <v>60</v>
      </c>
      <c r="C159" s="209"/>
      <c r="D159" s="209"/>
      <c r="E159" s="209"/>
      <c r="F159" s="7"/>
      <c r="G159" s="7"/>
      <c r="H159" s="7"/>
      <c r="I159" s="7"/>
      <c r="J159" s="7"/>
      <c r="K159" s="2" t="s">
        <v>46</v>
      </c>
      <c r="L159" s="214" t="s">
        <v>55</v>
      </c>
      <c r="M159" s="215"/>
      <c r="N159" s="17"/>
      <c r="O159" s="17"/>
      <c r="P159" s="268">
        <f>P154/P156</f>
        <v>39956.329113924054</v>
      </c>
      <c r="Q159" s="269"/>
      <c r="R159" s="385"/>
      <c r="S159" s="385"/>
      <c r="T159" s="385">
        <f t="shared" si="28"/>
        <v>39956.329113924054</v>
      </c>
      <c r="U159" s="385"/>
      <c r="V159" s="74">
        <f>V154/V157</f>
        <v>39956.329113924054</v>
      </c>
      <c r="W159" s="74"/>
      <c r="X159" s="74">
        <f t="shared" si="29"/>
        <v>39956.329113924054</v>
      </c>
      <c r="Y159" s="6">
        <f t="shared" si="30"/>
        <v>0</v>
      </c>
      <c r="Z159" s="4"/>
      <c r="AA159" s="6">
        <f t="shared" si="31"/>
        <v>0</v>
      </c>
    </row>
    <row r="160" spans="1:27" ht="20.100000000000001" customHeight="1" x14ac:dyDescent="0.25">
      <c r="A160" s="49"/>
      <c r="B160" s="288" t="s">
        <v>191</v>
      </c>
      <c r="C160" s="288"/>
      <c r="D160" s="288"/>
      <c r="E160" s="288"/>
      <c r="F160" s="18"/>
      <c r="G160" s="18"/>
      <c r="H160" s="18"/>
      <c r="I160" s="18"/>
      <c r="J160" s="18"/>
      <c r="K160" s="2"/>
      <c r="L160" s="185"/>
      <c r="M160" s="185"/>
      <c r="N160" s="3"/>
      <c r="O160" s="3"/>
      <c r="P160" s="185"/>
      <c r="Q160" s="185"/>
      <c r="R160" s="226"/>
      <c r="S160" s="226"/>
      <c r="T160" s="291"/>
      <c r="U160" s="226"/>
      <c r="V160" s="4"/>
      <c r="W160" s="4"/>
      <c r="X160" s="6"/>
      <c r="Y160" s="6"/>
      <c r="Z160" s="4"/>
      <c r="AA160" s="6"/>
    </row>
    <row r="161" spans="1:29" ht="66.75" customHeight="1" x14ac:dyDescent="0.25">
      <c r="A161" s="49"/>
      <c r="B161" s="180" t="s">
        <v>62</v>
      </c>
      <c r="C161" s="180"/>
      <c r="D161" s="180"/>
      <c r="E161" s="180"/>
      <c r="F161" s="15"/>
      <c r="G161" s="15"/>
      <c r="H161" s="15"/>
      <c r="I161" s="15"/>
      <c r="J161" s="15"/>
      <c r="K161" s="3" t="s">
        <v>50</v>
      </c>
      <c r="L161" s="214" t="s">
        <v>55</v>
      </c>
      <c r="M161" s="215"/>
      <c r="N161" s="17"/>
      <c r="O161" s="17"/>
      <c r="P161" s="281">
        <f>P157/P156*100</f>
        <v>100</v>
      </c>
      <c r="Q161" s="281"/>
      <c r="R161" s="226"/>
      <c r="S161" s="226"/>
      <c r="T161" s="291">
        <f t="shared" si="28"/>
        <v>100</v>
      </c>
      <c r="U161" s="226"/>
      <c r="V161" s="69">
        <f>V157/V156*100</f>
        <v>100</v>
      </c>
      <c r="W161" s="4"/>
      <c r="X161" s="6">
        <f t="shared" si="29"/>
        <v>100</v>
      </c>
      <c r="Y161" s="6">
        <f t="shared" si="30"/>
        <v>0</v>
      </c>
      <c r="Z161" s="4"/>
      <c r="AA161" s="6">
        <f t="shared" si="31"/>
        <v>0</v>
      </c>
    </row>
    <row r="162" spans="1:29" ht="20.100000000000001" customHeight="1" x14ac:dyDescent="0.25">
      <c r="A162" s="49"/>
      <c r="B162" s="349" t="s">
        <v>31</v>
      </c>
      <c r="C162" s="349"/>
      <c r="D162" s="349"/>
      <c r="E162" s="349"/>
      <c r="F162" s="349"/>
      <c r="G162" s="349"/>
      <c r="H162" s="349"/>
      <c r="I162" s="349"/>
      <c r="J162" s="349"/>
      <c r="K162" s="349"/>
      <c r="L162" s="349"/>
      <c r="M162" s="349"/>
      <c r="N162" s="349"/>
      <c r="O162" s="349"/>
      <c r="P162" s="349"/>
      <c r="Q162" s="286"/>
      <c r="R162" s="221"/>
      <c r="S162" s="221"/>
      <c r="T162" s="221"/>
      <c r="U162" s="221"/>
      <c r="V162" s="46"/>
      <c r="W162" s="46"/>
      <c r="X162" s="46"/>
      <c r="Y162" s="46"/>
      <c r="Z162" s="46"/>
      <c r="AA162" s="46"/>
    </row>
    <row r="163" spans="1:29" ht="20.100000000000001" customHeight="1" x14ac:dyDescent="0.25">
      <c r="A163" s="49"/>
      <c r="B163" s="288" t="s">
        <v>188</v>
      </c>
      <c r="C163" s="288"/>
      <c r="D163" s="288"/>
      <c r="E163" s="288"/>
      <c r="F163" s="18"/>
      <c r="G163" s="18"/>
      <c r="H163" s="18"/>
      <c r="I163" s="18"/>
      <c r="J163" s="18"/>
      <c r="K163" s="2"/>
      <c r="L163" s="185"/>
      <c r="M163" s="185"/>
      <c r="N163" s="57"/>
      <c r="O163" s="57"/>
      <c r="P163" s="335"/>
      <c r="Q163" s="336"/>
      <c r="R163" s="221"/>
      <c r="S163" s="221"/>
      <c r="T163" s="221"/>
      <c r="U163" s="221"/>
      <c r="V163" s="46"/>
      <c r="W163" s="46"/>
      <c r="X163" s="46"/>
      <c r="Y163" s="46"/>
      <c r="Z163" s="46"/>
      <c r="AA163" s="46"/>
    </row>
    <row r="164" spans="1:29" ht="20.100000000000001" customHeight="1" x14ac:dyDescent="0.25">
      <c r="A164" s="49">
        <v>1</v>
      </c>
      <c r="B164" s="180" t="s">
        <v>37</v>
      </c>
      <c r="C164" s="180"/>
      <c r="D164" s="180"/>
      <c r="E164" s="180"/>
      <c r="F164" s="15"/>
      <c r="G164" s="15"/>
      <c r="H164" s="15"/>
      <c r="I164" s="15"/>
      <c r="J164" s="15"/>
      <c r="K164" s="2" t="s">
        <v>57</v>
      </c>
      <c r="L164" s="185" t="s">
        <v>44</v>
      </c>
      <c r="M164" s="185"/>
      <c r="N164" s="3"/>
      <c r="O164" s="3"/>
      <c r="P164" s="217">
        <f>SUM(P165:Q167)</f>
        <v>20609200</v>
      </c>
      <c r="Q164" s="219"/>
      <c r="R164" s="217">
        <f>SUM(R165:S167)</f>
        <v>3500000</v>
      </c>
      <c r="S164" s="219"/>
      <c r="T164" s="291">
        <f>P164+R164</f>
        <v>24109200</v>
      </c>
      <c r="U164" s="291"/>
      <c r="V164" s="6">
        <f>V165+V166</f>
        <v>20558763.59</v>
      </c>
      <c r="W164" s="6">
        <f>W167</f>
        <v>3494196.07</v>
      </c>
      <c r="X164" s="6">
        <f>V164+W164</f>
        <v>24052959.66</v>
      </c>
      <c r="Y164" s="6">
        <f>Y165+Y166+Y167</f>
        <v>-50436.410000000149</v>
      </c>
      <c r="Z164" s="6">
        <f>Z165+Z166+Z167</f>
        <v>-5803.9300000001676</v>
      </c>
      <c r="AA164" s="6">
        <f>Y164+Z164</f>
        <v>-56240.340000000317</v>
      </c>
    </row>
    <row r="165" spans="1:29" ht="48" customHeight="1" x14ac:dyDescent="0.25">
      <c r="A165" s="49">
        <v>2</v>
      </c>
      <c r="B165" s="243" t="s">
        <v>63</v>
      </c>
      <c r="C165" s="243"/>
      <c r="D165" s="243"/>
      <c r="E165" s="243"/>
      <c r="F165" s="11"/>
      <c r="G165" s="11"/>
      <c r="H165" s="11"/>
      <c r="I165" s="11"/>
      <c r="J165" s="11"/>
      <c r="K165" s="2" t="s">
        <v>57</v>
      </c>
      <c r="L165" s="185" t="s">
        <v>44</v>
      </c>
      <c r="M165" s="185"/>
      <c r="N165" s="3"/>
      <c r="O165" s="3"/>
      <c r="P165" s="278">
        <f>8258200+351000</f>
        <v>8609200</v>
      </c>
      <c r="Q165" s="278"/>
      <c r="R165" s="291"/>
      <c r="S165" s="291"/>
      <c r="T165" s="291">
        <f>P165+R165</f>
        <v>8609200</v>
      </c>
      <c r="U165" s="291"/>
      <c r="V165" s="6">
        <v>8609200</v>
      </c>
      <c r="W165" s="6"/>
      <c r="X165" s="6">
        <f>V165</f>
        <v>8609200</v>
      </c>
      <c r="Y165" s="6">
        <f>V165-P165</f>
        <v>0</v>
      </c>
      <c r="Z165" s="6"/>
      <c r="AA165" s="6">
        <f>Y165</f>
        <v>0</v>
      </c>
      <c r="AC165" s="36"/>
    </row>
    <row r="166" spans="1:29" ht="20.100000000000001" customHeight="1" x14ac:dyDescent="0.25">
      <c r="A166" s="49">
        <v>3</v>
      </c>
      <c r="B166" s="243" t="s">
        <v>64</v>
      </c>
      <c r="C166" s="243"/>
      <c r="D166" s="243"/>
      <c r="E166" s="243"/>
      <c r="F166" s="11"/>
      <c r="G166" s="11"/>
      <c r="H166" s="11"/>
      <c r="I166" s="11"/>
      <c r="J166" s="11"/>
      <c r="K166" s="2" t="s">
        <v>57</v>
      </c>
      <c r="L166" s="185" t="s">
        <v>44</v>
      </c>
      <c r="M166" s="185"/>
      <c r="N166" s="3"/>
      <c r="O166" s="3"/>
      <c r="P166" s="278">
        <f>9000000+3000000</f>
        <v>12000000</v>
      </c>
      <c r="Q166" s="278"/>
      <c r="R166" s="291"/>
      <c r="S166" s="291"/>
      <c r="T166" s="291">
        <f>P166+R166</f>
        <v>12000000</v>
      </c>
      <c r="U166" s="291"/>
      <c r="V166" s="6">
        <v>11949563.59</v>
      </c>
      <c r="W166" s="6"/>
      <c r="X166" s="6">
        <f>V166</f>
        <v>11949563.59</v>
      </c>
      <c r="Y166" s="6">
        <f>V166-P166</f>
        <v>-50436.410000000149</v>
      </c>
      <c r="Z166" s="6"/>
      <c r="AA166" s="6">
        <f>Y166</f>
        <v>-50436.410000000149</v>
      </c>
      <c r="AC166" s="36"/>
    </row>
    <row r="167" spans="1:29" ht="33" customHeight="1" x14ac:dyDescent="0.25">
      <c r="A167" s="49">
        <v>4</v>
      </c>
      <c r="B167" s="243" t="s">
        <v>65</v>
      </c>
      <c r="C167" s="243"/>
      <c r="D167" s="243"/>
      <c r="E167" s="243"/>
      <c r="F167" s="11"/>
      <c r="G167" s="11"/>
      <c r="H167" s="11"/>
      <c r="I167" s="11"/>
      <c r="J167" s="11"/>
      <c r="K167" s="2" t="s">
        <v>57</v>
      </c>
      <c r="L167" s="185" t="s">
        <v>44</v>
      </c>
      <c r="M167" s="185"/>
      <c r="N167" s="3"/>
      <c r="O167" s="3"/>
      <c r="P167" s="217"/>
      <c r="Q167" s="217"/>
      <c r="R167" s="217">
        <v>3500000</v>
      </c>
      <c r="S167" s="217"/>
      <c r="T167" s="291">
        <f>P167+R167</f>
        <v>3500000</v>
      </c>
      <c r="U167" s="291"/>
      <c r="V167" s="6"/>
      <c r="W167" s="6">
        <v>3494196.07</v>
      </c>
      <c r="X167" s="6">
        <f>W167</f>
        <v>3494196.07</v>
      </c>
      <c r="Y167" s="6"/>
      <c r="Z167" s="6">
        <f>W167-R167</f>
        <v>-5803.9300000001676</v>
      </c>
      <c r="AA167" s="6">
        <f>Y167+Z167</f>
        <v>-5803.9300000001676</v>
      </c>
      <c r="AC167" s="166"/>
    </row>
    <row r="168" spans="1:29" ht="20.25" customHeight="1" x14ac:dyDescent="0.25">
      <c r="A168" s="49"/>
      <c r="B168" s="302" t="s">
        <v>372</v>
      </c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  <c r="AA168" s="181"/>
      <c r="AC168" s="36"/>
    </row>
    <row r="169" spans="1:29" ht="20.100000000000001" customHeight="1" x14ac:dyDescent="0.25">
      <c r="A169" s="49"/>
      <c r="B169" s="288" t="s">
        <v>324</v>
      </c>
      <c r="C169" s="288"/>
      <c r="D169" s="288"/>
      <c r="E169" s="288"/>
      <c r="F169" s="18"/>
      <c r="G169" s="18"/>
      <c r="H169" s="18"/>
      <c r="I169" s="18"/>
      <c r="J169" s="18"/>
      <c r="K169" s="58"/>
      <c r="L169" s="185"/>
      <c r="M169" s="185"/>
      <c r="N169" s="3"/>
      <c r="O169" s="3"/>
      <c r="P169" s="220"/>
      <c r="Q169" s="220"/>
      <c r="R169" s="387"/>
      <c r="S169" s="387"/>
      <c r="T169" s="387"/>
      <c r="U169" s="387"/>
      <c r="V169" s="5"/>
      <c r="W169" s="5"/>
      <c r="X169" s="5"/>
      <c r="Y169" s="5"/>
      <c r="Z169" s="5"/>
      <c r="AA169" s="5"/>
    </row>
    <row r="170" spans="1:29" ht="54.75" customHeight="1" x14ac:dyDescent="0.25">
      <c r="A170" s="49">
        <v>1</v>
      </c>
      <c r="B170" s="180" t="s">
        <v>263</v>
      </c>
      <c r="C170" s="180"/>
      <c r="D170" s="180"/>
      <c r="E170" s="180"/>
      <c r="F170" s="15"/>
      <c r="G170" s="15"/>
      <c r="H170" s="15"/>
      <c r="I170" s="15"/>
      <c r="J170" s="15"/>
      <c r="K170" s="2" t="s">
        <v>48</v>
      </c>
      <c r="L170" s="214" t="s">
        <v>66</v>
      </c>
      <c r="M170" s="215"/>
      <c r="N170" s="17"/>
      <c r="O170" s="17"/>
      <c r="P170" s="301">
        <v>14315</v>
      </c>
      <c r="Q170" s="301"/>
      <c r="R170" s="226"/>
      <c r="S170" s="226"/>
      <c r="T170" s="388">
        <f>P170</f>
        <v>14315</v>
      </c>
      <c r="U170" s="226"/>
      <c r="V170" s="167">
        <v>14397</v>
      </c>
      <c r="W170" s="4"/>
      <c r="X170" s="4">
        <f>V170</f>
        <v>14397</v>
      </c>
      <c r="Y170" s="117">
        <f>V170-P170</f>
        <v>82</v>
      </c>
      <c r="Z170" s="117"/>
      <c r="AA170" s="117">
        <f>Y170</f>
        <v>82</v>
      </c>
    </row>
    <row r="171" spans="1:29" ht="35.25" customHeight="1" x14ac:dyDescent="0.25">
      <c r="A171" s="49">
        <v>3</v>
      </c>
      <c r="B171" s="180" t="s">
        <v>67</v>
      </c>
      <c r="C171" s="180"/>
      <c r="D171" s="180"/>
      <c r="E171" s="180"/>
      <c r="F171" s="15"/>
      <c r="G171" s="15"/>
      <c r="H171" s="15"/>
      <c r="I171" s="15"/>
      <c r="J171" s="15"/>
      <c r="K171" s="2" t="s">
        <v>196</v>
      </c>
      <c r="L171" s="185" t="s">
        <v>55</v>
      </c>
      <c r="M171" s="185"/>
      <c r="N171" s="3"/>
      <c r="O171" s="3"/>
      <c r="P171" s="334">
        <v>3735.8</v>
      </c>
      <c r="Q171" s="334"/>
      <c r="R171" s="226"/>
      <c r="S171" s="226"/>
      <c r="T171" s="294">
        <f>P171</f>
        <v>3735.8</v>
      </c>
      <c r="U171" s="294"/>
      <c r="V171" s="168">
        <v>3752.4</v>
      </c>
      <c r="W171" s="107"/>
      <c r="X171" s="4">
        <f>V171</f>
        <v>3752.4</v>
      </c>
      <c r="Y171" s="69">
        <f>V171-P171</f>
        <v>16.599999999999909</v>
      </c>
      <c r="Z171" s="69"/>
      <c r="AA171" s="69">
        <f>Y171</f>
        <v>16.599999999999909</v>
      </c>
    </row>
    <row r="172" spans="1:29" ht="48.75" customHeight="1" x14ac:dyDescent="0.25">
      <c r="A172" s="49">
        <v>4</v>
      </c>
      <c r="B172" s="180" t="s">
        <v>264</v>
      </c>
      <c r="C172" s="180"/>
      <c r="D172" s="180"/>
      <c r="E172" s="180"/>
      <c r="F172" s="15"/>
      <c r="G172" s="15"/>
      <c r="H172" s="15"/>
      <c r="I172" s="15"/>
      <c r="J172" s="15"/>
      <c r="K172" s="2" t="s">
        <v>48</v>
      </c>
      <c r="L172" s="185" t="s">
        <v>68</v>
      </c>
      <c r="M172" s="185"/>
      <c r="N172" s="3"/>
      <c r="O172" s="3"/>
      <c r="P172" s="301"/>
      <c r="Q172" s="301"/>
      <c r="R172" s="226">
        <v>400</v>
      </c>
      <c r="S172" s="226"/>
      <c r="T172" s="226">
        <f>R172</f>
        <v>400</v>
      </c>
      <c r="U172" s="226"/>
      <c r="V172" s="167"/>
      <c r="W172" s="4">
        <v>330</v>
      </c>
      <c r="X172" s="4">
        <f>W172</f>
        <v>330</v>
      </c>
      <c r="Y172" s="4"/>
      <c r="Z172" s="4">
        <f>W172-R172</f>
        <v>-70</v>
      </c>
      <c r="AA172" s="4">
        <f>Z172</f>
        <v>-70</v>
      </c>
    </row>
    <row r="173" spans="1:29" ht="20.100000000000001" customHeight="1" x14ac:dyDescent="0.25">
      <c r="A173" s="49"/>
      <c r="B173" s="302" t="s">
        <v>370</v>
      </c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  <c r="AA173" s="181"/>
    </row>
    <row r="174" spans="1:29" ht="20.100000000000001" customHeight="1" x14ac:dyDescent="0.25">
      <c r="A174" s="49"/>
      <c r="B174" s="302" t="s">
        <v>371</v>
      </c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  <c r="AA174" s="181"/>
    </row>
    <row r="175" spans="1:29" ht="20.100000000000001" customHeight="1" x14ac:dyDescent="0.25">
      <c r="A175" s="49"/>
      <c r="B175" s="288" t="s">
        <v>327</v>
      </c>
      <c r="C175" s="288"/>
      <c r="D175" s="288"/>
      <c r="E175" s="288"/>
      <c r="F175" s="18"/>
      <c r="G175" s="18"/>
      <c r="H175" s="18"/>
      <c r="I175" s="18"/>
      <c r="J175" s="18"/>
      <c r="K175" s="2"/>
      <c r="L175" s="185"/>
      <c r="M175" s="185"/>
      <c r="N175" s="3"/>
      <c r="O175" s="3"/>
      <c r="P175" s="185" t="s">
        <v>69</v>
      </c>
      <c r="Q175" s="185"/>
      <c r="R175" s="415"/>
      <c r="S175" s="415"/>
      <c r="T175" s="415"/>
      <c r="U175" s="415"/>
      <c r="V175" s="49"/>
      <c r="W175" s="49"/>
      <c r="X175" s="49"/>
      <c r="Y175" s="49"/>
      <c r="Z175" s="49"/>
      <c r="AA175" s="49"/>
    </row>
    <row r="176" spans="1:29" ht="51" customHeight="1" x14ac:dyDescent="0.25">
      <c r="A176" s="49">
        <v>1</v>
      </c>
      <c r="B176" s="273" t="s">
        <v>70</v>
      </c>
      <c r="C176" s="273"/>
      <c r="D176" s="273"/>
      <c r="E176" s="273"/>
      <c r="F176" s="59"/>
      <c r="G176" s="59"/>
      <c r="H176" s="59"/>
      <c r="I176" s="59"/>
      <c r="J176" s="59"/>
      <c r="K176" s="2" t="s">
        <v>46</v>
      </c>
      <c r="L176" s="214" t="s">
        <v>55</v>
      </c>
      <c r="M176" s="215"/>
      <c r="N176" s="17"/>
      <c r="O176" s="17"/>
      <c r="P176" s="217">
        <f>P165/P170</f>
        <v>601.41110723017812</v>
      </c>
      <c r="Q176" s="217"/>
      <c r="R176" s="291"/>
      <c r="S176" s="291"/>
      <c r="T176" s="291">
        <f>P176</f>
        <v>601.41110723017812</v>
      </c>
      <c r="U176" s="291"/>
      <c r="V176" s="169">
        <f>V165/V170</f>
        <v>597.98569146349939</v>
      </c>
      <c r="W176" s="6"/>
      <c r="X176" s="6">
        <f>V176</f>
        <v>597.98569146349939</v>
      </c>
      <c r="Y176" s="6">
        <f>V176-P176</f>
        <v>-3.425415766678725</v>
      </c>
      <c r="Z176" s="6"/>
      <c r="AA176" s="6">
        <f>Y176</f>
        <v>-3.425415766678725</v>
      </c>
    </row>
    <row r="177" spans="1:27" ht="35.25" customHeight="1" x14ac:dyDescent="0.25">
      <c r="A177" s="49">
        <v>2</v>
      </c>
      <c r="B177" s="208" t="s">
        <v>71</v>
      </c>
      <c r="C177" s="209"/>
      <c r="D177" s="209"/>
      <c r="E177" s="209"/>
      <c r="F177" s="7"/>
      <c r="G177" s="7"/>
      <c r="H177" s="7"/>
      <c r="I177" s="7"/>
      <c r="J177" s="7"/>
      <c r="K177" s="2" t="s">
        <v>46</v>
      </c>
      <c r="L177" s="214" t="s">
        <v>55</v>
      </c>
      <c r="M177" s="215"/>
      <c r="N177" s="17"/>
      <c r="O177" s="17"/>
      <c r="P177" s="217">
        <v>3.21</v>
      </c>
      <c r="Q177" s="217"/>
      <c r="R177" s="226"/>
      <c r="S177" s="226"/>
      <c r="T177" s="291">
        <f>P177</f>
        <v>3.21</v>
      </c>
      <c r="U177" s="226"/>
      <c r="V177" s="167">
        <v>3.21</v>
      </c>
      <c r="W177" s="4"/>
      <c r="X177" s="4">
        <f>V177</f>
        <v>3.21</v>
      </c>
      <c r="Y177" s="6">
        <f>V177-P177</f>
        <v>0</v>
      </c>
      <c r="Z177" s="4"/>
      <c r="AA177" s="4"/>
    </row>
    <row r="178" spans="1:27" ht="34.5" customHeight="1" x14ac:dyDescent="0.25">
      <c r="A178" s="49">
        <v>3</v>
      </c>
      <c r="B178" s="231" t="s">
        <v>72</v>
      </c>
      <c r="C178" s="231"/>
      <c r="D178" s="231"/>
      <c r="E178" s="231"/>
      <c r="F178" s="8"/>
      <c r="G178" s="8"/>
      <c r="H178" s="8"/>
      <c r="I178" s="8"/>
      <c r="J178" s="8"/>
      <c r="K178" s="2" t="s">
        <v>46</v>
      </c>
      <c r="L178" s="214" t="s">
        <v>55</v>
      </c>
      <c r="M178" s="215"/>
      <c r="N178" s="17"/>
      <c r="O178" s="17"/>
      <c r="P178" s="217"/>
      <c r="Q178" s="217"/>
      <c r="R178" s="294">
        <f>R167/R172</f>
        <v>8750</v>
      </c>
      <c r="S178" s="294"/>
      <c r="T178" s="294">
        <f>R178</f>
        <v>8750</v>
      </c>
      <c r="U178" s="294"/>
      <c r="V178" s="69"/>
      <c r="W178" s="69">
        <f>W167/W172</f>
        <v>10588.47293939394</v>
      </c>
      <c r="X178" s="69">
        <f>W178</f>
        <v>10588.47293939394</v>
      </c>
      <c r="Y178" s="69"/>
      <c r="Z178" s="69">
        <f>W178-R178</f>
        <v>1838.4729393939397</v>
      </c>
      <c r="AA178" s="69">
        <f>Z178</f>
        <v>1838.4729393939397</v>
      </c>
    </row>
    <row r="179" spans="1:27" ht="22.5" customHeight="1" x14ac:dyDescent="0.25">
      <c r="A179" s="49"/>
      <c r="B179" s="416" t="s">
        <v>373</v>
      </c>
      <c r="C179" s="381"/>
      <c r="D179" s="381"/>
      <c r="E179" s="381"/>
      <c r="F179" s="381"/>
      <c r="G179" s="381"/>
      <c r="H179" s="381"/>
      <c r="I179" s="381"/>
      <c r="J179" s="381"/>
      <c r="K179" s="381"/>
      <c r="L179" s="381"/>
      <c r="M179" s="381"/>
      <c r="N179" s="381"/>
      <c r="O179" s="381"/>
      <c r="P179" s="381"/>
      <c r="Q179" s="381"/>
      <c r="R179" s="381"/>
      <c r="S179" s="381"/>
      <c r="T179" s="381"/>
      <c r="U179" s="381"/>
      <c r="V179" s="381"/>
      <c r="W179" s="381"/>
      <c r="X179" s="381"/>
      <c r="Y179" s="381"/>
      <c r="Z179" s="381"/>
      <c r="AA179" s="297"/>
    </row>
    <row r="180" spans="1:27" ht="50.25" customHeight="1" x14ac:dyDescent="0.25">
      <c r="A180" s="49"/>
      <c r="B180" s="302" t="s">
        <v>374</v>
      </c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  <c r="AA180" s="181"/>
    </row>
    <row r="181" spans="1:27" ht="20.100000000000001" customHeight="1" x14ac:dyDescent="0.25">
      <c r="A181" s="49"/>
      <c r="B181" s="288" t="s">
        <v>325</v>
      </c>
      <c r="C181" s="288"/>
      <c r="D181" s="288"/>
      <c r="E181" s="288"/>
      <c r="F181" s="18"/>
      <c r="G181" s="18"/>
      <c r="H181" s="18"/>
      <c r="I181" s="18"/>
      <c r="J181" s="18"/>
      <c r="K181" s="2"/>
      <c r="L181" s="185"/>
      <c r="M181" s="185"/>
      <c r="N181" s="3"/>
      <c r="O181" s="3"/>
      <c r="P181" s="220"/>
      <c r="Q181" s="220"/>
      <c r="R181" s="387"/>
      <c r="S181" s="387"/>
      <c r="T181" s="387"/>
      <c r="U181" s="387"/>
      <c r="V181" s="5"/>
      <c r="W181" s="5"/>
      <c r="X181" s="5"/>
      <c r="Y181" s="5"/>
      <c r="Z181" s="5"/>
      <c r="AA181" s="5"/>
    </row>
    <row r="182" spans="1:27" ht="64.5" customHeight="1" x14ac:dyDescent="0.25">
      <c r="A182" s="49">
        <v>1</v>
      </c>
      <c r="B182" s="180" t="s">
        <v>73</v>
      </c>
      <c r="C182" s="180"/>
      <c r="D182" s="180"/>
      <c r="E182" s="180"/>
      <c r="F182" s="15"/>
      <c r="G182" s="15"/>
      <c r="H182" s="15"/>
      <c r="I182" s="15"/>
      <c r="J182" s="15"/>
      <c r="K182" s="3" t="s">
        <v>50</v>
      </c>
      <c r="L182" s="214" t="s">
        <v>55</v>
      </c>
      <c r="M182" s="215"/>
      <c r="N182" s="17"/>
      <c r="O182" s="17"/>
      <c r="P182" s="281">
        <f>P165/6453435*100</f>
        <v>133.40492311458937</v>
      </c>
      <c r="Q182" s="281"/>
      <c r="R182" s="226"/>
      <c r="S182" s="226"/>
      <c r="T182" s="294">
        <f>P182</f>
        <v>133.40492311458937</v>
      </c>
      <c r="U182" s="226"/>
      <c r="V182" s="69">
        <f>V165/6453435*100</f>
        <v>133.40492311458937</v>
      </c>
      <c r="W182" s="69"/>
      <c r="X182" s="69">
        <f>V182</f>
        <v>133.40492311458937</v>
      </c>
      <c r="Y182" s="69">
        <f>V182-P182</f>
        <v>0</v>
      </c>
      <c r="Z182" s="4"/>
      <c r="AA182" s="69">
        <f>Y182</f>
        <v>0</v>
      </c>
    </row>
    <row r="183" spans="1:27" ht="50.25" customHeight="1" x14ac:dyDescent="0.25">
      <c r="A183" s="49">
        <v>2</v>
      </c>
      <c r="B183" s="180" t="s">
        <v>74</v>
      </c>
      <c r="C183" s="180"/>
      <c r="D183" s="180"/>
      <c r="E183" s="180"/>
      <c r="F183" s="15"/>
      <c r="G183" s="15"/>
      <c r="H183" s="15"/>
      <c r="I183" s="15"/>
      <c r="J183" s="15"/>
      <c r="K183" s="3" t="s">
        <v>61</v>
      </c>
      <c r="L183" s="214" t="s">
        <v>55</v>
      </c>
      <c r="M183" s="215"/>
      <c r="N183" s="17"/>
      <c r="O183" s="17"/>
      <c r="P183" s="296">
        <f>(3446.43/12878)/(3735.8/14315)*100-100</f>
        <v>2.548373348202901</v>
      </c>
      <c r="Q183" s="296"/>
      <c r="R183" s="379"/>
      <c r="S183" s="379"/>
      <c r="T183" s="379">
        <f>P183</f>
        <v>2.548373348202901</v>
      </c>
      <c r="U183" s="379"/>
      <c r="V183" s="109">
        <f>(3446.43/12878)/(3735.8/14315)*100-100</f>
        <v>2.548373348202901</v>
      </c>
      <c r="W183" s="109"/>
      <c r="X183" s="70">
        <f>V183</f>
        <v>2.548373348202901</v>
      </c>
      <c r="Y183" s="69">
        <f>V183-P183</f>
        <v>0</v>
      </c>
      <c r="Z183" s="4"/>
      <c r="AA183" s="69">
        <f>Y183</f>
        <v>0</v>
      </c>
    </row>
    <row r="184" spans="1:27" ht="67.5" customHeight="1" x14ac:dyDescent="0.25">
      <c r="A184" s="49">
        <v>3</v>
      </c>
      <c r="B184" s="180" t="s">
        <v>75</v>
      </c>
      <c r="C184" s="180"/>
      <c r="D184" s="180"/>
      <c r="E184" s="180"/>
      <c r="F184" s="15"/>
      <c r="G184" s="15"/>
      <c r="H184" s="15"/>
      <c r="I184" s="15"/>
      <c r="J184" s="15"/>
      <c r="K184" s="3" t="s">
        <v>50</v>
      </c>
      <c r="L184" s="214" t="s">
        <v>55</v>
      </c>
      <c r="M184" s="215"/>
      <c r="N184" s="17"/>
      <c r="O184" s="17"/>
      <c r="P184" s="281"/>
      <c r="Q184" s="281"/>
      <c r="R184" s="294">
        <f>R172/400*100</f>
        <v>100</v>
      </c>
      <c r="S184" s="294"/>
      <c r="T184" s="294">
        <f>R184</f>
        <v>100</v>
      </c>
      <c r="U184" s="294"/>
      <c r="V184" s="69"/>
      <c r="W184" s="69">
        <f>W172/330*100</f>
        <v>100</v>
      </c>
      <c r="X184" s="69">
        <f>W184</f>
        <v>100</v>
      </c>
      <c r="Y184" s="69"/>
      <c r="Z184" s="69">
        <f>W184-R184</f>
        <v>0</v>
      </c>
      <c r="AA184" s="69">
        <f>Z184</f>
        <v>0</v>
      </c>
    </row>
    <row r="185" spans="1:27" ht="21" customHeight="1" x14ac:dyDescent="0.25">
      <c r="A185" s="49"/>
      <c r="B185" s="284" t="s">
        <v>32</v>
      </c>
      <c r="C185" s="284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4"/>
      <c r="P185" s="284"/>
      <c r="Q185" s="284"/>
      <c r="R185" s="221"/>
      <c r="S185" s="221"/>
      <c r="T185" s="221"/>
      <c r="U185" s="221"/>
      <c r="V185" s="46"/>
      <c r="W185" s="46"/>
      <c r="X185" s="46"/>
      <c r="Y185" s="46"/>
      <c r="Z185" s="46"/>
      <c r="AA185" s="46"/>
    </row>
    <row r="186" spans="1:27" ht="20.100000000000001" customHeight="1" x14ac:dyDescent="0.25">
      <c r="A186" s="49"/>
      <c r="B186" s="263" t="s">
        <v>326</v>
      </c>
      <c r="C186" s="263"/>
      <c r="D186" s="263"/>
      <c r="E186" s="263"/>
      <c r="F186" s="72"/>
      <c r="G186" s="72"/>
      <c r="H186" s="72"/>
      <c r="I186" s="72"/>
      <c r="J186" s="72"/>
      <c r="K186" s="3"/>
      <c r="L186" s="185"/>
      <c r="M186" s="185"/>
      <c r="N186" s="3"/>
      <c r="O186" s="3"/>
      <c r="P186" s="220"/>
      <c r="Q186" s="321"/>
      <c r="R186" s="387"/>
      <c r="S186" s="387"/>
      <c r="T186" s="387"/>
      <c r="U186" s="387"/>
      <c r="V186" s="5"/>
      <c r="W186" s="5"/>
      <c r="X186" s="5"/>
      <c r="Y186" s="5"/>
      <c r="Z186" s="5"/>
      <c r="AA186" s="5"/>
    </row>
    <row r="187" spans="1:27" ht="20.100000000000001" customHeight="1" x14ac:dyDescent="0.25">
      <c r="A187" s="49">
        <v>1</v>
      </c>
      <c r="B187" s="277" t="s">
        <v>37</v>
      </c>
      <c r="C187" s="277"/>
      <c r="D187" s="277"/>
      <c r="E187" s="277"/>
      <c r="F187" s="73"/>
      <c r="G187" s="73"/>
      <c r="H187" s="73"/>
      <c r="I187" s="73"/>
      <c r="J187" s="73"/>
      <c r="K187" s="3" t="s">
        <v>46</v>
      </c>
      <c r="L187" s="185" t="s">
        <v>44</v>
      </c>
      <c r="M187" s="185"/>
      <c r="N187" s="3"/>
      <c r="O187" s="3"/>
      <c r="P187" s="217">
        <f>SUM(P188:Q193)</f>
        <v>3565300</v>
      </c>
      <c r="Q187" s="219"/>
      <c r="R187" s="226"/>
      <c r="S187" s="226"/>
      <c r="T187" s="291">
        <f>P187</f>
        <v>3565300</v>
      </c>
      <c r="U187" s="226"/>
      <c r="V187" s="121">
        <f>V188+V189+V190+V191+V192+V193</f>
        <v>3519751.92</v>
      </c>
      <c r="W187" s="6"/>
      <c r="X187" s="6">
        <f>V187</f>
        <v>3519751.92</v>
      </c>
      <c r="Y187" s="6">
        <f>V187-P187</f>
        <v>-45548.080000000075</v>
      </c>
      <c r="Z187" s="6"/>
      <c r="AA187" s="6">
        <f>Y187</f>
        <v>-45548.080000000075</v>
      </c>
    </row>
    <row r="188" spans="1:27" ht="20.100000000000001" customHeight="1" x14ac:dyDescent="0.25">
      <c r="A188" s="49">
        <f t="shared" ref="A188:A193" si="32">A187+1</f>
        <v>2</v>
      </c>
      <c r="B188" s="386" t="s">
        <v>76</v>
      </c>
      <c r="C188" s="386"/>
      <c r="D188" s="386"/>
      <c r="E188" s="386"/>
      <c r="F188" s="386"/>
      <c r="G188" s="386"/>
      <c r="H188" s="386"/>
      <c r="I188" s="386"/>
      <c r="J188" s="386"/>
      <c r="K188" s="3" t="s">
        <v>46</v>
      </c>
      <c r="L188" s="185" t="s">
        <v>77</v>
      </c>
      <c r="M188" s="185"/>
      <c r="N188" s="3"/>
      <c r="O188" s="3"/>
      <c r="P188" s="278">
        <f>426202-142704</f>
        <v>283498</v>
      </c>
      <c r="Q188" s="278"/>
      <c r="R188" s="226"/>
      <c r="S188" s="226"/>
      <c r="T188" s="291">
        <f t="shared" ref="T188:T193" si="33">P188</f>
        <v>283498</v>
      </c>
      <c r="U188" s="226"/>
      <c r="V188" s="122">
        <v>275217.95</v>
      </c>
      <c r="W188" s="6"/>
      <c r="X188" s="6">
        <f t="shared" ref="X188:X193" si="34">V188</f>
        <v>275217.95</v>
      </c>
      <c r="Y188" s="6">
        <f t="shared" ref="Y188:Y193" si="35">V188-P188</f>
        <v>-8280.0499999999884</v>
      </c>
      <c r="Z188" s="6"/>
      <c r="AA188" s="6">
        <f t="shared" ref="AA188:AA193" si="36">Y188</f>
        <v>-8280.0499999999884</v>
      </c>
    </row>
    <row r="189" spans="1:27" ht="20.100000000000001" customHeight="1" x14ac:dyDescent="0.25">
      <c r="A189" s="49">
        <f t="shared" si="32"/>
        <v>3</v>
      </c>
      <c r="B189" s="386" t="s">
        <v>78</v>
      </c>
      <c r="C189" s="386"/>
      <c r="D189" s="386"/>
      <c r="E189" s="386"/>
      <c r="F189" s="386"/>
      <c r="G189" s="386"/>
      <c r="H189" s="386"/>
      <c r="I189" s="386"/>
      <c r="J189" s="386"/>
      <c r="K189" s="3" t="s">
        <v>46</v>
      </c>
      <c r="L189" s="185" t="s">
        <v>77</v>
      </c>
      <c r="M189" s="185"/>
      <c r="N189" s="3"/>
      <c r="O189" s="3"/>
      <c r="P189" s="217">
        <f>665961+221959+11095</f>
        <v>899015</v>
      </c>
      <c r="Q189" s="217"/>
      <c r="R189" s="226"/>
      <c r="S189" s="226"/>
      <c r="T189" s="291">
        <f t="shared" si="33"/>
        <v>899015</v>
      </c>
      <c r="U189" s="226"/>
      <c r="V189" s="122">
        <v>887596.05</v>
      </c>
      <c r="W189" s="6"/>
      <c r="X189" s="6">
        <f t="shared" si="34"/>
        <v>887596.05</v>
      </c>
      <c r="Y189" s="6">
        <f t="shared" si="35"/>
        <v>-11418.949999999953</v>
      </c>
      <c r="Z189" s="6"/>
      <c r="AA189" s="6">
        <f t="shared" si="36"/>
        <v>-11418.949999999953</v>
      </c>
    </row>
    <row r="190" spans="1:27" ht="49.5" customHeight="1" x14ac:dyDescent="0.25">
      <c r="A190" s="49">
        <f t="shared" si="32"/>
        <v>4</v>
      </c>
      <c r="B190" s="234" t="s">
        <v>265</v>
      </c>
      <c r="C190" s="234"/>
      <c r="D190" s="234"/>
      <c r="E190" s="234"/>
      <c r="F190" s="234"/>
      <c r="G190" s="234"/>
      <c r="H190" s="234"/>
      <c r="I190" s="234"/>
      <c r="J190" s="234"/>
      <c r="K190" s="3" t="s">
        <v>46</v>
      </c>
      <c r="L190" s="185" t="s">
        <v>77</v>
      </c>
      <c r="M190" s="185"/>
      <c r="N190" s="3"/>
      <c r="O190" s="3"/>
      <c r="P190" s="278">
        <v>59820</v>
      </c>
      <c r="Q190" s="278"/>
      <c r="R190" s="226"/>
      <c r="S190" s="226"/>
      <c r="T190" s="291">
        <f t="shared" si="33"/>
        <v>59820</v>
      </c>
      <c r="U190" s="226"/>
      <c r="V190" s="122">
        <v>59820</v>
      </c>
      <c r="W190" s="6"/>
      <c r="X190" s="6">
        <f t="shared" si="34"/>
        <v>59820</v>
      </c>
      <c r="Y190" s="6">
        <f t="shared" si="35"/>
        <v>0</v>
      </c>
      <c r="Z190" s="6"/>
      <c r="AA190" s="6">
        <f t="shared" si="36"/>
        <v>0</v>
      </c>
    </row>
    <row r="191" spans="1:27" ht="20.100000000000001" customHeight="1" x14ac:dyDescent="0.25">
      <c r="A191" s="49">
        <f t="shared" si="32"/>
        <v>5</v>
      </c>
      <c r="B191" s="201" t="s">
        <v>266</v>
      </c>
      <c r="C191" s="201"/>
      <c r="D191" s="201"/>
      <c r="E191" s="201"/>
      <c r="F191" s="201"/>
      <c r="G191" s="201"/>
      <c r="H191" s="201"/>
      <c r="I191" s="201"/>
      <c r="J191" s="201"/>
      <c r="K191" s="3" t="s">
        <v>46</v>
      </c>
      <c r="L191" s="185" t="s">
        <v>77</v>
      </c>
      <c r="M191" s="185"/>
      <c r="N191" s="3"/>
      <c r="O191" s="3"/>
      <c r="P191" s="278">
        <v>31033</v>
      </c>
      <c r="Q191" s="278"/>
      <c r="R191" s="226"/>
      <c r="S191" s="226"/>
      <c r="T191" s="291">
        <f t="shared" si="33"/>
        <v>31033</v>
      </c>
      <c r="U191" s="226"/>
      <c r="V191" s="122">
        <v>30553.48</v>
      </c>
      <c r="W191" s="6"/>
      <c r="X191" s="6">
        <f t="shared" si="34"/>
        <v>30553.48</v>
      </c>
      <c r="Y191" s="6">
        <f t="shared" si="35"/>
        <v>-479.52000000000044</v>
      </c>
      <c r="Z191" s="6"/>
      <c r="AA191" s="6">
        <f t="shared" si="36"/>
        <v>-479.52000000000044</v>
      </c>
    </row>
    <row r="192" spans="1:27" ht="33" customHeight="1" x14ac:dyDescent="0.25">
      <c r="A192" s="49">
        <f t="shared" si="32"/>
        <v>6</v>
      </c>
      <c r="B192" s="201" t="s">
        <v>81</v>
      </c>
      <c r="C192" s="201"/>
      <c r="D192" s="201"/>
      <c r="E192" s="201"/>
      <c r="F192" s="201"/>
      <c r="G192" s="201"/>
      <c r="H192" s="201"/>
      <c r="I192" s="201"/>
      <c r="J192" s="201"/>
      <c r="K192" s="3" t="s">
        <v>46</v>
      </c>
      <c r="L192" s="185" t="s">
        <v>77</v>
      </c>
      <c r="M192" s="185"/>
      <c r="N192" s="3"/>
      <c r="O192" s="3"/>
      <c r="P192" s="217">
        <f>1629784+186916-11095</f>
        <v>1805605</v>
      </c>
      <c r="Q192" s="217"/>
      <c r="R192" s="226"/>
      <c r="S192" s="226"/>
      <c r="T192" s="291">
        <f t="shared" si="33"/>
        <v>1805605</v>
      </c>
      <c r="U192" s="226"/>
      <c r="V192" s="122">
        <v>1789239.38</v>
      </c>
      <c r="W192" s="6"/>
      <c r="X192" s="6">
        <f t="shared" si="34"/>
        <v>1789239.38</v>
      </c>
      <c r="Y192" s="6">
        <f t="shared" si="35"/>
        <v>-16365.620000000112</v>
      </c>
      <c r="Z192" s="6"/>
      <c r="AA192" s="6">
        <f t="shared" si="36"/>
        <v>-16365.620000000112</v>
      </c>
    </row>
    <row r="193" spans="1:36" ht="49.5" customHeight="1" x14ac:dyDescent="0.25">
      <c r="A193" s="49">
        <f t="shared" si="32"/>
        <v>7</v>
      </c>
      <c r="B193" s="201" t="s">
        <v>82</v>
      </c>
      <c r="C193" s="201"/>
      <c r="D193" s="201"/>
      <c r="E193" s="201"/>
      <c r="F193" s="201"/>
      <c r="G193" s="201"/>
      <c r="H193" s="201"/>
      <c r="I193" s="201"/>
      <c r="J193" s="201"/>
      <c r="K193" s="3" t="s">
        <v>46</v>
      </c>
      <c r="L193" s="185" t="s">
        <v>54</v>
      </c>
      <c r="M193" s="185"/>
      <c r="N193" s="3"/>
      <c r="O193" s="3"/>
      <c r="P193" s="278">
        <f>752500-266171</f>
        <v>486329</v>
      </c>
      <c r="Q193" s="278"/>
      <c r="R193" s="226"/>
      <c r="S193" s="226"/>
      <c r="T193" s="291">
        <f t="shared" si="33"/>
        <v>486329</v>
      </c>
      <c r="U193" s="226"/>
      <c r="V193" s="122">
        <v>477325.06</v>
      </c>
      <c r="W193" s="6"/>
      <c r="X193" s="6">
        <f t="shared" si="34"/>
        <v>477325.06</v>
      </c>
      <c r="Y193" s="6">
        <f t="shared" si="35"/>
        <v>-9003.9400000000023</v>
      </c>
      <c r="Z193" s="6"/>
      <c r="AA193" s="6">
        <f t="shared" si="36"/>
        <v>-9003.9400000000023</v>
      </c>
    </row>
    <row r="194" spans="1:36" ht="18.95" customHeight="1" x14ac:dyDescent="0.25">
      <c r="A194" s="49"/>
      <c r="B194" s="284" t="s">
        <v>375</v>
      </c>
      <c r="C194" s="284"/>
      <c r="D194" s="284"/>
      <c r="E194" s="284"/>
      <c r="F194" s="284"/>
      <c r="G194" s="284"/>
      <c r="H194" s="284"/>
      <c r="I194" s="284"/>
      <c r="J194" s="284"/>
      <c r="K194" s="284"/>
      <c r="L194" s="284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  <c r="AA194" s="284"/>
    </row>
    <row r="195" spans="1:36" ht="18.95" customHeight="1" x14ac:dyDescent="0.25">
      <c r="A195" s="49"/>
      <c r="B195" s="177" t="s">
        <v>376</v>
      </c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  <c r="AA195" s="177"/>
    </row>
    <row r="196" spans="1:36" ht="18.95" customHeight="1" x14ac:dyDescent="0.25">
      <c r="A196" s="49"/>
      <c r="B196" s="177" t="s">
        <v>377</v>
      </c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</row>
    <row r="197" spans="1:36" ht="18.95" customHeight="1" x14ac:dyDescent="0.25">
      <c r="A197" s="49"/>
      <c r="B197" s="177" t="s">
        <v>378</v>
      </c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  <c r="AA197" s="177"/>
    </row>
    <row r="198" spans="1:36" ht="20.100000000000001" customHeight="1" x14ac:dyDescent="0.25">
      <c r="A198" s="49"/>
      <c r="B198" s="263" t="s">
        <v>324</v>
      </c>
      <c r="C198" s="263"/>
      <c r="D198" s="263"/>
      <c r="E198" s="263"/>
      <c r="F198" s="72"/>
      <c r="G198" s="72"/>
      <c r="H198" s="72"/>
      <c r="I198" s="72"/>
      <c r="J198" s="72"/>
      <c r="K198" s="3"/>
      <c r="L198" s="185"/>
      <c r="M198" s="185"/>
      <c r="N198" s="3"/>
      <c r="O198" s="3"/>
      <c r="P198" s="185"/>
      <c r="Q198" s="185"/>
      <c r="R198" s="221"/>
      <c r="S198" s="221"/>
      <c r="T198" s="221"/>
      <c r="U198" s="221"/>
      <c r="V198" s="46"/>
      <c r="W198" s="46"/>
      <c r="X198" s="46"/>
      <c r="Y198" s="46"/>
      <c r="Z198" s="46"/>
      <c r="AA198" s="46"/>
    </row>
    <row r="199" spans="1:36" ht="51" customHeight="1" x14ac:dyDescent="0.25">
      <c r="A199" s="49"/>
      <c r="B199" s="277" t="s">
        <v>194</v>
      </c>
      <c r="C199" s="277"/>
      <c r="D199" s="277"/>
      <c r="E199" s="277"/>
      <c r="F199" s="73"/>
      <c r="G199" s="73"/>
      <c r="H199" s="73"/>
      <c r="I199" s="73"/>
      <c r="J199" s="73"/>
      <c r="K199" s="3"/>
      <c r="L199" s="185"/>
      <c r="M199" s="185"/>
      <c r="N199" s="3"/>
      <c r="O199" s="3"/>
      <c r="P199" s="220"/>
      <c r="Q199" s="220"/>
      <c r="R199" s="387"/>
      <c r="S199" s="387"/>
      <c r="T199" s="387"/>
      <c r="U199" s="387"/>
      <c r="V199" s="5"/>
      <c r="W199" s="5"/>
      <c r="X199" s="5"/>
      <c r="Y199" s="5"/>
      <c r="Z199" s="5"/>
      <c r="AA199" s="5"/>
    </row>
    <row r="200" spans="1:36" ht="20.100000000000001" customHeight="1" x14ac:dyDescent="0.25">
      <c r="A200" s="49">
        <v>1</v>
      </c>
      <c r="B200" s="209" t="s">
        <v>76</v>
      </c>
      <c r="C200" s="209"/>
      <c r="D200" s="209"/>
      <c r="E200" s="209"/>
      <c r="F200" s="9"/>
      <c r="G200" s="9"/>
      <c r="H200" s="9"/>
      <c r="I200" s="9"/>
      <c r="J200" s="9"/>
      <c r="K200" s="3"/>
      <c r="L200" s="185"/>
      <c r="M200" s="185"/>
      <c r="N200" s="3"/>
      <c r="O200" s="3"/>
      <c r="P200" s="333"/>
      <c r="Q200" s="333"/>
      <c r="R200" s="387"/>
      <c r="S200" s="387"/>
      <c r="T200" s="387"/>
      <c r="U200" s="387"/>
      <c r="V200" s="5"/>
      <c r="W200" s="5"/>
      <c r="X200" s="5"/>
      <c r="Y200" s="5"/>
      <c r="Z200" s="5"/>
      <c r="AA200" s="5"/>
    </row>
    <row r="201" spans="1:36" ht="20.100000000000001" customHeight="1" x14ac:dyDescent="0.25">
      <c r="A201" s="49">
        <f>A200+1</f>
        <v>2</v>
      </c>
      <c r="B201" s="331" t="s">
        <v>83</v>
      </c>
      <c r="C201" s="331"/>
      <c r="D201" s="331"/>
      <c r="E201" s="331"/>
      <c r="F201" s="171"/>
      <c r="G201" s="171"/>
      <c r="H201" s="171"/>
      <c r="I201" s="171"/>
      <c r="J201" s="171"/>
      <c r="K201" s="3" t="s">
        <v>49</v>
      </c>
      <c r="L201" s="185" t="s">
        <v>84</v>
      </c>
      <c r="M201" s="185"/>
      <c r="N201" s="3"/>
      <c r="O201" s="3"/>
      <c r="P201" s="332">
        <v>19</v>
      </c>
      <c r="Q201" s="332"/>
      <c r="R201" s="379"/>
      <c r="S201" s="379"/>
      <c r="T201" s="379">
        <f>P201</f>
        <v>19</v>
      </c>
      <c r="U201" s="379"/>
      <c r="V201" s="115">
        <v>19</v>
      </c>
      <c r="W201" s="70"/>
      <c r="X201" s="70">
        <f>V201</f>
        <v>19</v>
      </c>
      <c r="Y201" s="70">
        <f t="shared" ref="Y201:Y207" si="37">V201-P201</f>
        <v>0</v>
      </c>
      <c r="Z201" s="4"/>
      <c r="AA201" s="70">
        <f>Y201</f>
        <v>0</v>
      </c>
    </row>
    <row r="202" spans="1:36" ht="20.100000000000001" customHeight="1" x14ac:dyDescent="0.25">
      <c r="A202" s="49">
        <f t="shared" ref="A202:A207" si="38">A201+1</f>
        <v>3</v>
      </c>
      <c r="B202" s="331" t="s">
        <v>85</v>
      </c>
      <c r="C202" s="331"/>
      <c r="D202" s="331"/>
      <c r="E202" s="331"/>
      <c r="F202" s="171"/>
      <c r="G202" s="171"/>
      <c r="H202" s="171"/>
      <c r="I202" s="171"/>
      <c r="J202" s="171"/>
      <c r="K202" s="3" t="s">
        <v>49</v>
      </c>
      <c r="L202" s="185" t="s">
        <v>84</v>
      </c>
      <c r="M202" s="185"/>
      <c r="N202" s="3"/>
      <c r="O202" s="3"/>
      <c r="P202" s="332">
        <v>38.700000000000003</v>
      </c>
      <c r="Q202" s="332"/>
      <c r="R202" s="226"/>
      <c r="S202" s="226"/>
      <c r="T202" s="379">
        <f t="shared" ref="T202:T207" si="39">P202</f>
        <v>38.700000000000003</v>
      </c>
      <c r="U202" s="379"/>
      <c r="V202" s="116">
        <v>38.700000000000003</v>
      </c>
      <c r="W202" s="4"/>
      <c r="X202" s="4">
        <f t="shared" ref="X202:X207" si="40">V202</f>
        <v>38.700000000000003</v>
      </c>
      <c r="Y202" s="70">
        <f t="shared" si="37"/>
        <v>0</v>
      </c>
      <c r="Z202" s="4"/>
      <c r="AA202" s="70">
        <f t="shared" ref="AA202:AA207" si="41">Y202</f>
        <v>0</v>
      </c>
      <c r="AB202" s="36"/>
      <c r="AC202" s="36"/>
      <c r="AD202" s="36"/>
      <c r="AE202" s="36"/>
      <c r="AF202" s="36"/>
      <c r="AG202" s="36"/>
      <c r="AH202" s="36"/>
      <c r="AI202" s="36"/>
      <c r="AJ202" s="36"/>
    </row>
    <row r="203" spans="1:36" ht="20.100000000000001" customHeight="1" x14ac:dyDescent="0.25">
      <c r="A203" s="49">
        <f t="shared" si="38"/>
        <v>4</v>
      </c>
      <c r="B203" s="209" t="s">
        <v>78</v>
      </c>
      <c r="C203" s="209"/>
      <c r="D203" s="209"/>
      <c r="E203" s="209"/>
      <c r="F203" s="9"/>
      <c r="G203" s="9"/>
      <c r="H203" s="9"/>
      <c r="I203" s="9"/>
      <c r="J203" s="9"/>
      <c r="K203" s="3" t="s">
        <v>48</v>
      </c>
      <c r="L203" s="185" t="s">
        <v>55</v>
      </c>
      <c r="M203" s="185"/>
      <c r="N203" s="3"/>
      <c r="O203" s="3"/>
      <c r="P203" s="324">
        <v>1050</v>
      </c>
      <c r="Q203" s="324"/>
      <c r="R203" s="388"/>
      <c r="S203" s="388"/>
      <c r="T203" s="388">
        <f t="shared" si="39"/>
        <v>1050</v>
      </c>
      <c r="U203" s="388"/>
      <c r="V203" s="118">
        <v>1015</v>
      </c>
      <c r="W203" s="117"/>
      <c r="X203" s="117">
        <f t="shared" si="40"/>
        <v>1015</v>
      </c>
      <c r="Y203" s="117">
        <f t="shared" si="37"/>
        <v>-35</v>
      </c>
      <c r="Z203" s="117"/>
      <c r="AA203" s="117">
        <f t="shared" si="41"/>
        <v>-35</v>
      </c>
      <c r="AB203" s="36"/>
      <c r="AC203" s="36"/>
      <c r="AD203" s="36"/>
      <c r="AE203" s="36"/>
      <c r="AF203" s="36"/>
      <c r="AG203" s="36"/>
      <c r="AH203" s="36"/>
      <c r="AI203" s="36"/>
      <c r="AJ203" s="36"/>
    </row>
    <row r="204" spans="1:36" ht="50.25" customHeight="1" x14ac:dyDescent="0.25">
      <c r="A204" s="49">
        <f t="shared" si="38"/>
        <v>5</v>
      </c>
      <c r="B204" s="209" t="s">
        <v>79</v>
      </c>
      <c r="C204" s="209"/>
      <c r="D204" s="209"/>
      <c r="E204" s="209"/>
      <c r="F204" s="9"/>
      <c r="G204" s="9"/>
      <c r="H204" s="9"/>
      <c r="I204" s="9"/>
      <c r="J204" s="9"/>
      <c r="K204" s="3" t="s">
        <v>86</v>
      </c>
      <c r="L204" s="185" t="s">
        <v>55</v>
      </c>
      <c r="M204" s="185"/>
      <c r="N204" s="3"/>
      <c r="O204" s="3"/>
      <c r="P204" s="324">
        <v>6000</v>
      </c>
      <c r="Q204" s="324"/>
      <c r="R204" s="226"/>
      <c r="S204" s="226"/>
      <c r="T204" s="388">
        <f t="shared" si="39"/>
        <v>6000</v>
      </c>
      <c r="U204" s="388"/>
      <c r="V204" s="119">
        <v>6000</v>
      </c>
      <c r="W204" s="4"/>
      <c r="X204" s="4">
        <f t="shared" si="40"/>
        <v>6000</v>
      </c>
      <c r="Y204" s="70">
        <f t="shared" si="37"/>
        <v>0</v>
      </c>
      <c r="Z204" s="4"/>
      <c r="AA204" s="70">
        <f t="shared" si="41"/>
        <v>0</v>
      </c>
      <c r="AB204" s="170"/>
      <c r="AC204" s="36"/>
      <c r="AD204" s="36"/>
      <c r="AE204" s="36"/>
      <c r="AF204" s="36"/>
      <c r="AG204" s="36"/>
      <c r="AH204" s="36"/>
      <c r="AI204" s="36"/>
      <c r="AJ204" s="36"/>
    </row>
    <row r="205" spans="1:36" ht="20.100000000000001" customHeight="1" x14ac:dyDescent="0.25">
      <c r="A205" s="49">
        <f t="shared" si="38"/>
        <v>6</v>
      </c>
      <c r="B205" s="209" t="s">
        <v>80</v>
      </c>
      <c r="C205" s="209"/>
      <c r="D205" s="209"/>
      <c r="E205" s="209"/>
      <c r="F205" s="9"/>
      <c r="G205" s="9"/>
      <c r="H205" s="9"/>
      <c r="I205" s="9"/>
      <c r="J205" s="9"/>
      <c r="K205" s="3" t="s">
        <v>86</v>
      </c>
      <c r="L205" s="185" t="s">
        <v>55</v>
      </c>
      <c r="M205" s="185"/>
      <c r="N205" s="3"/>
      <c r="O205" s="3"/>
      <c r="P205" s="296">
        <v>804.7</v>
      </c>
      <c r="Q205" s="296"/>
      <c r="R205" s="226"/>
      <c r="S205" s="226"/>
      <c r="T205" s="379">
        <f t="shared" si="39"/>
        <v>804.7</v>
      </c>
      <c r="U205" s="379"/>
      <c r="V205" s="120">
        <v>789.4</v>
      </c>
      <c r="W205" s="4"/>
      <c r="X205" s="4">
        <f t="shared" si="40"/>
        <v>789.4</v>
      </c>
      <c r="Y205" s="70">
        <f t="shared" si="37"/>
        <v>-15.300000000000068</v>
      </c>
      <c r="Z205" s="4"/>
      <c r="AA205" s="70">
        <f t="shared" si="41"/>
        <v>-15.300000000000068</v>
      </c>
      <c r="AB205" s="36"/>
      <c r="AC205" s="36"/>
      <c r="AD205" s="36"/>
      <c r="AE205" s="36"/>
      <c r="AF205" s="36"/>
      <c r="AG205" s="36"/>
      <c r="AH205" s="36"/>
      <c r="AI205" s="36"/>
      <c r="AJ205" s="36"/>
    </row>
    <row r="206" spans="1:36" ht="34.5" customHeight="1" x14ac:dyDescent="0.25">
      <c r="A206" s="49">
        <f t="shared" si="38"/>
        <v>7</v>
      </c>
      <c r="B206" s="209" t="s">
        <v>81</v>
      </c>
      <c r="C206" s="209"/>
      <c r="D206" s="209"/>
      <c r="E206" s="209"/>
      <c r="F206" s="9"/>
      <c r="G206" s="9"/>
      <c r="H206" s="9"/>
      <c r="I206" s="9"/>
      <c r="J206" s="9"/>
      <c r="K206" s="3" t="s">
        <v>48</v>
      </c>
      <c r="L206" s="185" t="s">
        <v>55</v>
      </c>
      <c r="M206" s="185"/>
      <c r="N206" s="3"/>
      <c r="O206" s="3"/>
      <c r="P206" s="324">
        <v>109</v>
      </c>
      <c r="Q206" s="324"/>
      <c r="R206" s="226"/>
      <c r="S206" s="226"/>
      <c r="T206" s="388">
        <f t="shared" si="39"/>
        <v>109</v>
      </c>
      <c r="U206" s="388"/>
      <c r="V206" s="120">
        <v>109</v>
      </c>
      <c r="W206" s="4"/>
      <c r="X206" s="4">
        <f t="shared" si="40"/>
        <v>109</v>
      </c>
      <c r="Y206" s="70">
        <f t="shared" si="37"/>
        <v>0</v>
      </c>
      <c r="Z206" s="4"/>
      <c r="AA206" s="70">
        <f t="shared" si="41"/>
        <v>0</v>
      </c>
      <c r="AB206" s="65"/>
      <c r="AC206" s="36"/>
      <c r="AD206" s="36"/>
      <c r="AE206" s="36"/>
      <c r="AF206" s="36"/>
      <c r="AG206" s="36"/>
      <c r="AH206" s="36"/>
      <c r="AI206" s="36"/>
      <c r="AJ206" s="36"/>
    </row>
    <row r="207" spans="1:36" ht="36.75" customHeight="1" x14ac:dyDescent="0.25">
      <c r="A207" s="49">
        <f t="shared" si="38"/>
        <v>8</v>
      </c>
      <c r="B207" s="325" t="s">
        <v>87</v>
      </c>
      <c r="C207" s="325"/>
      <c r="D207" s="325"/>
      <c r="E207" s="325"/>
      <c r="F207" s="161"/>
      <c r="G207" s="161"/>
      <c r="H207" s="161"/>
      <c r="I207" s="161"/>
      <c r="J207" s="161"/>
      <c r="K207" s="3" t="s">
        <v>88</v>
      </c>
      <c r="L207" s="185" t="s">
        <v>89</v>
      </c>
      <c r="M207" s="185"/>
      <c r="N207" s="3"/>
      <c r="O207" s="3"/>
      <c r="P207" s="296">
        <v>3.9</v>
      </c>
      <c r="Q207" s="296"/>
      <c r="R207" s="226"/>
      <c r="S207" s="226"/>
      <c r="T207" s="379">
        <f t="shared" si="39"/>
        <v>3.9</v>
      </c>
      <c r="U207" s="379"/>
      <c r="V207" s="120">
        <v>7.9</v>
      </c>
      <c r="W207" s="4"/>
      <c r="X207" s="4">
        <f t="shared" si="40"/>
        <v>7.9</v>
      </c>
      <c r="Y207" s="70">
        <f t="shared" si="37"/>
        <v>4</v>
      </c>
      <c r="Z207" s="4"/>
      <c r="AA207" s="70">
        <f t="shared" si="41"/>
        <v>4</v>
      </c>
      <c r="AB207" s="65"/>
      <c r="AC207" s="36"/>
      <c r="AD207" s="36"/>
      <c r="AE207" s="36"/>
      <c r="AF207" s="36"/>
      <c r="AG207" s="36"/>
      <c r="AH207" s="36"/>
      <c r="AI207" s="36"/>
      <c r="AJ207" s="65"/>
    </row>
    <row r="208" spans="1:36" s="64" customFormat="1" ht="20.100000000000001" customHeight="1" x14ac:dyDescent="0.25">
      <c r="A208" s="49"/>
      <c r="B208" s="417" t="s">
        <v>340</v>
      </c>
      <c r="C208" s="417"/>
      <c r="D208" s="417"/>
      <c r="E208" s="417"/>
      <c r="F208" s="417"/>
      <c r="G208" s="417"/>
      <c r="H208" s="417"/>
      <c r="I208" s="417"/>
      <c r="J208" s="417"/>
      <c r="K208" s="417"/>
      <c r="L208" s="417"/>
      <c r="M208" s="417"/>
      <c r="N208" s="417"/>
      <c r="O208" s="417"/>
      <c r="P208" s="417"/>
      <c r="Q208" s="417"/>
      <c r="R208" s="417"/>
      <c r="S208" s="417"/>
      <c r="T208" s="417"/>
      <c r="U208" s="417"/>
      <c r="V208" s="417"/>
      <c r="W208" s="417"/>
      <c r="X208" s="417"/>
      <c r="Y208" s="417"/>
      <c r="Z208" s="417"/>
      <c r="AA208" s="417"/>
      <c r="AB208" s="65"/>
      <c r="AC208" s="36"/>
      <c r="AD208" s="36"/>
      <c r="AE208" s="36"/>
      <c r="AF208" s="36"/>
      <c r="AG208" s="36"/>
      <c r="AH208" s="36"/>
      <c r="AI208" s="36"/>
      <c r="AJ208" s="65"/>
    </row>
    <row r="209" spans="1:36" s="36" customFormat="1" ht="20.100000000000001" customHeight="1" x14ac:dyDescent="0.25">
      <c r="A209" s="49"/>
      <c r="B209" s="177" t="s">
        <v>379</v>
      </c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  <c r="AA209" s="177"/>
      <c r="AB209" s="65"/>
      <c r="AJ209" s="65"/>
    </row>
    <row r="210" spans="1:36" s="36" customFormat="1" ht="20.100000000000001" customHeight="1" x14ac:dyDescent="0.25">
      <c r="A210" s="49"/>
      <c r="B210" s="177" t="s">
        <v>380</v>
      </c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  <c r="AA210" s="177"/>
      <c r="AB210" s="65"/>
      <c r="AJ210" s="65"/>
    </row>
    <row r="211" spans="1:36" ht="20.100000000000001" customHeight="1" x14ac:dyDescent="0.25">
      <c r="A211" s="49"/>
      <c r="B211" s="263" t="s">
        <v>327</v>
      </c>
      <c r="C211" s="263"/>
      <c r="D211" s="263"/>
      <c r="E211" s="263"/>
      <c r="F211" s="72"/>
      <c r="G211" s="72"/>
      <c r="H211" s="72"/>
      <c r="I211" s="72"/>
      <c r="J211" s="72"/>
      <c r="K211" s="3"/>
      <c r="L211" s="185"/>
      <c r="M211" s="185"/>
      <c r="N211" s="3"/>
      <c r="O211" s="3"/>
      <c r="P211" s="185"/>
      <c r="Q211" s="185"/>
      <c r="R211" s="221"/>
      <c r="S211" s="221"/>
      <c r="T211" s="221"/>
      <c r="U211" s="221"/>
      <c r="V211" s="46"/>
      <c r="W211" s="46"/>
      <c r="X211" s="46"/>
      <c r="Y211" s="46"/>
      <c r="Z211" s="46"/>
      <c r="AA211" s="46"/>
      <c r="AB211" s="61"/>
    </row>
    <row r="212" spans="1:36" ht="35.25" customHeight="1" x14ac:dyDescent="0.25">
      <c r="A212" s="49">
        <v>1</v>
      </c>
      <c r="B212" s="209" t="s">
        <v>90</v>
      </c>
      <c r="C212" s="209"/>
      <c r="D212" s="209"/>
      <c r="E212" s="209"/>
      <c r="F212" s="9"/>
      <c r="G212" s="9"/>
      <c r="H212" s="9"/>
      <c r="I212" s="9"/>
      <c r="J212" s="9"/>
      <c r="K212" s="3" t="s">
        <v>46</v>
      </c>
      <c r="L212" s="185" t="s">
        <v>55</v>
      </c>
      <c r="M212" s="185"/>
      <c r="N212" s="3"/>
      <c r="O212" s="3"/>
      <c r="P212" s="217">
        <f>P188/12/2</f>
        <v>11812.416666666666</v>
      </c>
      <c r="Q212" s="217"/>
      <c r="R212" s="291"/>
      <c r="S212" s="291"/>
      <c r="T212" s="291">
        <f t="shared" ref="T212:T217" si="42">P212</f>
        <v>11812.416666666666</v>
      </c>
      <c r="U212" s="291"/>
      <c r="V212" s="6">
        <f>V188/12/2</f>
        <v>11467.414583333333</v>
      </c>
      <c r="W212" s="6"/>
      <c r="X212" s="6">
        <f t="shared" ref="X212:X217" si="43">V212</f>
        <v>11467.414583333333</v>
      </c>
      <c r="Y212" s="6">
        <f t="shared" ref="Y212:Y217" si="44">V212-P212</f>
        <v>-345.00208333333285</v>
      </c>
      <c r="Z212" s="6"/>
      <c r="AA212" s="6">
        <f t="shared" ref="AA212:AA217" si="45">Y212</f>
        <v>-345.00208333333285</v>
      </c>
    </row>
    <row r="213" spans="1:36" ht="35.25" customHeight="1" x14ac:dyDescent="0.25">
      <c r="A213" s="49">
        <f>A212+1</f>
        <v>2</v>
      </c>
      <c r="B213" s="209" t="s">
        <v>91</v>
      </c>
      <c r="C213" s="209"/>
      <c r="D213" s="209"/>
      <c r="E213" s="209"/>
      <c r="F213" s="9"/>
      <c r="G213" s="9"/>
      <c r="H213" s="9"/>
      <c r="I213" s="9"/>
      <c r="J213" s="9"/>
      <c r="K213" s="3" t="s">
        <v>46</v>
      </c>
      <c r="L213" s="185" t="s">
        <v>55</v>
      </c>
      <c r="M213" s="185"/>
      <c r="N213" s="3"/>
      <c r="O213" s="3"/>
      <c r="P213" s="217">
        <f>P189/P203</f>
        <v>856.20476190476188</v>
      </c>
      <c r="Q213" s="217"/>
      <c r="R213" s="291"/>
      <c r="S213" s="291"/>
      <c r="T213" s="291">
        <f t="shared" si="42"/>
        <v>856.20476190476188</v>
      </c>
      <c r="U213" s="291"/>
      <c r="V213" s="6">
        <f>V189/V203</f>
        <v>874.47886699507399</v>
      </c>
      <c r="W213" s="6"/>
      <c r="X213" s="6">
        <f t="shared" si="43"/>
        <v>874.47886699507399</v>
      </c>
      <c r="Y213" s="6">
        <f t="shared" si="44"/>
        <v>18.274105090312105</v>
      </c>
      <c r="Z213" s="6"/>
      <c r="AA213" s="6">
        <f t="shared" si="45"/>
        <v>18.274105090312105</v>
      </c>
    </row>
    <row r="214" spans="1:36" ht="49.5" customHeight="1" x14ac:dyDescent="0.25">
      <c r="A214" s="49">
        <f>A213+1</f>
        <v>3</v>
      </c>
      <c r="B214" s="209" t="s">
        <v>92</v>
      </c>
      <c r="C214" s="209"/>
      <c r="D214" s="209"/>
      <c r="E214" s="209"/>
      <c r="F214" s="9"/>
      <c r="G214" s="9"/>
      <c r="H214" s="9"/>
      <c r="I214" s="9"/>
      <c r="J214" s="9"/>
      <c r="K214" s="3" t="s">
        <v>46</v>
      </c>
      <c r="L214" s="185" t="s">
        <v>55</v>
      </c>
      <c r="M214" s="185"/>
      <c r="N214" s="3"/>
      <c r="O214" s="3"/>
      <c r="P214" s="217">
        <f>P190/P204</f>
        <v>9.9700000000000006</v>
      </c>
      <c r="Q214" s="217"/>
      <c r="R214" s="291"/>
      <c r="S214" s="291"/>
      <c r="T214" s="291">
        <f t="shared" si="42"/>
        <v>9.9700000000000006</v>
      </c>
      <c r="U214" s="291"/>
      <c r="V214" s="6">
        <f>V190/V204</f>
        <v>9.9700000000000006</v>
      </c>
      <c r="W214" s="6"/>
      <c r="X214" s="6">
        <f t="shared" si="43"/>
        <v>9.9700000000000006</v>
      </c>
      <c r="Y214" s="6">
        <f t="shared" si="44"/>
        <v>0</v>
      </c>
      <c r="Z214" s="6"/>
      <c r="AA214" s="6">
        <f t="shared" si="45"/>
        <v>0</v>
      </c>
    </row>
    <row r="215" spans="1:36" ht="34.5" customHeight="1" x14ac:dyDescent="0.25">
      <c r="A215" s="49">
        <f>A214+1</f>
        <v>4</v>
      </c>
      <c r="B215" s="209" t="s">
        <v>93</v>
      </c>
      <c r="C215" s="209"/>
      <c r="D215" s="209"/>
      <c r="E215" s="209"/>
      <c r="F215" s="9"/>
      <c r="G215" s="9"/>
      <c r="H215" s="9"/>
      <c r="I215" s="9"/>
      <c r="J215" s="9"/>
      <c r="K215" s="3" t="s">
        <v>46</v>
      </c>
      <c r="L215" s="185" t="s">
        <v>55</v>
      </c>
      <c r="M215" s="185"/>
      <c r="N215" s="3"/>
      <c r="O215" s="3"/>
      <c r="P215" s="217">
        <f>P191/P205</f>
        <v>38.56468249036908</v>
      </c>
      <c r="Q215" s="217"/>
      <c r="R215" s="291"/>
      <c r="S215" s="291"/>
      <c r="T215" s="291">
        <f t="shared" si="42"/>
        <v>38.56468249036908</v>
      </c>
      <c r="U215" s="291"/>
      <c r="V215" s="6">
        <f>V191/V205</f>
        <v>38.704687104129718</v>
      </c>
      <c r="W215" s="6"/>
      <c r="X215" s="6">
        <f t="shared" si="43"/>
        <v>38.704687104129718</v>
      </c>
      <c r="Y215" s="6">
        <f t="shared" si="44"/>
        <v>0.14000461376063811</v>
      </c>
      <c r="Z215" s="6"/>
      <c r="AA215" s="6">
        <f t="shared" si="45"/>
        <v>0.14000461376063811</v>
      </c>
    </row>
    <row r="216" spans="1:36" ht="34.5" customHeight="1" x14ac:dyDescent="0.25">
      <c r="A216" s="49">
        <f>A215+1</f>
        <v>5</v>
      </c>
      <c r="B216" s="209" t="s">
        <v>94</v>
      </c>
      <c r="C216" s="209"/>
      <c r="D216" s="209"/>
      <c r="E216" s="209"/>
      <c r="F216" s="9"/>
      <c r="G216" s="9"/>
      <c r="H216" s="9"/>
      <c r="I216" s="9"/>
      <c r="J216" s="9"/>
      <c r="K216" s="3" t="s">
        <v>46</v>
      </c>
      <c r="L216" s="185" t="s">
        <v>55</v>
      </c>
      <c r="M216" s="185"/>
      <c r="N216" s="3"/>
      <c r="O216" s="3"/>
      <c r="P216" s="217">
        <f>P192/12</f>
        <v>150467.08333333334</v>
      </c>
      <c r="Q216" s="217"/>
      <c r="R216" s="291"/>
      <c r="S216" s="291"/>
      <c r="T216" s="291">
        <f t="shared" si="42"/>
        <v>150467.08333333334</v>
      </c>
      <c r="U216" s="291"/>
      <c r="V216" s="6">
        <f>V192/12</f>
        <v>149103.28166666665</v>
      </c>
      <c r="W216" s="6"/>
      <c r="X216" s="6">
        <f t="shared" si="43"/>
        <v>149103.28166666665</v>
      </c>
      <c r="Y216" s="6">
        <f t="shared" si="44"/>
        <v>-1363.8016666666954</v>
      </c>
      <c r="Z216" s="6"/>
      <c r="AA216" s="6">
        <f t="shared" si="45"/>
        <v>-1363.8016666666954</v>
      </c>
    </row>
    <row r="217" spans="1:36" ht="51.75" customHeight="1" x14ac:dyDescent="0.25">
      <c r="A217" s="49">
        <f>A216+1</f>
        <v>6</v>
      </c>
      <c r="B217" s="325" t="s">
        <v>95</v>
      </c>
      <c r="C217" s="325"/>
      <c r="D217" s="325"/>
      <c r="E217" s="325"/>
      <c r="F217" s="161"/>
      <c r="G217" s="161"/>
      <c r="H217" s="161"/>
      <c r="I217" s="161"/>
      <c r="J217" s="161"/>
      <c r="K217" s="3" t="s">
        <v>46</v>
      </c>
      <c r="L217" s="185" t="s">
        <v>55</v>
      </c>
      <c r="M217" s="185"/>
      <c r="N217" s="3"/>
      <c r="O217" s="3"/>
      <c r="P217" s="217">
        <f>P193/P207</f>
        <v>124699.74358974359</v>
      </c>
      <c r="Q217" s="217"/>
      <c r="R217" s="291"/>
      <c r="S217" s="291"/>
      <c r="T217" s="291">
        <f t="shared" si="42"/>
        <v>124699.74358974359</v>
      </c>
      <c r="U217" s="291"/>
      <c r="V217" s="6">
        <f>V193/V207</f>
        <v>60420.893670886071</v>
      </c>
      <c r="W217" s="6"/>
      <c r="X217" s="6">
        <f t="shared" si="43"/>
        <v>60420.893670886071</v>
      </c>
      <c r="Y217" s="6">
        <f t="shared" si="44"/>
        <v>-64278.849918857522</v>
      </c>
      <c r="Z217" s="6"/>
      <c r="AA217" s="6">
        <f t="shared" si="45"/>
        <v>-64278.849918857522</v>
      </c>
    </row>
    <row r="218" spans="1:36" ht="20.100000000000001" customHeight="1" x14ac:dyDescent="0.25">
      <c r="A218" s="49"/>
      <c r="B218" s="209" t="s">
        <v>393</v>
      </c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</row>
    <row r="219" spans="1:36" ht="20.100000000000001" customHeight="1" x14ac:dyDescent="0.25">
      <c r="A219" s="49"/>
      <c r="B219" s="177" t="s">
        <v>341</v>
      </c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  <c r="AA219" s="177"/>
    </row>
    <row r="220" spans="1:36" ht="20.100000000000001" customHeight="1" x14ac:dyDescent="0.25">
      <c r="A220" s="49"/>
      <c r="B220" s="177" t="s">
        <v>342</v>
      </c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  <c r="AA220" s="177"/>
    </row>
    <row r="221" spans="1:36" ht="20.100000000000001" customHeight="1" x14ac:dyDescent="0.25">
      <c r="A221" s="49"/>
      <c r="B221" s="177" t="s">
        <v>392</v>
      </c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  <c r="AA221" s="177"/>
    </row>
    <row r="222" spans="1:36" ht="20.100000000000001" customHeight="1" x14ac:dyDescent="0.25">
      <c r="A222" s="49"/>
      <c r="B222" s="177" t="s">
        <v>343</v>
      </c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  <c r="AA222" s="177"/>
    </row>
    <row r="223" spans="1:36" ht="20.100000000000001" customHeight="1" x14ac:dyDescent="0.25">
      <c r="A223" s="49"/>
      <c r="B223" s="263" t="s">
        <v>325</v>
      </c>
      <c r="C223" s="263"/>
      <c r="D223" s="263"/>
      <c r="E223" s="263"/>
      <c r="F223" s="72"/>
      <c r="G223" s="72"/>
      <c r="H223" s="72"/>
      <c r="I223" s="72"/>
      <c r="J223" s="72"/>
      <c r="K223" s="3"/>
      <c r="L223" s="185"/>
      <c r="M223" s="185"/>
      <c r="N223" s="3"/>
      <c r="O223" s="3"/>
      <c r="P223" s="220"/>
      <c r="Q223" s="220"/>
      <c r="R223" s="387"/>
      <c r="S223" s="387"/>
      <c r="T223" s="387"/>
      <c r="U223" s="387"/>
      <c r="V223" s="5"/>
      <c r="W223" s="5"/>
      <c r="X223" s="5"/>
      <c r="Y223" s="5"/>
      <c r="Z223" s="5"/>
      <c r="AA223" s="5"/>
    </row>
    <row r="224" spans="1:36" ht="48.75" customHeight="1" x14ac:dyDescent="0.25">
      <c r="A224" s="49">
        <v>1</v>
      </c>
      <c r="B224" s="198" t="s">
        <v>96</v>
      </c>
      <c r="C224" s="198"/>
      <c r="D224" s="198"/>
      <c r="E224" s="198"/>
      <c r="F224" s="12"/>
      <c r="G224" s="12"/>
      <c r="H224" s="12"/>
      <c r="I224" s="12"/>
      <c r="J224" s="12"/>
      <c r="K224" s="3" t="s">
        <v>50</v>
      </c>
      <c r="L224" s="185" t="s">
        <v>55</v>
      </c>
      <c r="M224" s="185"/>
      <c r="N224" s="3"/>
      <c r="O224" s="3"/>
      <c r="P224" s="281">
        <f>(P216/1000)/96.31333*100</f>
        <v>156.22664415541789</v>
      </c>
      <c r="Q224" s="281"/>
      <c r="R224" s="226"/>
      <c r="S224" s="226"/>
      <c r="T224" s="294">
        <f>P224</f>
        <v>156.22664415541789</v>
      </c>
      <c r="U224" s="226"/>
      <c r="V224" s="10">
        <f>(V216/1000)/96.31333*100</f>
        <v>154.8106390534588</v>
      </c>
      <c r="W224" s="10"/>
      <c r="X224" s="69">
        <f>V224</f>
        <v>154.8106390534588</v>
      </c>
      <c r="Y224" s="69">
        <f>V224-P224</f>
        <v>-1.4160051019590867</v>
      </c>
      <c r="Z224" s="4"/>
      <c r="AA224" s="69">
        <f>Y224</f>
        <v>-1.4160051019590867</v>
      </c>
    </row>
    <row r="225" spans="1:28" ht="68.25" customHeight="1" x14ac:dyDescent="0.25">
      <c r="A225" s="49">
        <v>2</v>
      </c>
      <c r="B225" s="198" t="s">
        <v>97</v>
      </c>
      <c r="C225" s="198"/>
      <c r="D225" s="198"/>
      <c r="E225" s="198"/>
      <c r="F225" s="12"/>
      <c r="G225" s="12"/>
      <c r="H225" s="12"/>
      <c r="I225" s="12"/>
      <c r="J225" s="12"/>
      <c r="K225" s="3" t="s">
        <v>50</v>
      </c>
      <c r="L225" s="185" t="s">
        <v>55</v>
      </c>
      <c r="M225" s="185"/>
      <c r="N225" s="3"/>
      <c r="O225" s="3"/>
      <c r="P225" s="281">
        <f>P193/278920*100</f>
        <v>174.36146565323389</v>
      </c>
      <c r="Q225" s="281"/>
      <c r="R225" s="226"/>
      <c r="S225" s="226"/>
      <c r="T225" s="294">
        <f>P225</f>
        <v>174.36146565323389</v>
      </c>
      <c r="U225" s="226"/>
      <c r="V225" s="10">
        <f>V193/278920*100</f>
        <v>171.13332138247526</v>
      </c>
      <c r="W225" s="10"/>
      <c r="X225" s="69">
        <f>V225</f>
        <v>171.13332138247526</v>
      </c>
      <c r="Y225" s="69">
        <f>V225-P225</f>
        <v>-3.2281442707586336</v>
      </c>
      <c r="Z225" s="4"/>
      <c r="AA225" s="69">
        <f>Y225</f>
        <v>-3.2281442707586336</v>
      </c>
    </row>
    <row r="226" spans="1:28" s="64" customFormat="1" ht="20.100000000000001" customHeight="1" x14ac:dyDescent="0.25">
      <c r="A226" s="49"/>
      <c r="B226" s="198" t="s">
        <v>344</v>
      </c>
      <c r="C226" s="198"/>
      <c r="D226" s="198"/>
      <c r="E226" s="198"/>
      <c r="F226" s="198"/>
      <c r="G226" s="198"/>
      <c r="H226" s="198"/>
      <c r="I226" s="198"/>
      <c r="J226" s="198"/>
      <c r="K226" s="198"/>
      <c r="L226" s="198"/>
      <c r="M226" s="198"/>
      <c r="N226" s="198"/>
      <c r="O226" s="198"/>
      <c r="P226" s="198"/>
      <c r="Q226" s="198"/>
      <c r="R226" s="198"/>
      <c r="S226" s="198"/>
      <c r="T226" s="198"/>
      <c r="U226" s="198"/>
      <c r="V226" s="198"/>
      <c r="W226" s="198"/>
      <c r="X226" s="198"/>
      <c r="Y226" s="198"/>
      <c r="Z226" s="198"/>
      <c r="AA226" s="198"/>
    </row>
    <row r="227" spans="1:28" s="24" customFormat="1" ht="20.100000000000001" customHeight="1" x14ac:dyDescent="0.25">
      <c r="A227" s="49"/>
      <c r="B227" s="198" t="s">
        <v>381</v>
      </c>
      <c r="C227" s="198"/>
      <c r="D227" s="198"/>
      <c r="E227" s="198"/>
      <c r="F227" s="198"/>
      <c r="G227" s="198"/>
      <c r="H227" s="198"/>
      <c r="I227" s="198"/>
      <c r="J227" s="198"/>
      <c r="K227" s="198"/>
      <c r="L227" s="198"/>
      <c r="M227" s="198"/>
      <c r="N227" s="198"/>
      <c r="O227" s="198"/>
      <c r="P227" s="198"/>
      <c r="Q227" s="198"/>
      <c r="R227" s="198"/>
      <c r="S227" s="198"/>
      <c r="T227" s="198"/>
      <c r="U227" s="198"/>
      <c r="V227" s="198"/>
      <c r="W227" s="198"/>
      <c r="X227" s="198"/>
      <c r="Y227" s="198"/>
      <c r="Z227" s="198"/>
      <c r="AA227" s="198"/>
    </row>
    <row r="228" spans="1:28" ht="24" customHeight="1" x14ac:dyDescent="0.25">
      <c r="A228" s="49"/>
      <c r="B228" s="418" t="s">
        <v>33</v>
      </c>
      <c r="C228" s="418"/>
      <c r="D228" s="418"/>
      <c r="E228" s="418"/>
      <c r="F228" s="418"/>
      <c r="G228" s="418"/>
      <c r="H228" s="418"/>
      <c r="I228" s="418"/>
      <c r="J228" s="418"/>
      <c r="K228" s="418"/>
      <c r="L228" s="418"/>
      <c r="M228" s="418"/>
      <c r="N228" s="418"/>
      <c r="O228" s="418"/>
      <c r="P228" s="418"/>
      <c r="Q228" s="418"/>
      <c r="R228" s="418"/>
      <c r="S228" s="418"/>
      <c r="T228" s="418"/>
      <c r="U228" s="418"/>
      <c r="V228" s="418"/>
      <c r="W228" s="418"/>
      <c r="X228" s="418"/>
      <c r="Y228" s="418"/>
      <c r="Z228" s="418"/>
      <c r="AA228" s="418"/>
    </row>
    <row r="229" spans="1:28" ht="20.100000000000001" customHeight="1" x14ac:dyDescent="0.25">
      <c r="A229" s="49"/>
      <c r="B229" s="288" t="s">
        <v>326</v>
      </c>
      <c r="C229" s="288"/>
      <c r="D229" s="288"/>
      <c r="E229" s="288"/>
      <c r="F229" s="18"/>
      <c r="G229" s="18"/>
      <c r="H229" s="18"/>
      <c r="I229" s="18"/>
      <c r="J229" s="18"/>
      <c r="K229" s="2"/>
      <c r="L229" s="185"/>
      <c r="M229" s="185"/>
      <c r="N229" s="3"/>
      <c r="O229" s="3"/>
      <c r="P229" s="220"/>
      <c r="Q229" s="321"/>
      <c r="R229" s="387"/>
      <c r="S229" s="387"/>
      <c r="T229" s="387"/>
      <c r="U229" s="387"/>
      <c r="V229" s="5"/>
      <c r="W229" s="5"/>
      <c r="X229" s="5"/>
      <c r="Y229" s="5"/>
      <c r="Z229" s="5"/>
      <c r="AA229" s="5"/>
    </row>
    <row r="230" spans="1:28" ht="20.100000000000001" customHeight="1" x14ac:dyDescent="0.25">
      <c r="A230" s="49"/>
      <c r="B230" s="242" t="s">
        <v>37</v>
      </c>
      <c r="C230" s="243"/>
      <c r="D230" s="243"/>
      <c r="E230" s="243"/>
      <c r="F230" s="18"/>
      <c r="G230" s="18"/>
      <c r="H230" s="18"/>
      <c r="I230" s="18"/>
      <c r="J230" s="18"/>
      <c r="K230" s="2" t="s">
        <v>46</v>
      </c>
      <c r="L230" s="185" t="s">
        <v>44</v>
      </c>
      <c r="M230" s="185"/>
      <c r="N230" s="3"/>
      <c r="O230" s="3"/>
      <c r="P230" s="268">
        <f>P231+P235</f>
        <v>64854578</v>
      </c>
      <c r="Q230" s="227"/>
      <c r="R230" s="260"/>
      <c r="S230" s="261"/>
      <c r="T230" s="258">
        <f>P230</f>
        <v>64854578</v>
      </c>
      <c r="U230" s="261"/>
      <c r="V230" s="6">
        <f>V231+V235</f>
        <v>64677577.799999997</v>
      </c>
      <c r="W230" s="4"/>
      <c r="X230" s="6">
        <f>V230</f>
        <v>64677577.799999997</v>
      </c>
      <c r="Y230" s="114">
        <f>V230-P230</f>
        <v>-177000.20000000298</v>
      </c>
      <c r="Z230" s="4"/>
      <c r="AA230" s="6">
        <f>Y230</f>
        <v>-177000.20000000298</v>
      </c>
    </row>
    <row r="231" spans="1:28" ht="33" customHeight="1" x14ac:dyDescent="0.25">
      <c r="A231" s="49">
        <v>1</v>
      </c>
      <c r="B231" s="326" t="s">
        <v>98</v>
      </c>
      <c r="C231" s="327"/>
      <c r="D231" s="327"/>
      <c r="E231" s="327"/>
      <c r="F231" s="327"/>
      <c r="G231" s="327"/>
      <c r="H231" s="327"/>
      <c r="I231" s="327"/>
      <c r="J231" s="328"/>
      <c r="K231" s="2" t="s">
        <v>46</v>
      </c>
      <c r="L231" s="185" t="s">
        <v>44</v>
      </c>
      <c r="M231" s="185"/>
      <c r="N231" s="3"/>
      <c r="O231" s="3"/>
      <c r="P231" s="396">
        <f>P232+P233+P234</f>
        <v>61914323</v>
      </c>
      <c r="Q231" s="397"/>
      <c r="R231" s="291"/>
      <c r="S231" s="291"/>
      <c r="T231" s="393">
        <f>P231</f>
        <v>61914323</v>
      </c>
      <c r="U231" s="393"/>
      <c r="V231" s="163">
        <f>V232+V233+V234</f>
        <v>61739323.68</v>
      </c>
      <c r="W231" s="114"/>
      <c r="X231" s="114">
        <f>V231</f>
        <v>61739323.68</v>
      </c>
      <c r="Y231" s="114">
        <f>V231-P231</f>
        <v>-174999.3200000003</v>
      </c>
      <c r="Z231" s="114"/>
      <c r="AA231" s="114">
        <f>Y231</f>
        <v>-174999.3200000003</v>
      </c>
    </row>
    <row r="232" spans="1:28" ht="34.5" customHeight="1" x14ac:dyDescent="0.25">
      <c r="A232" s="49">
        <v>2</v>
      </c>
      <c r="B232" s="242" t="s">
        <v>99</v>
      </c>
      <c r="C232" s="243"/>
      <c r="D232" s="243"/>
      <c r="E232" s="243"/>
      <c r="F232" s="243"/>
      <c r="G232" s="243"/>
      <c r="H232" s="243"/>
      <c r="I232" s="243"/>
      <c r="J232" s="244"/>
      <c r="K232" s="2" t="s">
        <v>46</v>
      </c>
      <c r="L232" s="185" t="s">
        <v>77</v>
      </c>
      <c r="M232" s="185"/>
      <c r="N232" s="3"/>
      <c r="O232" s="3"/>
      <c r="P232" s="210">
        <f>(43.97+440.01+15.99+16.69+353.87+93.63+4014.72+14799.077+68.98)*1000</f>
        <v>19846936.999999996</v>
      </c>
      <c r="Q232" s="211"/>
      <c r="R232" s="291"/>
      <c r="S232" s="291"/>
      <c r="T232" s="291">
        <f t="shared" ref="T232:T251" si="46">P232</f>
        <v>19846936.999999996</v>
      </c>
      <c r="U232" s="291"/>
      <c r="V232" s="152">
        <v>19681785.809999999</v>
      </c>
      <c r="W232" s="6"/>
      <c r="X232" s="6">
        <f t="shared" ref="X232:X242" si="47">V232</f>
        <v>19681785.809999999</v>
      </c>
      <c r="Y232" s="6">
        <f t="shared" ref="Y232:Y261" si="48">V232-P232</f>
        <v>-165151.18999999762</v>
      </c>
      <c r="Z232" s="6"/>
      <c r="AA232" s="6">
        <f t="shared" ref="AA232:AA261" si="49">Y232</f>
        <v>-165151.18999999762</v>
      </c>
    </row>
    <row r="233" spans="1:28" ht="30.75" customHeight="1" x14ac:dyDescent="0.25">
      <c r="A233" s="49">
        <v>3</v>
      </c>
      <c r="B233" s="242" t="s">
        <v>100</v>
      </c>
      <c r="C233" s="243"/>
      <c r="D233" s="243"/>
      <c r="E233" s="243"/>
      <c r="F233" s="243"/>
      <c r="G233" s="243"/>
      <c r="H233" s="243"/>
      <c r="I233" s="243"/>
      <c r="J233" s="244"/>
      <c r="K233" s="2" t="s">
        <v>46</v>
      </c>
      <c r="L233" s="185" t="s">
        <v>77</v>
      </c>
      <c r="M233" s="185"/>
      <c r="N233" s="3"/>
      <c r="O233" s="3"/>
      <c r="P233" s="210">
        <f>(198.91+1663.23+5.35+283.92+23108.62+108.24+114.74+79.3+5491.138+60.238)*1000</f>
        <v>31113686</v>
      </c>
      <c r="Q233" s="211"/>
      <c r="R233" s="291"/>
      <c r="S233" s="291"/>
      <c r="T233" s="291">
        <f t="shared" si="46"/>
        <v>31113686</v>
      </c>
      <c r="U233" s="291"/>
      <c r="V233" s="152">
        <v>31104562.969999999</v>
      </c>
      <c r="W233" s="6"/>
      <c r="X233" s="6">
        <f t="shared" si="47"/>
        <v>31104562.969999999</v>
      </c>
      <c r="Y233" s="6">
        <f t="shared" si="48"/>
        <v>-9123.0300000011921</v>
      </c>
      <c r="Z233" s="6"/>
      <c r="AA233" s="6">
        <f t="shared" si="49"/>
        <v>-9123.0300000011921</v>
      </c>
    </row>
    <row r="234" spans="1:28" ht="20.100000000000001" customHeight="1" x14ac:dyDescent="0.25">
      <c r="A234" s="49">
        <v>4</v>
      </c>
      <c r="B234" s="242" t="s">
        <v>101</v>
      </c>
      <c r="C234" s="243"/>
      <c r="D234" s="243"/>
      <c r="E234" s="243"/>
      <c r="F234" s="243"/>
      <c r="G234" s="243"/>
      <c r="H234" s="243"/>
      <c r="I234" s="243"/>
      <c r="J234" s="244"/>
      <c r="K234" s="2" t="s">
        <v>46</v>
      </c>
      <c r="L234" s="214" t="s">
        <v>77</v>
      </c>
      <c r="M234" s="227"/>
      <c r="N234" s="17"/>
      <c r="O234" s="17"/>
      <c r="P234" s="316">
        <f>(1911.52+2798.73+1384.98+544.38+4314.09)*1000</f>
        <v>10953700</v>
      </c>
      <c r="Q234" s="323"/>
      <c r="R234" s="258"/>
      <c r="S234" s="259"/>
      <c r="T234" s="258">
        <f t="shared" si="46"/>
        <v>10953700</v>
      </c>
      <c r="U234" s="259"/>
      <c r="V234" s="152">
        <v>10952974.9</v>
      </c>
      <c r="W234" s="6"/>
      <c r="X234" s="6">
        <f t="shared" si="47"/>
        <v>10952974.9</v>
      </c>
      <c r="Y234" s="6">
        <f t="shared" si="48"/>
        <v>-725.09999999962747</v>
      </c>
      <c r="Z234" s="6"/>
      <c r="AA234" s="6">
        <f t="shared" si="49"/>
        <v>-725.09999999962747</v>
      </c>
    </row>
    <row r="235" spans="1:28" ht="52.5" customHeight="1" x14ac:dyDescent="0.25">
      <c r="A235" s="143">
        <v>5</v>
      </c>
      <c r="B235" s="186" t="s">
        <v>129</v>
      </c>
      <c r="C235" s="187"/>
      <c r="D235" s="187"/>
      <c r="E235" s="187"/>
      <c r="F235" s="148"/>
      <c r="G235" s="148"/>
      <c r="H235" s="148"/>
      <c r="I235" s="148"/>
      <c r="J235" s="148"/>
      <c r="K235" s="145" t="s">
        <v>46</v>
      </c>
      <c r="L235" s="175" t="s">
        <v>45</v>
      </c>
      <c r="M235" s="176"/>
      <c r="N235" s="149"/>
      <c r="O235" s="149"/>
      <c r="P235" s="329">
        <f>2600200+642000-226000-75945</f>
        <v>2940255</v>
      </c>
      <c r="Q235" s="330"/>
      <c r="R235" s="394"/>
      <c r="S235" s="395"/>
      <c r="T235" s="394">
        <f>P235</f>
        <v>2940255</v>
      </c>
      <c r="U235" s="395"/>
      <c r="V235" s="164">
        <v>2938254.12</v>
      </c>
      <c r="W235" s="150"/>
      <c r="X235" s="121">
        <f t="shared" si="47"/>
        <v>2938254.12</v>
      </c>
      <c r="Y235" s="121">
        <f t="shared" si="48"/>
        <v>-2000.8799999998882</v>
      </c>
      <c r="Z235" s="150"/>
      <c r="AA235" s="121">
        <f t="shared" si="49"/>
        <v>-2000.8799999998882</v>
      </c>
      <c r="AB235" s="151"/>
    </row>
    <row r="236" spans="1:28" ht="20.100000000000001" customHeight="1" x14ac:dyDescent="0.25">
      <c r="A236" s="49"/>
      <c r="B236" s="302" t="s">
        <v>383</v>
      </c>
      <c r="C236" s="180"/>
      <c r="D236" s="180"/>
      <c r="E236" s="180"/>
      <c r="F236" s="180"/>
      <c r="G236" s="180"/>
      <c r="H236" s="180"/>
      <c r="I236" s="180"/>
      <c r="J236" s="180"/>
      <c r="K236" s="180"/>
      <c r="L236" s="180"/>
      <c r="M236" s="180"/>
      <c r="N236" s="180"/>
      <c r="O236" s="180"/>
      <c r="P236" s="180"/>
      <c r="Q236" s="180"/>
      <c r="R236" s="180"/>
      <c r="S236" s="180"/>
      <c r="T236" s="180"/>
      <c r="U236" s="180"/>
      <c r="V236" s="180"/>
      <c r="W236" s="180"/>
      <c r="X236" s="180"/>
      <c r="Y236" s="180"/>
      <c r="Z236" s="180"/>
      <c r="AA236" s="181"/>
    </row>
    <row r="237" spans="1:28" ht="20.100000000000001" customHeight="1" x14ac:dyDescent="0.25">
      <c r="A237" s="49"/>
      <c r="B237" s="302" t="s">
        <v>382</v>
      </c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0"/>
      <c r="O237" s="180"/>
      <c r="P237" s="180"/>
      <c r="Q237" s="180"/>
      <c r="R237" s="180"/>
      <c r="S237" s="180"/>
      <c r="T237" s="180"/>
      <c r="U237" s="180"/>
      <c r="V237" s="180"/>
      <c r="W237" s="180"/>
      <c r="X237" s="180"/>
      <c r="Y237" s="180"/>
      <c r="Z237" s="180"/>
      <c r="AA237" s="181"/>
    </row>
    <row r="238" spans="1:28" ht="20.100000000000001" customHeight="1" x14ac:dyDescent="0.25">
      <c r="A238" s="49"/>
      <c r="B238" s="288" t="s">
        <v>324</v>
      </c>
      <c r="C238" s="288"/>
      <c r="D238" s="288"/>
      <c r="E238" s="288"/>
      <c r="F238" s="18"/>
      <c r="G238" s="18"/>
      <c r="H238" s="18"/>
      <c r="I238" s="18"/>
      <c r="J238" s="18"/>
      <c r="K238" s="2"/>
      <c r="L238" s="185"/>
      <c r="M238" s="185"/>
      <c r="N238" s="3"/>
      <c r="O238" s="3"/>
      <c r="P238" s="322"/>
      <c r="Q238" s="322"/>
      <c r="R238" s="387"/>
      <c r="S238" s="387"/>
      <c r="T238" s="389"/>
      <c r="U238" s="387"/>
      <c r="V238" s="5"/>
      <c r="W238" s="5"/>
      <c r="X238" s="5"/>
      <c r="Y238" s="52"/>
      <c r="Z238" s="5"/>
      <c r="AA238" s="52"/>
    </row>
    <row r="239" spans="1:28" ht="33.75" customHeight="1" x14ac:dyDescent="0.25">
      <c r="A239" s="143">
        <v>1</v>
      </c>
      <c r="B239" s="212" t="s">
        <v>102</v>
      </c>
      <c r="C239" s="212"/>
      <c r="D239" s="212"/>
      <c r="E239" s="212"/>
      <c r="F239" s="144"/>
      <c r="G239" s="144"/>
      <c r="H239" s="144"/>
      <c r="I239" s="144"/>
      <c r="J239" s="144"/>
      <c r="K239" s="145" t="s">
        <v>103</v>
      </c>
      <c r="L239" s="318" t="s">
        <v>77</v>
      </c>
      <c r="M239" s="318"/>
      <c r="N239" s="120"/>
      <c r="O239" s="120"/>
      <c r="P239" s="319">
        <v>36.75</v>
      </c>
      <c r="Q239" s="319"/>
      <c r="R239" s="391"/>
      <c r="S239" s="391"/>
      <c r="T239" s="390">
        <f t="shared" si="46"/>
        <v>36.75</v>
      </c>
      <c r="U239" s="391"/>
      <c r="V239" s="139">
        <v>36.75</v>
      </c>
      <c r="W239" s="139"/>
      <c r="X239" s="116">
        <f t="shared" si="47"/>
        <v>36.75</v>
      </c>
      <c r="Y239" s="121">
        <f t="shared" si="48"/>
        <v>0</v>
      </c>
      <c r="Z239" s="116"/>
      <c r="AA239" s="121">
        <f t="shared" si="49"/>
        <v>0</v>
      </c>
    </row>
    <row r="240" spans="1:28" ht="66.75" customHeight="1" x14ac:dyDescent="0.25">
      <c r="A240" s="143">
        <v>2</v>
      </c>
      <c r="B240" s="212" t="s">
        <v>104</v>
      </c>
      <c r="C240" s="320"/>
      <c r="D240" s="320"/>
      <c r="E240" s="320"/>
      <c r="F240" s="140"/>
      <c r="G240" s="140"/>
      <c r="H240" s="140"/>
      <c r="I240" s="140"/>
      <c r="J240" s="140"/>
      <c r="K240" s="145" t="s">
        <v>103</v>
      </c>
      <c r="L240" s="318" t="s">
        <v>77</v>
      </c>
      <c r="M240" s="318"/>
      <c r="N240" s="120"/>
      <c r="O240" s="120"/>
      <c r="P240" s="319">
        <v>210000</v>
      </c>
      <c r="Q240" s="319"/>
      <c r="R240" s="184"/>
      <c r="S240" s="184"/>
      <c r="T240" s="184">
        <f t="shared" si="46"/>
        <v>210000</v>
      </c>
      <c r="U240" s="184"/>
      <c r="V240" s="139">
        <v>210000</v>
      </c>
      <c r="W240" s="139"/>
      <c r="X240" s="142">
        <f t="shared" si="47"/>
        <v>210000</v>
      </c>
      <c r="Y240" s="153">
        <f t="shared" si="48"/>
        <v>0</v>
      </c>
      <c r="Z240" s="153"/>
      <c r="AA240" s="153">
        <f t="shared" si="49"/>
        <v>0</v>
      </c>
    </row>
    <row r="241" spans="1:27" ht="35.25" customHeight="1" x14ac:dyDescent="0.25">
      <c r="A241" s="143">
        <v>3</v>
      </c>
      <c r="B241" s="212" t="s">
        <v>105</v>
      </c>
      <c r="C241" s="212"/>
      <c r="D241" s="212"/>
      <c r="E241" s="212"/>
      <c r="F241" s="144"/>
      <c r="G241" s="144"/>
      <c r="H241" s="144"/>
      <c r="I241" s="144"/>
      <c r="J241" s="144"/>
      <c r="K241" s="145" t="s">
        <v>106</v>
      </c>
      <c r="L241" s="318" t="s">
        <v>77</v>
      </c>
      <c r="M241" s="318"/>
      <c r="N241" s="120"/>
      <c r="O241" s="120"/>
      <c r="P241" s="182">
        <v>114</v>
      </c>
      <c r="Q241" s="183"/>
      <c r="R241" s="184"/>
      <c r="S241" s="184"/>
      <c r="T241" s="184">
        <f t="shared" si="46"/>
        <v>114</v>
      </c>
      <c r="U241" s="184"/>
      <c r="V241" s="146">
        <v>112</v>
      </c>
      <c r="W241" s="147"/>
      <c r="X241" s="142">
        <f t="shared" si="47"/>
        <v>112</v>
      </c>
      <c r="Y241" s="142">
        <f t="shared" si="48"/>
        <v>-2</v>
      </c>
      <c r="Z241" s="142"/>
      <c r="AA241" s="142">
        <f t="shared" si="49"/>
        <v>-2</v>
      </c>
    </row>
    <row r="242" spans="1:27" ht="33.75" customHeight="1" x14ac:dyDescent="0.25">
      <c r="A242" s="143">
        <v>4</v>
      </c>
      <c r="B242" s="212" t="s">
        <v>107</v>
      </c>
      <c r="C242" s="212"/>
      <c r="D242" s="212"/>
      <c r="E242" s="212"/>
      <c r="F242" s="144"/>
      <c r="G242" s="144"/>
      <c r="H242" s="144"/>
      <c r="I242" s="144"/>
      <c r="J242" s="144"/>
      <c r="K242" s="145" t="s">
        <v>103</v>
      </c>
      <c r="L242" s="318" t="s">
        <v>77</v>
      </c>
      <c r="M242" s="318"/>
      <c r="N242" s="120"/>
      <c r="O242" s="120"/>
      <c r="P242" s="182">
        <v>35.299999999999997</v>
      </c>
      <c r="Q242" s="183"/>
      <c r="R242" s="391"/>
      <c r="S242" s="391"/>
      <c r="T242" s="392">
        <f t="shared" si="46"/>
        <v>35.299999999999997</v>
      </c>
      <c r="U242" s="392"/>
      <c r="V242" s="146">
        <v>35.299999999999997</v>
      </c>
      <c r="W242" s="147"/>
      <c r="X242" s="116">
        <f t="shared" si="47"/>
        <v>35.299999999999997</v>
      </c>
      <c r="Y242" s="121">
        <f t="shared" si="48"/>
        <v>0</v>
      </c>
      <c r="Z242" s="116"/>
      <c r="AA242" s="121">
        <f t="shared" si="49"/>
        <v>0</v>
      </c>
    </row>
    <row r="243" spans="1:27" ht="36.75" customHeight="1" x14ac:dyDescent="0.25">
      <c r="A243" s="143">
        <v>5</v>
      </c>
      <c r="B243" s="186" t="s">
        <v>330</v>
      </c>
      <c r="C243" s="187"/>
      <c r="D243" s="187"/>
      <c r="E243" s="187"/>
      <c r="F243" s="144"/>
      <c r="G243" s="144"/>
      <c r="H243" s="144"/>
      <c r="I243" s="144"/>
      <c r="J243" s="144"/>
      <c r="K243" s="145" t="s">
        <v>103</v>
      </c>
      <c r="L243" s="175" t="s">
        <v>45</v>
      </c>
      <c r="M243" s="176"/>
      <c r="N243" s="120"/>
      <c r="O243" s="120"/>
      <c r="P243" s="182">
        <v>4158</v>
      </c>
      <c r="Q243" s="183"/>
      <c r="R243" s="184"/>
      <c r="S243" s="184"/>
      <c r="T243" s="184">
        <f>P243</f>
        <v>4158</v>
      </c>
      <c r="U243" s="184"/>
      <c r="V243" s="146">
        <v>3642</v>
      </c>
      <c r="W243" s="147"/>
      <c r="X243" s="142">
        <f>V243</f>
        <v>3642</v>
      </c>
      <c r="Y243" s="142">
        <f t="shared" si="48"/>
        <v>-516</v>
      </c>
      <c r="Z243" s="142"/>
      <c r="AA243" s="142">
        <f t="shared" si="49"/>
        <v>-516</v>
      </c>
    </row>
    <row r="244" spans="1:27" ht="18" customHeight="1" x14ac:dyDescent="0.25">
      <c r="A244" s="143"/>
      <c r="B244" s="212" t="s">
        <v>345</v>
      </c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  <c r="AA244" s="213"/>
    </row>
    <row r="245" spans="1:27" ht="18" customHeight="1" x14ac:dyDescent="0.25">
      <c r="A245" s="143"/>
      <c r="B245" s="212" t="s">
        <v>384</v>
      </c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  <c r="Z245" s="212"/>
      <c r="AA245" s="213"/>
    </row>
    <row r="246" spans="1:27" ht="20.100000000000001" customHeight="1" x14ac:dyDescent="0.25">
      <c r="A246" s="49"/>
      <c r="B246" s="288" t="s">
        <v>327</v>
      </c>
      <c r="C246" s="288"/>
      <c r="D246" s="288"/>
      <c r="E246" s="288"/>
      <c r="F246" s="18"/>
      <c r="G246" s="18"/>
      <c r="H246" s="18"/>
      <c r="I246" s="18"/>
      <c r="J246" s="18"/>
      <c r="K246" s="2"/>
      <c r="L246" s="185"/>
      <c r="M246" s="185"/>
      <c r="N246" s="3"/>
      <c r="O246" s="3"/>
      <c r="P246" s="185"/>
      <c r="Q246" s="185"/>
      <c r="R246" s="226"/>
      <c r="S246" s="226"/>
      <c r="T246" s="291"/>
      <c r="U246" s="226"/>
      <c r="V246" s="116"/>
      <c r="W246" s="4"/>
      <c r="X246" s="4"/>
      <c r="Y246" s="6"/>
      <c r="Z246" s="4"/>
      <c r="AA246" s="6"/>
    </row>
    <row r="247" spans="1:27" ht="33.75" customHeight="1" x14ac:dyDescent="0.25">
      <c r="A247" s="49">
        <v>1</v>
      </c>
      <c r="B247" s="180" t="s">
        <v>108</v>
      </c>
      <c r="C247" s="180"/>
      <c r="D247" s="180"/>
      <c r="E247" s="180"/>
      <c r="F247" s="15"/>
      <c r="G247" s="15"/>
      <c r="H247" s="15"/>
      <c r="I247" s="15"/>
      <c r="J247" s="15"/>
      <c r="K247" s="2" t="s">
        <v>109</v>
      </c>
      <c r="L247" s="185" t="s">
        <v>55</v>
      </c>
      <c r="M247" s="185"/>
      <c r="N247" s="3"/>
      <c r="O247" s="3"/>
      <c r="P247" s="217">
        <f>14799077/P239/1000</f>
        <v>402.69597278911561</v>
      </c>
      <c r="Q247" s="217"/>
      <c r="R247" s="226"/>
      <c r="S247" s="226"/>
      <c r="T247" s="291">
        <f t="shared" si="46"/>
        <v>402.69597278911561</v>
      </c>
      <c r="U247" s="226"/>
      <c r="V247" s="157">
        <f>14799.077/V239</f>
        <v>402.69597278911561</v>
      </c>
      <c r="W247" s="69"/>
      <c r="X247" s="69">
        <f t="shared" ref="X247:X252" si="50">V247</f>
        <v>402.69597278911561</v>
      </c>
      <c r="Y247" s="6">
        <f t="shared" si="48"/>
        <v>0</v>
      </c>
      <c r="Z247" s="4"/>
      <c r="AA247" s="6">
        <f t="shared" si="49"/>
        <v>0</v>
      </c>
    </row>
    <row r="248" spans="1:27" ht="35.25" customHeight="1" x14ac:dyDescent="0.25">
      <c r="A248" s="49">
        <v>2</v>
      </c>
      <c r="B248" s="231" t="s">
        <v>110</v>
      </c>
      <c r="C248" s="231"/>
      <c r="D248" s="231"/>
      <c r="E248" s="231"/>
      <c r="F248" s="8"/>
      <c r="G248" s="8"/>
      <c r="H248" s="8"/>
      <c r="I248" s="8"/>
      <c r="J248" s="8"/>
      <c r="K248" s="2" t="s">
        <v>46</v>
      </c>
      <c r="L248" s="185" t="s">
        <v>55</v>
      </c>
      <c r="M248" s="185"/>
      <c r="N248" s="3"/>
      <c r="O248" s="3"/>
      <c r="P248" s="217">
        <f>12909.1*1000/127274000*100</f>
        <v>10.142762858085705</v>
      </c>
      <c r="Q248" s="217"/>
      <c r="R248" s="226"/>
      <c r="S248" s="226"/>
      <c r="T248" s="291">
        <f t="shared" si="46"/>
        <v>10.142762858085705</v>
      </c>
      <c r="U248" s="226"/>
      <c r="V248" s="1">
        <f>12909.1*1000/127274000*100</f>
        <v>10.142762858085705</v>
      </c>
      <c r="W248" s="1"/>
      <c r="X248" s="69">
        <f t="shared" si="50"/>
        <v>10.142762858085705</v>
      </c>
      <c r="Y248" s="6">
        <f t="shared" si="48"/>
        <v>0</v>
      </c>
      <c r="Z248" s="4"/>
      <c r="AA248" s="6">
        <f t="shared" si="49"/>
        <v>0</v>
      </c>
    </row>
    <row r="249" spans="1:27" ht="35.25" customHeight="1" x14ac:dyDescent="0.25">
      <c r="A249" s="49">
        <v>3</v>
      </c>
      <c r="B249" s="231" t="s">
        <v>111</v>
      </c>
      <c r="C249" s="231"/>
      <c r="D249" s="231"/>
      <c r="E249" s="231"/>
      <c r="F249" s="8"/>
      <c r="G249" s="8"/>
      <c r="H249" s="8"/>
      <c r="I249" s="8"/>
      <c r="J249" s="8"/>
      <c r="K249" s="2" t="s">
        <v>46</v>
      </c>
      <c r="L249" s="185" t="s">
        <v>55</v>
      </c>
      <c r="M249" s="185"/>
      <c r="N249" s="3"/>
      <c r="O249" s="3"/>
      <c r="P249" s="217">
        <f>10501.53*1000/82726000*100</f>
        <v>12.694352440586998</v>
      </c>
      <c r="Q249" s="217"/>
      <c r="R249" s="226"/>
      <c r="S249" s="226"/>
      <c r="T249" s="291">
        <f t="shared" si="46"/>
        <v>12.694352440586998</v>
      </c>
      <c r="U249" s="226"/>
      <c r="V249" s="1">
        <f>10501.53*1000/82726000*100</f>
        <v>12.694352440586998</v>
      </c>
      <c r="W249" s="1"/>
      <c r="X249" s="69">
        <f t="shared" si="50"/>
        <v>12.694352440586998</v>
      </c>
      <c r="Y249" s="6">
        <f t="shared" si="48"/>
        <v>0</v>
      </c>
      <c r="Z249" s="4"/>
      <c r="AA249" s="6">
        <f t="shared" si="49"/>
        <v>0</v>
      </c>
    </row>
    <row r="250" spans="1:27" ht="35.1" customHeight="1" x14ac:dyDescent="0.25">
      <c r="A250" s="49">
        <v>4</v>
      </c>
      <c r="B250" s="180" t="s">
        <v>112</v>
      </c>
      <c r="C250" s="180"/>
      <c r="D250" s="180"/>
      <c r="E250" s="180"/>
      <c r="F250" s="15"/>
      <c r="G250" s="15"/>
      <c r="H250" s="15"/>
      <c r="I250" s="15"/>
      <c r="J250" s="15"/>
      <c r="K250" s="2" t="s">
        <v>46</v>
      </c>
      <c r="L250" s="214" t="s">
        <v>55</v>
      </c>
      <c r="M250" s="215"/>
      <c r="N250" s="17"/>
      <c r="O250" s="17"/>
      <c r="P250" s="218">
        <f>2798.73/P241/12*1000</f>
        <v>2045.8552631578946</v>
      </c>
      <c r="Q250" s="218"/>
      <c r="R250" s="226"/>
      <c r="S250" s="226"/>
      <c r="T250" s="291">
        <f t="shared" si="46"/>
        <v>2045.8552631578946</v>
      </c>
      <c r="U250" s="226"/>
      <c r="V250" s="157">
        <f>2798.73/V241/12*1000</f>
        <v>2082.3883928571427</v>
      </c>
      <c r="W250" s="69"/>
      <c r="X250" s="69">
        <f t="shared" si="50"/>
        <v>2082.3883928571427</v>
      </c>
      <c r="Y250" s="6">
        <f t="shared" si="48"/>
        <v>36.533129699248093</v>
      </c>
      <c r="Z250" s="4"/>
      <c r="AA250" s="6">
        <f t="shared" si="49"/>
        <v>36.533129699248093</v>
      </c>
    </row>
    <row r="251" spans="1:27" ht="35.1" customHeight="1" x14ac:dyDescent="0.25">
      <c r="A251" s="143">
        <v>5</v>
      </c>
      <c r="B251" s="314" t="s">
        <v>113</v>
      </c>
      <c r="C251" s="315"/>
      <c r="D251" s="315"/>
      <c r="E251" s="315"/>
      <c r="F251" s="154"/>
      <c r="G251" s="154"/>
      <c r="H251" s="154"/>
      <c r="I251" s="154"/>
      <c r="J251" s="154"/>
      <c r="K251" s="145" t="s">
        <v>46</v>
      </c>
      <c r="L251" s="175" t="s">
        <v>55</v>
      </c>
      <c r="M251" s="176"/>
      <c r="N251" s="120"/>
      <c r="O251" s="120"/>
      <c r="P251" s="316">
        <f>4314.09/P242</f>
        <v>122.21218130311617</v>
      </c>
      <c r="Q251" s="317"/>
      <c r="R251" s="419"/>
      <c r="S251" s="420"/>
      <c r="T251" s="394">
        <f t="shared" si="46"/>
        <v>122.21218130311617</v>
      </c>
      <c r="U251" s="317"/>
      <c r="V251" s="158">
        <f>4314064.94/(V242*1000)</f>
        <v>122.211471388102</v>
      </c>
      <c r="W251" s="153"/>
      <c r="X251" s="153">
        <f t="shared" si="50"/>
        <v>122.211471388102</v>
      </c>
      <c r="Y251" s="121">
        <f t="shared" si="48"/>
        <v>-7.0991501416983738E-4</v>
      </c>
      <c r="Z251" s="116"/>
      <c r="AA251" s="121">
        <f t="shared" si="49"/>
        <v>-7.0991501416983738E-4</v>
      </c>
    </row>
    <row r="252" spans="1:27" ht="36.75" customHeight="1" x14ac:dyDescent="0.25">
      <c r="A252" s="143">
        <v>6</v>
      </c>
      <c r="B252" s="188" t="s">
        <v>331</v>
      </c>
      <c r="C252" s="189"/>
      <c r="D252" s="189"/>
      <c r="E252" s="189"/>
      <c r="F252" s="154"/>
      <c r="G252" s="154"/>
      <c r="H252" s="154"/>
      <c r="I252" s="154"/>
      <c r="J252" s="154"/>
      <c r="K252" s="145" t="s">
        <v>46</v>
      </c>
      <c r="L252" s="175" t="s">
        <v>55</v>
      </c>
      <c r="M252" s="176"/>
      <c r="N252" s="149"/>
      <c r="O252" s="149"/>
      <c r="P252" s="316">
        <f>P235/P243</f>
        <v>707.13203463203467</v>
      </c>
      <c r="Q252" s="317"/>
      <c r="R252" s="419"/>
      <c r="S252" s="420"/>
      <c r="T252" s="394">
        <f>P252</f>
        <v>707.13203463203467</v>
      </c>
      <c r="U252" s="317"/>
      <c r="V252" s="158">
        <f>V235/V243</f>
        <v>806.7693904448106</v>
      </c>
      <c r="W252" s="155"/>
      <c r="X252" s="153">
        <f t="shared" si="50"/>
        <v>806.7693904448106</v>
      </c>
      <c r="Y252" s="121">
        <f t="shared" si="48"/>
        <v>99.637355812775922</v>
      </c>
      <c r="Z252" s="156"/>
      <c r="AA252" s="121">
        <f t="shared" si="49"/>
        <v>99.637355812775922</v>
      </c>
    </row>
    <row r="253" spans="1:27" ht="18.95" customHeight="1" x14ac:dyDescent="0.25">
      <c r="A253" s="49"/>
      <c r="B253" s="230" t="s">
        <v>332</v>
      </c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  <c r="M253" s="231"/>
      <c r="N253" s="231"/>
      <c r="O253" s="231"/>
      <c r="P253" s="231"/>
      <c r="Q253" s="231"/>
      <c r="R253" s="231"/>
      <c r="S253" s="231"/>
      <c r="T253" s="231"/>
      <c r="U253" s="231"/>
      <c r="V253" s="231"/>
      <c r="W253" s="231"/>
      <c r="X253" s="231"/>
      <c r="Y253" s="231"/>
      <c r="Z253" s="231"/>
      <c r="AA253" s="208"/>
    </row>
    <row r="254" spans="1:27" ht="18.95" customHeight="1" x14ac:dyDescent="0.25">
      <c r="A254" s="49"/>
      <c r="B254" s="230" t="s">
        <v>385</v>
      </c>
      <c r="C254" s="231"/>
      <c r="D254" s="231"/>
      <c r="E254" s="231"/>
      <c r="F254" s="231"/>
      <c r="G254" s="231"/>
      <c r="H254" s="231"/>
      <c r="I254" s="231"/>
      <c r="J254" s="231"/>
      <c r="K254" s="231"/>
      <c r="L254" s="231"/>
      <c r="M254" s="231"/>
      <c r="N254" s="231"/>
      <c r="O254" s="231"/>
      <c r="P254" s="231"/>
      <c r="Q254" s="231"/>
      <c r="R254" s="231"/>
      <c r="S254" s="231"/>
      <c r="T254" s="231"/>
      <c r="U254" s="231"/>
      <c r="V254" s="231"/>
      <c r="W254" s="231"/>
      <c r="X254" s="231"/>
      <c r="Y254" s="231"/>
      <c r="Z254" s="231"/>
      <c r="AA254" s="208"/>
    </row>
    <row r="255" spans="1:27" ht="20.100000000000001" customHeight="1" x14ac:dyDescent="0.25">
      <c r="A255" s="49"/>
      <c r="B255" s="288" t="s">
        <v>325</v>
      </c>
      <c r="C255" s="288"/>
      <c r="D255" s="288"/>
      <c r="E255" s="288"/>
      <c r="F255" s="18"/>
      <c r="G255" s="18"/>
      <c r="H255" s="18"/>
      <c r="I255" s="18"/>
      <c r="J255" s="18"/>
      <c r="K255" s="2"/>
      <c r="L255" s="185"/>
      <c r="M255" s="185"/>
      <c r="N255" s="3"/>
      <c r="O255" s="3"/>
      <c r="P255" s="220"/>
      <c r="Q255" s="220"/>
      <c r="R255" s="387"/>
      <c r="S255" s="387"/>
      <c r="T255" s="387"/>
      <c r="U255" s="387"/>
      <c r="V255" s="5"/>
      <c r="W255" s="5"/>
      <c r="X255" s="5"/>
      <c r="Y255" s="52"/>
      <c r="Z255" s="5"/>
      <c r="AA255" s="52"/>
    </row>
    <row r="256" spans="1:27" ht="66.75" customHeight="1" x14ac:dyDescent="0.25">
      <c r="A256" s="49">
        <v>1</v>
      </c>
      <c r="B256" s="180" t="s">
        <v>114</v>
      </c>
      <c r="C256" s="180"/>
      <c r="D256" s="180"/>
      <c r="E256" s="180"/>
      <c r="F256" s="15"/>
      <c r="G256" s="15"/>
      <c r="H256" s="15"/>
      <c r="I256" s="15"/>
      <c r="J256" s="15"/>
      <c r="K256" s="2" t="s">
        <v>50</v>
      </c>
      <c r="L256" s="185" t="s">
        <v>55</v>
      </c>
      <c r="M256" s="185"/>
      <c r="N256" s="3"/>
      <c r="O256" s="3"/>
      <c r="P256" s="217">
        <f>P247/339.76*100</f>
        <v>118.52365575380139</v>
      </c>
      <c r="Q256" s="217"/>
      <c r="R256" s="226"/>
      <c r="S256" s="226"/>
      <c r="T256" s="291">
        <f t="shared" ref="T256:T261" si="51">P256</f>
        <v>118.52365575380139</v>
      </c>
      <c r="U256" s="226"/>
      <c r="V256" s="69">
        <f>V247/339.76*100</f>
        <v>118.52365575380139</v>
      </c>
      <c r="W256" s="69"/>
      <c r="X256" s="69">
        <f t="shared" ref="X256:X261" si="52">V256</f>
        <v>118.52365575380139</v>
      </c>
      <c r="Y256" s="6">
        <f t="shared" si="48"/>
        <v>0</v>
      </c>
      <c r="Z256" s="4"/>
      <c r="AA256" s="6">
        <f t="shared" si="49"/>
        <v>0</v>
      </c>
    </row>
    <row r="257" spans="1:27" ht="67.5" customHeight="1" x14ac:dyDescent="0.25">
      <c r="A257" s="49">
        <v>2</v>
      </c>
      <c r="B257" s="180" t="s">
        <v>115</v>
      </c>
      <c r="C257" s="398"/>
      <c r="D257" s="398"/>
      <c r="E257" s="398"/>
      <c r="F257" s="16"/>
      <c r="G257" s="16"/>
      <c r="H257" s="16"/>
      <c r="I257" s="16"/>
      <c r="J257" s="16"/>
      <c r="K257" s="2" t="s">
        <v>50</v>
      </c>
      <c r="L257" s="185" t="s">
        <v>55</v>
      </c>
      <c r="M257" s="185"/>
      <c r="N257" s="3"/>
      <c r="O257" s="3"/>
      <c r="P257" s="217">
        <f>P248/6.96*100</f>
        <v>145.72935140927737</v>
      </c>
      <c r="Q257" s="217"/>
      <c r="R257" s="226"/>
      <c r="S257" s="226"/>
      <c r="T257" s="291">
        <f t="shared" si="51"/>
        <v>145.72935140927737</v>
      </c>
      <c r="U257" s="226"/>
      <c r="V257" s="69">
        <f>V248/6.96*100</f>
        <v>145.72935140927737</v>
      </c>
      <c r="W257" s="69"/>
      <c r="X257" s="69">
        <f t="shared" si="52"/>
        <v>145.72935140927737</v>
      </c>
      <c r="Y257" s="6">
        <f t="shared" si="48"/>
        <v>0</v>
      </c>
      <c r="Z257" s="4"/>
      <c r="AA257" s="6">
        <f t="shared" si="49"/>
        <v>0</v>
      </c>
    </row>
    <row r="258" spans="1:27" ht="69" customHeight="1" x14ac:dyDescent="0.25">
      <c r="A258" s="49">
        <v>3</v>
      </c>
      <c r="B258" s="180" t="s">
        <v>116</v>
      </c>
      <c r="C258" s="398"/>
      <c r="D258" s="398"/>
      <c r="E258" s="398"/>
      <c r="F258" s="16"/>
      <c r="G258" s="16"/>
      <c r="H258" s="16"/>
      <c r="I258" s="16"/>
      <c r="J258" s="16"/>
      <c r="K258" s="2" t="s">
        <v>50</v>
      </c>
      <c r="L258" s="185" t="s">
        <v>55</v>
      </c>
      <c r="M258" s="185"/>
      <c r="N258" s="3"/>
      <c r="O258" s="3"/>
      <c r="P258" s="217">
        <f>P249/9.8*100</f>
        <v>129.53420857741833</v>
      </c>
      <c r="Q258" s="400"/>
      <c r="R258" s="226"/>
      <c r="S258" s="226"/>
      <c r="T258" s="291">
        <f t="shared" si="51"/>
        <v>129.53420857741833</v>
      </c>
      <c r="U258" s="226"/>
      <c r="V258" s="69">
        <f>V249/9.8*100</f>
        <v>129.53420857741833</v>
      </c>
      <c r="W258" s="69"/>
      <c r="X258" s="69">
        <f t="shared" si="52"/>
        <v>129.53420857741833</v>
      </c>
      <c r="Y258" s="6">
        <f t="shared" si="48"/>
        <v>0</v>
      </c>
      <c r="Z258" s="4"/>
      <c r="AA258" s="6">
        <f t="shared" si="49"/>
        <v>0</v>
      </c>
    </row>
    <row r="259" spans="1:27" ht="51.75" customHeight="1" x14ac:dyDescent="0.25">
      <c r="A259" s="49">
        <v>4</v>
      </c>
      <c r="B259" s="180" t="s">
        <v>117</v>
      </c>
      <c r="C259" s="180"/>
      <c r="D259" s="180"/>
      <c r="E259" s="180"/>
      <c r="F259" s="15"/>
      <c r="G259" s="15"/>
      <c r="H259" s="15"/>
      <c r="I259" s="15"/>
      <c r="J259" s="15"/>
      <c r="K259" s="2" t="s">
        <v>50</v>
      </c>
      <c r="L259" s="185" t="s">
        <v>55</v>
      </c>
      <c r="M259" s="185"/>
      <c r="N259" s="3"/>
      <c r="O259" s="3"/>
      <c r="P259" s="218">
        <f>P250/1053.46*100</f>
        <v>194.20341191482302</v>
      </c>
      <c r="Q259" s="401"/>
      <c r="R259" s="226"/>
      <c r="S259" s="226"/>
      <c r="T259" s="291">
        <f t="shared" si="51"/>
        <v>194.20341191482302</v>
      </c>
      <c r="U259" s="226"/>
      <c r="V259" s="69">
        <f>V250/1053.46*100</f>
        <v>197.67132998473056</v>
      </c>
      <c r="W259" s="69"/>
      <c r="X259" s="69">
        <f t="shared" si="52"/>
        <v>197.67132998473056</v>
      </c>
      <c r="Y259" s="6">
        <f t="shared" si="48"/>
        <v>3.4679180699075403</v>
      </c>
      <c r="Z259" s="4"/>
      <c r="AA259" s="6">
        <f t="shared" si="49"/>
        <v>3.4679180699075403</v>
      </c>
    </row>
    <row r="260" spans="1:27" ht="50.1" customHeight="1" x14ac:dyDescent="0.25">
      <c r="A260" s="49">
        <v>5</v>
      </c>
      <c r="B260" s="181" t="s">
        <v>118</v>
      </c>
      <c r="C260" s="198"/>
      <c r="D260" s="198"/>
      <c r="E260" s="198"/>
      <c r="F260" s="19"/>
      <c r="G260" s="19"/>
      <c r="H260" s="19"/>
      <c r="I260" s="19"/>
      <c r="J260" s="19"/>
      <c r="K260" s="2" t="s">
        <v>50</v>
      </c>
      <c r="L260" s="185" t="s">
        <v>55</v>
      </c>
      <c r="M260" s="185"/>
      <c r="N260" s="3"/>
      <c r="O260" s="3"/>
      <c r="P260" s="218">
        <f>P251/124.26*100</f>
        <v>98.351988816285342</v>
      </c>
      <c r="Q260" s="219"/>
      <c r="R260" s="226"/>
      <c r="S260" s="226"/>
      <c r="T260" s="291">
        <f t="shared" si="51"/>
        <v>98.351988816285342</v>
      </c>
      <c r="U260" s="226"/>
      <c r="V260" s="69">
        <f>V251/124.26*100</f>
        <v>98.351417502093994</v>
      </c>
      <c r="W260" s="69"/>
      <c r="X260" s="69">
        <f t="shared" si="52"/>
        <v>98.351417502093994</v>
      </c>
      <c r="Y260" s="6">
        <f t="shared" si="48"/>
        <v>-5.7131419134748285E-4</v>
      </c>
      <c r="Z260" s="4"/>
      <c r="AA260" s="6">
        <f t="shared" si="49"/>
        <v>-5.7131419134748285E-4</v>
      </c>
    </row>
    <row r="261" spans="1:27" ht="67.5" customHeight="1" x14ac:dyDescent="0.25">
      <c r="A261" s="49">
        <v>6</v>
      </c>
      <c r="B261" s="242" t="s">
        <v>333</v>
      </c>
      <c r="C261" s="243"/>
      <c r="D261" s="243"/>
      <c r="E261" s="243"/>
      <c r="F261" s="15"/>
      <c r="G261" s="15"/>
      <c r="H261" s="15"/>
      <c r="I261" s="15"/>
      <c r="J261" s="15"/>
      <c r="K261" s="2" t="s">
        <v>50</v>
      </c>
      <c r="L261" s="185" t="s">
        <v>55</v>
      </c>
      <c r="M261" s="185"/>
      <c r="N261" s="17"/>
      <c r="O261" s="17"/>
      <c r="P261" s="218">
        <f>P243/4158*100</f>
        <v>100</v>
      </c>
      <c r="Q261" s="219"/>
      <c r="R261" s="226"/>
      <c r="S261" s="226"/>
      <c r="T261" s="291">
        <f t="shared" si="51"/>
        <v>100</v>
      </c>
      <c r="U261" s="226"/>
      <c r="V261" s="69">
        <f>V243/3642*100</f>
        <v>100</v>
      </c>
      <c r="W261" s="160"/>
      <c r="X261" s="69">
        <f t="shared" si="52"/>
        <v>100</v>
      </c>
      <c r="Y261" s="6">
        <f t="shared" si="48"/>
        <v>0</v>
      </c>
      <c r="Z261" s="159"/>
      <c r="AA261" s="6">
        <f t="shared" si="49"/>
        <v>0</v>
      </c>
    </row>
    <row r="262" spans="1:27" ht="24.75" customHeight="1" x14ac:dyDescent="0.25">
      <c r="A262" s="49"/>
      <c r="B262" s="230" t="s">
        <v>332</v>
      </c>
      <c r="C262" s="231"/>
      <c r="D262" s="231"/>
      <c r="E262" s="231"/>
      <c r="F262" s="231"/>
      <c r="G262" s="231"/>
      <c r="H262" s="231"/>
      <c r="I262" s="231"/>
      <c r="J262" s="231"/>
      <c r="K262" s="231"/>
      <c r="L262" s="231"/>
      <c r="M262" s="231"/>
      <c r="N262" s="231"/>
      <c r="O262" s="231"/>
      <c r="P262" s="231"/>
      <c r="Q262" s="231"/>
      <c r="R262" s="231"/>
      <c r="S262" s="231"/>
      <c r="T262" s="231"/>
      <c r="U262" s="231"/>
      <c r="V262" s="231"/>
      <c r="W262" s="231"/>
      <c r="X262" s="231"/>
      <c r="Y262" s="231"/>
      <c r="Z262" s="231"/>
      <c r="AA262" s="208"/>
    </row>
    <row r="263" spans="1:27" ht="20.100000000000001" customHeight="1" x14ac:dyDescent="0.25">
      <c r="A263" s="49"/>
      <c r="B263" s="426" t="s">
        <v>34</v>
      </c>
      <c r="C263" s="349"/>
      <c r="D263" s="349"/>
      <c r="E263" s="349"/>
      <c r="F263" s="349"/>
      <c r="G263" s="349"/>
      <c r="H263" s="349"/>
      <c r="I263" s="349"/>
      <c r="J263" s="349"/>
      <c r="K263" s="349"/>
      <c r="L263" s="349"/>
      <c r="M263" s="349"/>
      <c r="N263" s="349"/>
      <c r="O263" s="349"/>
      <c r="P263" s="349"/>
      <c r="Q263" s="349"/>
      <c r="R263" s="349"/>
      <c r="S263" s="349"/>
      <c r="T263" s="349"/>
      <c r="U263" s="349"/>
      <c r="V263" s="349"/>
      <c r="W263" s="349"/>
      <c r="X263" s="349"/>
      <c r="Y263" s="349"/>
      <c r="Z263" s="349"/>
      <c r="AA263" s="349"/>
    </row>
    <row r="264" spans="1:27" ht="20.100000000000001" customHeight="1" x14ac:dyDescent="0.25">
      <c r="A264" s="49"/>
      <c r="B264" s="309" t="s">
        <v>326</v>
      </c>
      <c r="C264" s="309"/>
      <c r="D264" s="309"/>
      <c r="E264" s="309"/>
      <c r="F264" s="60"/>
      <c r="G264" s="60"/>
      <c r="H264" s="60"/>
      <c r="I264" s="60"/>
      <c r="J264" s="60"/>
      <c r="K264" s="54"/>
      <c r="L264" s="310"/>
      <c r="M264" s="311"/>
      <c r="N264" s="55"/>
      <c r="O264" s="55"/>
      <c r="P264" s="312"/>
      <c r="Q264" s="313"/>
      <c r="R264" s="399"/>
      <c r="S264" s="399"/>
      <c r="T264" s="399"/>
      <c r="U264" s="399"/>
    </row>
    <row r="265" spans="1:27" ht="53.25" customHeight="1" x14ac:dyDescent="0.25">
      <c r="A265" s="49">
        <v>1</v>
      </c>
      <c r="B265" s="243" t="s">
        <v>276</v>
      </c>
      <c r="C265" s="243"/>
      <c r="D265" s="243"/>
      <c r="E265" s="243"/>
      <c r="F265" s="11"/>
      <c r="G265" s="11"/>
      <c r="H265" s="11"/>
      <c r="I265" s="11"/>
      <c r="J265" s="11"/>
      <c r="K265" s="2" t="s">
        <v>46</v>
      </c>
      <c r="L265" s="185" t="s">
        <v>44</v>
      </c>
      <c r="M265" s="185"/>
      <c r="N265" s="3"/>
      <c r="O265" s="3"/>
      <c r="P265" s="217">
        <f>10000+5000+40000</f>
        <v>55000</v>
      </c>
      <c r="Q265" s="217"/>
      <c r="R265" s="226"/>
      <c r="S265" s="226"/>
      <c r="T265" s="380">
        <f>P265</f>
        <v>55000</v>
      </c>
      <c r="U265" s="226"/>
      <c r="V265" s="6">
        <v>40108.699999999997</v>
      </c>
      <c r="W265" s="6"/>
      <c r="X265" s="6">
        <f>V265</f>
        <v>40108.699999999997</v>
      </c>
      <c r="Y265" s="6">
        <f>V265-P265</f>
        <v>-14891.300000000003</v>
      </c>
      <c r="Z265" s="6"/>
      <c r="AA265" s="6">
        <f>Y265</f>
        <v>-14891.300000000003</v>
      </c>
    </row>
    <row r="266" spans="1:27" ht="20.100000000000001" customHeight="1" x14ac:dyDescent="0.25">
      <c r="A266" s="49"/>
      <c r="B266" s="180" t="s">
        <v>390</v>
      </c>
      <c r="C266" s="180"/>
      <c r="D266" s="180"/>
      <c r="E266" s="180"/>
      <c r="F266" s="180"/>
      <c r="G266" s="180"/>
      <c r="H266" s="180"/>
      <c r="I266" s="180"/>
      <c r="J266" s="180"/>
      <c r="K266" s="180"/>
      <c r="L266" s="180"/>
      <c r="M266" s="180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0"/>
      <c r="Y266" s="180"/>
      <c r="Z266" s="180"/>
      <c r="AA266" s="181"/>
    </row>
    <row r="267" spans="1:27" ht="20.100000000000001" customHeight="1" x14ac:dyDescent="0.25">
      <c r="A267" s="49"/>
      <c r="B267" s="288" t="s">
        <v>324</v>
      </c>
      <c r="C267" s="288"/>
      <c r="D267" s="288"/>
      <c r="E267" s="288"/>
      <c r="F267" s="18"/>
      <c r="G267" s="18"/>
      <c r="H267" s="18"/>
      <c r="I267" s="18"/>
      <c r="J267" s="18"/>
      <c r="K267" s="2"/>
      <c r="L267" s="214"/>
      <c r="M267" s="215"/>
      <c r="N267" s="17"/>
      <c r="O267" s="17"/>
      <c r="P267" s="185"/>
      <c r="Q267" s="185"/>
      <c r="R267" s="226"/>
      <c r="S267" s="226"/>
      <c r="T267" s="380"/>
      <c r="U267" s="226"/>
      <c r="V267" s="4"/>
      <c r="W267" s="4"/>
      <c r="X267" s="4"/>
      <c r="Y267" s="4"/>
      <c r="Z267" s="4"/>
      <c r="AA267" s="4"/>
    </row>
    <row r="268" spans="1:27" ht="49.5" customHeight="1" x14ac:dyDescent="0.25">
      <c r="A268" s="49">
        <v>1</v>
      </c>
      <c r="B268" s="208" t="s">
        <v>277</v>
      </c>
      <c r="C268" s="209"/>
      <c r="D268" s="209"/>
      <c r="E268" s="209"/>
      <c r="F268" s="9"/>
      <c r="G268" s="9"/>
      <c r="H268" s="9"/>
      <c r="I268" s="9"/>
      <c r="J268" s="9"/>
      <c r="K268" s="3" t="s">
        <v>119</v>
      </c>
      <c r="L268" s="185" t="s">
        <v>120</v>
      </c>
      <c r="M268" s="185"/>
      <c r="N268" s="3"/>
      <c r="O268" s="3"/>
      <c r="P268" s="218">
        <f>0.99+3.801</f>
        <v>4.7910000000000004</v>
      </c>
      <c r="Q268" s="218"/>
      <c r="R268" s="294"/>
      <c r="S268" s="294"/>
      <c r="T268" s="294">
        <f>P268</f>
        <v>4.7910000000000004</v>
      </c>
      <c r="U268" s="294"/>
      <c r="V268" s="69">
        <f>0.222+3.801</f>
        <v>4.0230000000000006</v>
      </c>
      <c r="W268" s="69"/>
      <c r="X268" s="69">
        <f>V268</f>
        <v>4.0230000000000006</v>
      </c>
      <c r="Y268" s="69">
        <f>V268-P268</f>
        <v>-0.76799999999999979</v>
      </c>
      <c r="Z268" s="69"/>
      <c r="AA268" s="69">
        <f>Y268</f>
        <v>-0.76799999999999979</v>
      </c>
    </row>
    <row r="269" spans="1:27" ht="18" customHeight="1" x14ac:dyDescent="0.25">
      <c r="A269" s="49"/>
      <c r="B269" s="180" t="s">
        <v>329</v>
      </c>
      <c r="C269" s="180"/>
      <c r="D269" s="180"/>
      <c r="E269" s="180"/>
      <c r="F269" s="180"/>
      <c r="G269" s="180"/>
      <c r="H269" s="180"/>
      <c r="I269" s="180"/>
      <c r="J269" s="180"/>
      <c r="K269" s="180"/>
      <c r="L269" s="180"/>
      <c r="M269" s="180"/>
      <c r="N269" s="180"/>
      <c r="O269" s="180"/>
      <c r="P269" s="180"/>
      <c r="Q269" s="180"/>
      <c r="R269" s="180"/>
      <c r="S269" s="180"/>
      <c r="T269" s="180"/>
      <c r="U269" s="180"/>
      <c r="V269" s="180"/>
      <c r="W269" s="180"/>
      <c r="X269" s="180"/>
      <c r="Y269" s="180"/>
      <c r="Z269" s="180"/>
      <c r="AA269" s="181"/>
    </row>
    <row r="270" spans="1:27" ht="20.100000000000001" customHeight="1" x14ac:dyDescent="0.25">
      <c r="A270" s="49"/>
      <c r="B270" s="288" t="s">
        <v>327</v>
      </c>
      <c r="C270" s="288"/>
      <c r="D270" s="288"/>
      <c r="E270" s="288"/>
      <c r="F270" s="18"/>
      <c r="G270" s="18"/>
      <c r="H270" s="18"/>
      <c r="I270" s="18"/>
      <c r="J270" s="18"/>
      <c r="K270" s="2"/>
      <c r="L270" s="214"/>
      <c r="M270" s="215"/>
      <c r="N270" s="17"/>
      <c r="O270" s="17"/>
      <c r="P270" s="185"/>
      <c r="Q270" s="185"/>
      <c r="R270" s="226"/>
      <c r="S270" s="226"/>
      <c r="T270" s="380"/>
      <c r="U270" s="226"/>
      <c r="V270" s="4"/>
      <c r="W270" s="4"/>
      <c r="X270" s="4"/>
      <c r="Y270" s="4"/>
      <c r="Z270" s="4"/>
      <c r="AA270" s="4"/>
    </row>
    <row r="271" spans="1:27" ht="50.25" customHeight="1" x14ac:dyDescent="0.25">
      <c r="A271" s="49">
        <v>1</v>
      </c>
      <c r="B271" s="231" t="s">
        <v>278</v>
      </c>
      <c r="C271" s="231"/>
      <c r="D271" s="231"/>
      <c r="E271" s="231"/>
      <c r="F271" s="8"/>
      <c r="G271" s="8"/>
      <c r="H271" s="8"/>
      <c r="I271" s="8"/>
      <c r="J271" s="8"/>
      <c r="K271" s="2" t="s">
        <v>46</v>
      </c>
      <c r="L271" s="214" t="s">
        <v>55</v>
      </c>
      <c r="M271" s="215"/>
      <c r="N271" s="17"/>
      <c r="O271" s="17"/>
      <c r="P271" s="281">
        <f>P265/P268/1000</f>
        <v>11.479858067209351</v>
      </c>
      <c r="Q271" s="281"/>
      <c r="R271" s="294"/>
      <c r="S271" s="294"/>
      <c r="T271" s="294">
        <f>P271</f>
        <v>11.479858067209351</v>
      </c>
      <c r="U271" s="294"/>
      <c r="V271" s="69">
        <f>V265/V268/1000</f>
        <v>9.9698483718617918</v>
      </c>
      <c r="W271" s="69"/>
      <c r="X271" s="69">
        <f>V271</f>
        <v>9.9698483718617918</v>
      </c>
      <c r="Y271" s="69">
        <f>V271-P271</f>
        <v>-1.5100096953475592</v>
      </c>
      <c r="Z271" s="4"/>
      <c r="AA271" s="69">
        <f>Y271</f>
        <v>-1.5100096953475592</v>
      </c>
    </row>
    <row r="272" spans="1:27" ht="20.25" customHeight="1" x14ac:dyDescent="0.25">
      <c r="A272" s="49"/>
      <c r="B272" s="180" t="s">
        <v>391</v>
      </c>
      <c r="C272" s="180"/>
      <c r="D272" s="180"/>
      <c r="E272" s="180"/>
      <c r="F272" s="180"/>
      <c r="G272" s="180"/>
      <c r="H272" s="180"/>
      <c r="I272" s="180"/>
      <c r="J272" s="180"/>
      <c r="K272" s="180"/>
      <c r="L272" s="180"/>
      <c r="M272" s="180"/>
      <c r="N272" s="180"/>
      <c r="O272" s="180"/>
      <c r="P272" s="180"/>
      <c r="Q272" s="180"/>
      <c r="R272" s="180"/>
      <c r="S272" s="180"/>
      <c r="T272" s="180"/>
      <c r="U272" s="180"/>
      <c r="V272" s="180"/>
      <c r="W272" s="180"/>
      <c r="X272" s="180"/>
      <c r="Y272" s="180"/>
      <c r="Z272" s="180"/>
      <c r="AA272" s="181"/>
    </row>
    <row r="273" spans="1:27" ht="20.100000000000001" customHeight="1" x14ac:dyDescent="0.25">
      <c r="A273" s="49"/>
      <c r="B273" s="288" t="s">
        <v>191</v>
      </c>
      <c r="C273" s="288"/>
      <c r="D273" s="288"/>
      <c r="E273" s="288"/>
      <c r="F273" s="18"/>
      <c r="G273" s="18"/>
      <c r="H273" s="18"/>
      <c r="I273" s="18"/>
      <c r="J273" s="18"/>
      <c r="K273" s="2"/>
      <c r="L273" s="185"/>
      <c r="M273" s="185"/>
      <c r="N273" s="3"/>
      <c r="O273" s="3"/>
      <c r="P273" s="185"/>
      <c r="Q273" s="185"/>
      <c r="R273" s="226"/>
      <c r="S273" s="226"/>
      <c r="T273" s="380"/>
      <c r="U273" s="226"/>
      <c r="V273" s="4"/>
      <c r="W273" s="4"/>
      <c r="X273" s="4"/>
      <c r="Y273" s="4"/>
      <c r="Z273" s="4"/>
      <c r="AA273" s="4"/>
    </row>
    <row r="274" spans="1:27" ht="69.75" customHeight="1" x14ac:dyDescent="0.25">
      <c r="A274" s="49">
        <v>1</v>
      </c>
      <c r="B274" s="208" t="s">
        <v>279</v>
      </c>
      <c r="C274" s="209"/>
      <c r="D274" s="209"/>
      <c r="E274" s="209"/>
      <c r="F274" s="9"/>
      <c r="G274" s="9"/>
      <c r="H274" s="9"/>
      <c r="I274" s="9"/>
      <c r="J274" s="9"/>
      <c r="K274" s="3" t="s">
        <v>50</v>
      </c>
      <c r="L274" s="214" t="s">
        <v>55</v>
      </c>
      <c r="M274" s="215"/>
      <c r="N274" s="17"/>
      <c r="O274" s="17"/>
      <c r="P274" s="281">
        <f>P271/15.38*100</f>
        <v>74.641469877824136</v>
      </c>
      <c r="Q274" s="281"/>
      <c r="R274" s="226"/>
      <c r="S274" s="226"/>
      <c r="T274" s="291">
        <f>P274</f>
        <v>74.641469877824136</v>
      </c>
      <c r="U274" s="291"/>
      <c r="V274" s="69">
        <f>V271/11.196*100</f>
        <v>89.048306286725548</v>
      </c>
      <c r="W274" s="69"/>
      <c r="X274" s="69">
        <f>V274</f>
        <v>89.048306286725548</v>
      </c>
      <c r="Y274" s="69">
        <f>V274-P274</f>
        <v>14.406836408901412</v>
      </c>
      <c r="Z274" s="4"/>
      <c r="AA274" s="69">
        <f>Y274</f>
        <v>14.406836408901412</v>
      </c>
    </row>
    <row r="275" spans="1:27" ht="18" customHeight="1" x14ac:dyDescent="0.25">
      <c r="A275" s="49"/>
      <c r="B275" s="180" t="s">
        <v>391</v>
      </c>
      <c r="C275" s="180"/>
      <c r="D275" s="180"/>
      <c r="E275" s="180"/>
      <c r="F275" s="180"/>
      <c r="G275" s="180"/>
      <c r="H275" s="180"/>
      <c r="I275" s="180"/>
      <c r="J275" s="180"/>
      <c r="K275" s="180"/>
      <c r="L275" s="180"/>
      <c r="M275" s="180"/>
      <c r="N275" s="180"/>
      <c r="O275" s="180"/>
      <c r="P275" s="180"/>
      <c r="Q275" s="180"/>
      <c r="R275" s="180"/>
      <c r="S275" s="180"/>
      <c r="T275" s="180"/>
      <c r="U275" s="180"/>
      <c r="V275" s="180"/>
      <c r="W275" s="180"/>
      <c r="X275" s="180"/>
      <c r="Y275" s="180"/>
      <c r="Z275" s="180"/>
      <c r="AA275" s="181"/>
    </row>
    <row r="276" spans="1:27" ht="20.100000000000001" customHeight="1" x14ac:dyDescent="0.25">
      <c r="A276" s="49"/>
      <c r="B276" s="424" t="s">
        <v>35</v>
      </c>
      <c r="C276" s="425"/>
      <c r="D276" s="425"/>
      <c r="E276" s="425"/>
      <c r="F276" s="425"/>
      <c r="G276" s="425"/>
      <c r="H276" s="425"/>
      <c r="I276" s="425"/>
      <c r="J276" s="425"/>
      <c r="K276" s="425"/>
      <c r="L276" s="425"/>
      <c r="M276" s="425"/>
      <c r="N276" s="425"/>
      <c r="O276" s="425"/>
      <c r="P276" s="425"/>
      <c r="Q276" s="425"/>
      <c r="R276" s="221"/>
      <c r="S276" s="221"/>
      <c r="T276" s="221"/>
      <c r="U276" s="221"/>
      <c r="V276" s="39"/>
      <c r="W276" s="39"/>
      <c r="X276" s="39"/>
      <c r="Y276" s="39"/>
      <c r="Z276" s="39"/>
      <c r="AA276" s="39"/>
    </row>
    <row r="277" spans="1:27" ht="20.100000000000001" customHeight="1" x14ac:dyDescent="0.25">
      <c r="A277" s="49"/>
      <c r="B277" s="297" t="s">
        <v>326</v>
      </c>
      <c r="C277" s="298"/>
      <c r="D277" s="298"/>
      <c r="E277" s="298"/>
      <c r="F277" s="48"/>
      <c r="G277" s="48"/>
      <c r="H277" s="48"/>
      <c r="I277" s="48"/>
      <c r="J277" s="48"/>
      <c r="K277" s="3"/>
      <c r="L277" s="185"/>
      <c r="M277" s="185"/>
      <c r="N277" s="3"/>
      <c r="O277" s="3"/>
      <c r="P277" s="185"/>
      <c r="Q277" s="423"/>
      <c r="R277" s="221"/>
      <c r="S277" s="221"/>
      <c r="T277" s="221"/>
      <c r="U277" s="221"/>
      <c r="V277" s="39"/>
      <c r="W277" s="39"/>
      <c r="X277" s="39"/>
      <c r="Y277" s="39"/>
      <c r="Z277" s="39"/>
      <c r="AA277" s="39"/>
    </row>
    <row r="278" spans="1:27" ht="20.100000000000001" customHeight="1" x14ac:dyDescent="0.25">
      <c r="A278" s="49"/>
      <c r="B278" s="181" t="s">
        <v>37</v>
      </c>
      <c r="C278" s="198"/>
      <c r="D278" s="198"/>
      <c r="E278" s="198"/>
      <c r="F278" s="12"/>
      <c r="G278" s="12"/>
      <c r="H278" s="12"/>
      <c r="I278" s="12"/>
      <c r="J278" s="12"/>
      <c r="K278" s="3" t="s">
        <v>46</v>
      </c>
      <c r="L278" s="185" t="s">
        <v>44</v>
      </c>
      <c r="M278" s="185"/>
      <c r="N278" s="3"/>
      <c r="O278" s="3"/>
      <c r="P278" s="217">
        <f>SUM(P279:Q294)</f>
        <v>3709559</v>
      </c>
      <c r="Q278" s="217"/>
      <c r="R278" s="291"/>
      <c r="S278" s="291"/>
      <c r="T278" s="291">
        <f>P278</f>
        <v>3709559</v>
      </c>
      <c r="U278" s="291"/>
      <c r="V278" s="6">
        <f>SUM(V279:V294)</f>
        <v>3622702.28</v>
      </c>
      <c r="W278" s="6"/>
      <c r="X278" s="6">
        <f>V278</f>
        <v>3622702.28</v>
      </c>
      <c r="Y278" s="6">
        <f>V278-P278</f>
        <v>-86856.720000000205</v>
      </c>
      <c r="Z278" s="6"/>
      <c r="AA278" s="6">
        <f>Y278</f>
        <v>-86856.720000000205</v>
      </c>
    </row>
    <row r="279" spans="1:27" ht="20.100000000000001" customHeight="1" x14ac:dyDescent="0.25">
      <c r="A279" s="49">
        <v>1</v>
      </c>
      <c r="B279" s="208" t="s">
        <v>121</v>
      </c>
      <c r="C279" s="209"/>
      <c r="D279" s="209"/>
      <c r="E279" s="209"/>
      <c r="F279" s="9"/>
      <c r="G279" s="9"/>
      <c r="H279" s="9"/>
      <c r="I279" s="9"/>
      <c r="J279" s="9"/>
      <c r="K279" s="3" t="s">
        <v>46</v>
      </c>
      <c r="L279" s="185" t="s">
        <v>234</v>
      </c>
      <c r="M279" s="185"/>
      <c r="N279" s="3"/>
      <c r="O279" s="3"/>
      <c r="P279" s="268">
        <f>60000+32000</f>
        <v>92000</v>
      </c>
      <c r="Q279" s="269"/>
      <c r="R279" s="291"/>
      <c r="S279" s="291"/>
      <c r="T279" s="291">
        <f t="shared" ref="T279:T328" si="53">P279</f>
        <v>92000</v>
      </c>
      <c r="U279" s="291"/>
      <c r="V279" s="6">
        <v>90582</v>
      </c>
      <c r="W279" s="6"/>
      <c r="X279" s="6">
        <f t="shared" ref="X279:X328" si="54">V279</f>
        <v>90582</v>
      </c>
      <c r="Y279" s="6">
        <f t="shared" ref="Y279:Y334" si="55">V279-P279</f>
        <v>-1418</v>
      </c>
      <c r="Z279" s="6"/>
      <c r="AA279" s="6">
        <f t="shared" ref="AA279:AA334" si="56">Y279</f>
        <v>-1418</v>
      </c>
    </row>
    <row r="280" spans="1:27" ht="49.5" customHeight="1" x14ac:dyDescent="0.25">
      <c r="A280" s="49">
        <f t="shared" ref="A280:A294" si="57">A279+1</f>
        <v>2</v>
      </c>
      <c r="B280" s="208" t="s">
        <v>123</v>
      </c>
      <c r="C280" s="209"/>
      <c r="D280" s="209"/>
      <c r="E280" s="209"/>
      <c r="F280" s="9"/>
      <c r="G280" s="9"/>
      <c r="H280" s="9"/>
      <c r="I280" s="9"/>
      <c r="J280" s="9"/>
      <c r="K280" s="3" t="s">
        <v>46</v>
      </c>
      <c r="L280" s="185" t="s">
        <v>45</v>
      </c>
      <c r="M280" s="185"/>
      <c r="N280" s="3"/>
      <c r="O280" s="3"/>
      <c r="P280" s="268">
        <v>200000</v>
      </c>
      <c r="Q280" s="269"/>
      <c r="R280" s="291"/>
      <c r="S280" s="291"/>
      <c r="T280" s="291">
        <f t="shared" si="53"/>
        <v>200000</v>
      </c>
      <c r="U280" s="291"/>
      <c r="V280" s="6">
        <v>199998.2</v>
      </c>
      <c r="W280" s="6"/>
      <c r="X280" s="6">
        <f t="shared" si="54"/>
        <v>199998.2</v>
      </c>
      <c r="Y280" s="6">
        <f t="shared" si="55"/>
        <v>-1.7999999999883585</v>
      </c>
      <c r="Z280" s="6"/>
      <c r="AA280" s="6">
        <f t="shared" si="56"/>
        <v>-1.7999999999883585</v>
      </c>
    </row>
    <row r="281" spans="1:27" ht="33.75" customHeight="1" x14ac:dyDescent="0.25">
      <c r="A281" s="49">
        <f t="shared" si="57"/>
        <v>3</v>
      </c>
      <c r="B281" s="181" t="s">
        <v>124</v>
      </c>
      <c r="C281" s="198"/>
      <c r="D281" s="198"/>
      <c r="E281" s="198"/>
      <c r="F281" s="12"/>
      <c r="G281" s="12"/>
      <c r="H281" s="12"/>
      <c r="I281" s="12"/>
      <c r="J281" s="12"/>
      <c r="K281" s="3" t="s">
        <v>46</v>
      </c>
      <c r="L281" s="306" t="s">
        <v>45</v>
      </c>
      <c r="M281" s="306"/>
      <c r="N281" s="13"/>
      <c r="O281" s="13"/>
      <c r="P281" s="307">
        <f>500000+500000</f>
        <v>1000000</v>
      </c>
      <c r="Q281" s="308"/>
      <c r="R281" s="291"/>
      <c r="S281" s="291"/>
      <c r="T281" s="291">
        <f t="shared" si="53"/>
        <v>1000000</v>
      </c>
      <c r="U281" s="291"/>
      <c r="V281" s="6">
        <v>968995.38</v>
      </c>
      <c r="W281" s="6"/>
      <c r="X281" s="6">
        <f t="shared" si="54"/>
        <v>968995.38</v>
      </c>
      <c r="Y281" s="6">
        <f t="shared" si="55"/>
        <v>-31004.619999999995</v>
      </c>
      <c r="Z281" s="6"/>
      <c r="AA281" s="6">
        <f t="shared" si="56"/>
        <v>-31004.619999999995</v>
      </c>
    </row>
    <row r="282" spans="1:27" ht="20.100000000000001" customHeight="1" x14ac:dyDescent="0.25">
      <c r="A282" s="49">
        <f t="shared" si="57"/>
        <v>4</v>
      </c>
      <c r="B282" s="181" t="s">
        <v>125</v>
      </c>
      <c r="C282" s="422"/>
      <c r="D282" s="422"/>
      <c r="E282" s="422"/>
      <c r="F282" s="68"/>
      <c r="G282" s="68"/>
      <c r="H282" s="68"/>
      <c r="I282" s="68"/>
      <c r="J282" s="68"/>
      <c r="K282" s="3" t="s">
        <v>46</v>
      </c>
      <c r="L282" s="306" t="s">
        <v>45</v>
      </c>
      <c r="M282" s="306"/>
      <c r="N282" s="13"/>
      <c r="O282" s="13"/>
      <c r="P282" s="307">
        <f>200000+110456</f>
        <v>310456</v>
      </c>
      <c r="Q282" s="308"/>
      <c r="R282" s="291"/>
      <c r="S282" s="291"/>
      <c r="T282" s="291">
        <f t="shared" si="53"/>
        <v>310456</v>
      </c>
      <c r="U282" s="291"/>
      <c r="V282" s="6">
        <v>310323.5</v>
      </c>
      <c r="W282" s="6"/>
      <c r="X282" s="6">
        <f t="shared" si="54"/>
        <v>310323.5</v>
      </c>
      <c r="Y282" s="6">
        <f t="shared" si="55"/>
        <v>-132.5</v>
      </c>
      <c r="Z282" s="6"/>
      <c r="AA282" s="6">
        <f t="shared" si="56"/>
        <v>-132.5</v>
      </c>
    </row>
    <row r="283" spans="1:27" ht="49.5" customHeight="1" x14ac:dyDescent="0.25">
      <c r="A283" s="49">
        <f t="shared" si="57"/>
        <v>5</v>
      </c>
      <c r="B283" s="181" t="s">
        <v>126</v>
      </c>
      <c r="C283" s="198"/>
      <c r="D283" s="198"/>
      <c r="E283" s="198"/>
      <c r="F283" s="12"/>
      <c r="G283" s="12"/>
      <c r="H283" s="12"/>
      <c r="I283" s="12"/>
      <c r="J283" s="12"/>
      <c r="K283" s="3" t="s">
        <v>46</v>
      </c>
      <c r="L283" s="306" t="s">
        <v>45</v>
      </c>
      <c r="M283" s="306"/>
      <c r="N283" s="13"/>
      <c r="O283" s="13"/>
      <c r="P283" s="307">
        <f>200000+83000</f>
        <v>283000</v>
      </c>
      <c r="Q283" s="308"/>
      <c r="R283" s="291"/>
      <c r="S283" s="291"/>
      <c r="T283" s="291">
        <f t="shared" si="53"/>
        <v>283000</v>
      </c>
      <c r="U283" s="291"/>
      <c r="V283" s="6">
        <v>282945.81</v>
      </c>
      <c r="W283" s="6"/>
      <c r="X283" s="6">
        <f t="shared" si="54"/>
        <v>282945.81</v>
      </c>
      <c r="Y283" s="6">
        <f t="shared" si="55"/>
        <v>-54.190000000002328</v>
      </c>
      <c r="Z283" s="6"/>
      <c r="AA283" s="6">
        <f t="shared" si="56"/>
        <v>-54.190000000002328</v>
      </c>
    </row>
    <row r="284" spans="1:27" ht="49.5" customHeight="1" x14ac:dyDescent="0.25">
      <c r="A284" s="49">
        <f t="shared" si="57"/>
        <v>6</v>
      </c>
      <c r="B284" s="181" t="s">
        <v>127</v>
      </c>
      <c r="C284" s="198"/>
      <c r="D284" s="198"/>
      <c r="E284" s="198"/>
      <c r="F284" s="12"/>
      <c r="G284" s="12"/>
      <c r="H284" s="12"/>
      <c r="I284" s="12"/>
      <c r="J284" s="12"/>
      <c r="K284" s="3" t="s">
        <v>46</v>
      </c>
      <c r="L284" s="306" t="s">
        <v>45</v>
      </c>
      <c r="M284" s="306"/>
      <c r="N284" s="13"/>
      <c r="O284" s="13"/>
      <c r="P284" s="307">
        <v>300000</v>
      </c>
      <c r="Q284" s="308"/>
      <c r="R284" s="291"/>
      <c r="S284" s="291"/>
      <c r="T284" s="291">
        <f t="shared" si="53"/>
        <v>300000</v>
      </c>
      <c r="U284" s="291"/>
      <c r="V284" s="6">
        <v>299987.32</v>
      </c>
      <c r="W284" s="6"/>
      <c r="X284" s="6">
        <f t="shared" si="54"/>
        <v>299987.32</v>
      </c>
      <c r="Y284" s="6">
        <f t="shared" si="55"/>
        <v>-12.679999999993015</v>
      </c>
      <c r="Z284" s="6"/>
      <c r="AA284" s="6">
        <f t="shared" si="56"/>
        <v>-12.679999999993015</v>
      </c>
    </row>
    <row r="285" spans="1:27" ht="20.100000000000001" customHeight="1" x14ac:dyDescent="0.25">
      <c r="A285" s="49">
        <f t="shared" si="57"/>
        <v>7</v>
      </c>
      <c r="B285" s="181" t="s">
        <v>128</v>
      </c>
      <c r="C285" s="198"/>
      <c r="D285" s="198"/>
      <c r="E285" s="198"/>
      <c r="F285" s="12"/>
      <c r="G285" s="12"/>
      <c r="H285" s="12"/>
      <c r="I285" s="12"/>
      <c r="J285" s="12"/>
      <c r="K285" s="3" t="s">
        <v>46</v>
      </c>
      <c r="L285" s="185" t="s">
        <v>45</v>
      </c>
      <c r="M285" s="185"/>
      <c r="N285" s="3"/>
      <c r="O285" s="3"/>
      <c r="P285" s="268">
        <f>500000+128000-283300-36245</f>
        <v>308455</v>
      </c>
      <c r="Q285" s="269"/>
      <c r="R285" s="291"/>
      <c r="S285" s="291"/>
      <c r="T285" s="291">
        <f t="shared" si="53"/>
        <v>308455</v>
      </c>
      <c r="U285" s="291"/>
      <c r="V285" s="6">
        <v>308454.34000000003</v>
      </c>
      <c r="W285" s="6"/>
      <c r="X285" s="6">
        <f t="shared" si="54"/>
        <v>308454.34000000003</v>
      </c>
      <c r="Y285" s="6">
        <f t="shared" si="55"/>
        <v>-0.65999999997438863</v>
      </c>
      <c r="Z285" s="6"/>
      <c r="AA285" s="6">
        <f t="shared" si="56"/>
        <v>-0.65999999997438863</v>
      </c>
    </row>
    <row r="286" spans="1:27" ht="48" customHeight="1" x14ac:dyDescent="0.25">
      <c r="A286" s="49">
        <f t="shared" si="57"/>
        <v>8</v>
      </c>
      <c r="B286" s="202" t="s">
        <v>268</v>
      </c>
      <c r="C286" s="203"/>
      <c r="D286" s="203"/>
      <c r="E286" s="203"/>
      <c r="F286" s="203"/>
      <c r="G286" s="203"/>
      <c r="H286" s="203"/>
      <c r="I286" s="203"/>
      <c r="J286" s="204"/>
      <c r="K286" s="3" t="s">
        <v>46</v>
      </c>
      <c r="L286" s="185" t="s">
        <v>45</v>
      </c>
      <c r="M286" s="185"/>
      <c r="N286" s="3"/>
      <c r="O286" s="3"/>
      <c r="P286" s="268">
        <f>100000-2983</f>
        <v>97017</v>
      </c>
      <c r="Q286" s="269"/>
      <c r="R286" s="291"/>
      <c r="S286" s="291"/>
      <c r="T286" s="291">
        <f t="shared" si="53"/>
        <v>97017</v>
      </c>
      <c r="U286" s="291"/>
      <c r="V286" s="6">
        <v>97016.08</v>
      </c>
      <c r="W286" s="6"/>
      <c r="X286" s="6">
        <f t="shared" si="54"/>
        <v>97016.08</v>
      </c>
      <c r="Y286" s="6">
        <f t="shared" si="55"/>
        <v>-0.91999999999825377</v>
      </c>
      <c r="Z286" s="6"/>
      <c r="AA286" s="6">
        <f t="shared" si="56"/>
        <v>-0.91999999999825377</v>
      </c>
    </row>
    <row r="287" spans="1:27" ht="82.5" customHeight="1" x14ac:dyDescent="0.25">
      <c r="A287" s="49">
        <f t="shared" si="57"/>
        <v>9</v>
      </c>
      <c r="B287" s="205" t="s">
        <v>269</v>
      </c>
      <c r="C287" s="206"/>
      <c r="D287" s="206"/>
      <c r="E287" s="206"/>
      <c r="F287" s="206"/>
      <c r="G287" s="206"/>
      <c r="H287" s="206"/>
      <c r="I287" s="206"/>
      <c r="J287" s="207"/>
      <c r="K287" s="3" t="s">
        <v>46</v>
      </c>
      <c r="L287" s="185" t="s">
        <v>45</v>
      </c>
      <c r="M287" s="185"/>
      <c r="N287" s="3"/>
      <c r="O287" s="3"/>
      <c r="P287" s="268">
        <f>200000+125000+100000-18200</f>
        <v>406800</v>
      </c>
      <c r="Q287" s="269"/>
      <c r="R287" s="291"/>
      <c r="S287" s="291"/>
      <c r="T287" s="291">
        <f t="shared" si="53"/>
        <v>406800</v>
      </c>
      <c r="U287" s="291"/>
      <c r="V287" s="6">
        <f>321970.26+81798.26</f>
        <v>403768.52</v>
      </c>
      <c r="W287" s="6"/>
      <c r="X287" s="6">
        <f t="shared" si="54"/>
        <v>403768.52</v>
      </c>
      <c r="Y287" s="6">
        <f t="shared" si="55"/>
        <v>-3031.4799999999814</v>
      </c>
      <c r="Z287" s="6"/>
      <c r="AA287" s="6">
        <f t="shared" si="56"/>
        <v>-3031.4799999999814</v>
      </c>
    </row>
    <row r="288" spans="1:27" ht="36" customHeight="1" x14ac:dyDescent="0.25">
      <c r="A288" s="49">
        <f t="shared" si="57"/>
        <v>10</v>
      </c>
      <c r="B288" s="205" t="s">
        <v>270</v>
      </c>
      <c r="C288" s="206"/>
      <c r="D288" s="206"/>
      <c r="E288" s="206"/>
      <c r="F288" s="206"/>
      <c r="G288" s="206"/>
      <c r="H288" s="206"/>
      <c r="I288" s="206"/>
      <c r="J288" s="207"/>
      <c r="K288" s="3" t="s">
        <v>46</v>
      </c>
      <c r="L288" s="185" t="s">
        <v>45</v>
      </c>
      <c r="M288" s="185"/>
      <c r="N288" s="3"/>
      <c r="O288" s="3"/>
      <c r="P288" s="268">
        <f>80000+40000-28000</f>
        <v>92000</v>
      </c>
      <c r="Q288" s="269"/>
      <c r="R288" s="291"/>
      <c r="S288" s="291"/>
      <c r="T288" s="291">
        <f t="shared" si="53"/>
        <v>92000</v>
      </c>
      <c r="U288" s="291"/>
      <c r="V288" s="6">
        <f>79987.75+11976.6</f>
        <v>91964.35</v>
      </c>
      <c r="W288" s="6"/>
      <c r="X288" s="6">
        <f t="shared" si="54"/>
        <v>91964.35</v>
      </c>
      <c r="Y288" s="6">
        <f t="shared" si="55"/>
        <v>-35.649999999994179</v>
      </c>
      <c r="Z288" s="6"/>
      <c r="AA288" s="6">
        <f t="shared" si="56"/>
        <v>-35.649999999994179</v>
      </c>
    </row>
    <row r="289" spans="1:27" ht="34.5" customHeight="1" x14ac:dyDescent="0.25">
      <c r="A289" s="49">
        <f t="shared" si="57"/>
        <v>11</v>
      </c>
      <c r="B289" s="303" t="s">
        <v>271</v>
      </c>
      <c r="C289" s="304"/>
      <c r="D289" s="304"/>
      <c r="E289" s="304"/>
      <c r="F289" s="304"/>
      <c r="G289" s="304"/>
      <c r="H289" s="304"/>
      <c r="I289" s="304"/>
      <c r="J289" s="305"/>
      <c r="K289" s="3" t="s">
        <v>46</v>
      </c>
      <c r="L289" s="185" t="s">
        <v>45</v>
      </c>
      <c r="M289" s="185"/>
      <c r="N289" s="3"/>
      <c r="O289" s="3"/>
      <c r="P289" s="268">
        <f>60000-1069</f>
        <v>58931</v>
      </c>
      <c r="Q289" s="269"/>
      <c r="R289" s="291"/>
      <c r="S289" s="291"/>
      <c r="T289" s="291">
        <f t="shared" si="53"/>
        <v>58931</v>
      </c>
      <c r="U289" s="291"/>
      <c r="V289" s="6">
        <v>58930.28</v>
      </c>
      <c r="W289" s="6"/>
      <c r="X289" s="6">
        <f t="shared" si="54"/>
        <v>58930.28</v>
      </c>
      <c r="Y289" s="6">
        <f t="shared" si="55"/>
        <v>-0.72000000000116415</v>
      </c>
      <c r="Z289" s="6"/>
      <c r="AA289" s="6">
        <f t="shared" si="56"/>
        <v>-0.72000000000116415</v>
      </c>
    </row>
    <row r="290" spans="1:27" ht="65.25" customHeight="1" x14ac:dyDescent="0.25">
      <c r="A290" s="49">
        <f t="shared" si="57"/>
        <v>12</v>
      </c>
      <c r="B290" s="303" t="s">
        <v>272</v>
      </c>
      <c r="C290" s="304"/>
      <c r="D290" s="304"/>
      <c r="E290" s="304"/>
      <c r="F290" s="304"/>
      <c r="G290" s="304"/>
      <c r="H290" s="304"/>
      <c r="I290" s="304"/>
      <c r="J290" s="305"/>
      <c r="K290" s="3" t="s">
        <v>46</v>
      </c>
      <c r="L290" s="185" t="s">
        <v>45</v>
      </c>
      <c r="M290" s="185"/>
      <c r="N290" s="3"/>
      <c r="O290" s="3"/>
      <c r="P290" s="268">
        <v>200000</v>
      </c>
      <c r="Q290" s="269"/>
      <c r="R290" s="291"/>
      <c r="S290" s="291"/>
      <c r="T290" s="291">
        <f t="shared" si="53"/>
        <v>200000</v>
      </c>
      <c r="U290" s="291"/>
      <c r="V290" s="6">
        <v>199944.84</v>
      </c>
      <c r="W290" s="6"/>
      <c r="X290" s="6">
        <f t="shared" si="54"/>
        <v>199944.84</v>
      </c>
      <c r="Y290" s="6">
        <f t="shared" si="55"/>
        <v>-55.160000000003492</v>
      </c>
      <c r="Z290" s="6"/>
      <c r="AA290" s="6">
        <f t="shared" si="56"/>
        <v>-55.160000000003492</v>
      </c>
    </row>
    <row r="291" spans="1:27" ht="63.75" customHeight="1" x14ac:dyDescent="0.25">
      <c r="A291" s="49">
        <f t="shared" si="57"/>
        <v>13</v>
      </c>
      <c r="B291" s="303" t="s">
        <v>273</v>
      </c>
      <c r="C291" s="304"/>
      <c r="D291" s="304"/>
      <c r="E291" s="304"/>
      <c r="F291" s="304"/>
      <c r="G291" s="304"/>
      <c r="H291" s="304"/>
      <c r="I291" s="304"/>
      <c r="J291" s="305"/>
      <c r="K291" s="3" t="s">
        <v>46</v>
      </c>
      <c r="L291" s="185" t="s">
        <v>45</v>
      </c>
      <c r="M291" s="185"/>
      <c r="N291" s="3"/>
      <c r="O291" s="3"/>
      <c r="P291" s="268">
        <v>60000</v>
      </c>
      <c r="Q291" s="269"/>
      <c r="R291" s="291"/>
      <c r="S291" s="291"/>
      <c r="T291" s="291">
        <f t="shared" si="53"/>
        <v>60000</v>
      </c>
      <c r="U291" s="291"/>
      <c r="V291" s="6">
        <v>59969.91</v>
      </c>
      <c r="W291" s="6"/>
      <c r="X291" s="6">
        <f t="shared" si="54"/>
        <v>59969.91</v>
      </c>
      <c r="Y291" s="6">
        <f t="shared" si="55"/>
        <v>-30.089999999996508</v>
      </c>
      <c r="Z291" s="6"/>
      <c r="AA291" s="6">
        <f t="shared" si="56"/>
        <v>-30.089999999996508</v>
      </c>
    </row>
    <row r="292" spans="1:27" ht="51" customHeight="1" x14ac:dyDescent="0.25">
      <c r="A292" s="49">
        <f t="shared" si="57"/>
        <v>14</v>
      </c>
      <c r="B292" s="303" t="s">
        <v>274</v>
      </c>
      <c r="C292" s="304"/>
      <c r="D292" s="304"/>
      <c r="E292" s="304"/>
      <c r="F292" s="304"/>
      <c r="G292" s="304"/>
      <c r="H292" s="304"/>
      <c r="I292" s="304"/>
      <c r="J292" s="305"/>
      <c r="K292" s="3" t="s">
        <v>46</v>
      </c>
      <c r="L292" s="185" t="s">
        <v>45</v>
      </c>
      <c r="M292" s="185"/>
      <c r="N292" s="3"/>
      <c r="O292" s="3"/>
      <c r="P292" s="268">
        <v>15000</v>
      </c>
      <c r="Q292" s="269"/>
      <c r="R292" s="291"/>
      <c r="S292" s="291"/>
      <c r="T292" s="291">
        <f t="shared" si="53"/>
        <v>15000</v>
      </c>
      <c r="U292" s="291"/>
      <c r="V292" s="6">
        <v>13960</v>
      </c>
      <c r="W292" s="6"/>
      <c r="X292" s="6">
        <f t="shared" si="54"/>
        <v>13960</v>
      </c>
      <c r="Y292" s="6">
        <f t="shared" si="55"/>
        <v>-1040</v>
      </c>
      <c r="Z292" s="6"/>
      <c r="AA292" s="6">
        <f t="shared" si="56"/>
        <v>-1040</v>
      </c>
    </row>
    <row r="293" spans="1:27" ht="66" customHeight="1" x14ac:dyDescent="0.25">
      <c r="A293" s="49">
        <f t="shared" si="57"/>
        <v>15</v>
      </c>
      <c r="B293" s="302" t="s">
        <v>275</v>
      </c>
      <c r="C293" s="180"/>
      <c r="D293" s="180"/>
      <c r="E293" s="180"/>
      <c r="F293" s="180"/>
      <c r="G293" s="180"/>
      <c r="H293" s="180"/>
      <c r="I293" s="180"/>
      <c r="J293" s="181"/>
      <c r="K293" s="3" t="s">
        <v>46</v>
      </c>
      <c r="L293" s="185" t="s">
        <v>45</v>
      </c>
      <c r="M293" s="185"/>
      <c r="N293" s="17"/>
      <c r="O293" s="17"/>
      <c r="P293" s="268">
        <v>200000</v>
      </c>
      <c r="Q293" s="269"/>
      <c r="R293" s="291"/>
      <c r="S293" s="291"/>
      <c r="T293" s="291">
        <f>P293</f>
        <v>200000</v>
      </c>
      <c r="U293" s="291"/>
      <c r="V293" s="6">
        <v>149961.75</v>
      </c>
      <c r="W293" s="112"/>
      <c r="X293" s="6">
        <f t="shared" si="54"/>
        <v>149961.75</v>
      </c>
      <c r="Y293" s="6">
        <f t="shared" si="55"/>
        <v>-50038.25</v>
      </c>
      <c r="Z293" s="112"/>
      <c r="AA293" s="6">
        <f t="shared" si="56"/>
        <v>-50038.25</v>
      </c>
    </row>
    <row r="294" spans="1:27" ht="24" customHeight="1" x14ac:dyDescent="0.25">
      <c r="A294" s="49">
        <f t="shared" si="57"/>
        <v>16</v>
      </c>
      <c r="B294" s="208" t="s">
        <v>122</v>
      </c>
      <c r="C294" s="209"/>
      <c r="D294" s="209"/>
      <c r="E294" s="209"/>
      <c r="F294" s="9"/>
      <c r="G294" s="9"/>
      <c r="H294" s="9"/>
      <c r="I294" s="9"/>
      <c r="J294" s="9"/>
      <c r="K294" s="3" t="s">
        <v>46</v>
      </c>
      <c r="L294" s="185" t="s">
        <v>45</v>
      </c>
      <c r="M294" s="185"/>
      <c r="N294" s="3"/>
      <c r="O294" s="3"/>
      <c r="P294" s="217">
        <v>85900</v>
      </c>
      <c r="Q294" s="217"/>
      <c r="R294" s="291"/>
      <c r="S294" s="291"/>
      <c r="T294" s="291">
        <f>P294</f>
        <v>85900</v>
      </c>
      <c r="U294" s="291"/>
      <c r="V294" s="6">
        <v>85900</v>
      </c>
      <c r="W294" s="6"/>
      <c r="X294" s="6">
        <f>V294</f>
        <v>85900</v>
      </c>
      <c r="Y294" s="6">
        <f>V294-P294</f>
        <v>0</v>
      </c>
      <c r="Z294" s="6"/>
      <c r="AA294" s="6">
        <f>Y294</f>
        <v>0</v>
      </c>
    </row>
    <row r="295" spans="1:27" ht="18.95" customHeight="1" x14ac:dyDescent="0.25">
      <c r="A295" s="49"/>
      <c r="B295" s="302" t="s">
        <v>394</v>
      </c>
      <c r="C295" s="180"/>
      <c r="D295" s="180"/>
      <c r="E295" s="180"/>
      <c r="F295" s="180"/>
      <c r="G295" s="180"/>
      <c r="H295" s="180"/>
      <c r="I295" s="180"/>
      <c r="J295" s="180"/>
      <c r="K295" s="180"/>
      <c r="L295" s="180"/>
      <c r="M295" s="180"/>
      <c r="N295" s="180"/>
      <c r="O295" s="180"/>
      <c r="P295" s="180"/>
      <c r="Q295" s="180"/>
      <c r="R295" s="180"/>
      <c r="S295" s="180"/>
      <c r="T295" s="180"/>
      <c r="U295" s="180"/>
      <c r="V295" s="180"/>
      <c r="W295" s="180"/>
      <c r="X295" s="180"/>
      <c r="Y295" s="180"/>
      <c r="Z295" s="180"/>
      <c r="AA295" s="181"/>
    </row>
    <row r="296" spans="1:27" ht="18.95" customHeight="1" x14ac:dyDescent="0.25">
      <c r="A296" s="49"/>
      <c r="B296" s="302" t="s">
        <v>195</v>
      </c>
      <c r="C296" s="180"/>
      <c r="D296" s="180"/>
      <c r="E296" s="180"/>
      <c r="F296" s="180"/>
      <c r="G296" s="180"/>
      <c r="H296" s="180"/>
      <c r="I296" s="180"/>
      <c r="J296" s="180"/>
      <c r="K296" s="180"/>
      <c r="L296" s="180"/>
      <c r="M296" s="180"/>
      <c r="N296" s="180"/>
      <c r="O296" s="180"/>
      <c r="P296" s="180"/>
      <c r="Q296" s="180"/>
      <c r="R296" s="180"/>
      <c r="S296" s="180"/>
      <c r="T296" s="180"/>
      <c r="U296" s="180"/>
      <c r="V296" s="180"/>
      <c r="W296" s="180"/>
      <c r="X296" s="180"/>
      <c r="Y296" s="180"/>
      <c r="Z296" s="180"/>
      <c r="AA296" s="181"/>
    </row>
    <row r="297" spans="1:27" ht="20.100000000000001" customHeight="1" x14ac:dyDescent="0.25">
      <c r="A297" s="49"/>
      <c r="B297" s="297" t="s">
        <v>328</v>
      </c>
      <c r="C297" s="298"/>
      <c r="D297" s="298"/>
      <c r="E297" s="298"/>
      <c r="F297" s="48"/>
      <c r="G297" s="48"/>
      <c r="H297" s="48"/>
      <c r="I297" s="48"/>
      <c r="J297" s="48"/>
      <c r="K297" s="3"/>
      <c r="L297" s="185"/>
      <c r="M297" s="185"/>
      <c r="N297" s="3"/>
      <c r="O297" s="3"/>
      <c r="P297" s="220"/>
      <c r="Q297" s="220"/>
      <c r="R297" s="387"/>
      <c r="S297" s="387"/>
      <c r="T297" s="389"/>
      <c r="U297" s="387"/>
      <c r="V297" s="5"/>
      <c r="W297" s="5"/>
      <c r="X297" s="5"/>
      <c r="Y297" s="52"/>
      <c r="Z297" s="5"/>
      <c r="AA297" s="52"/>
    </row>
    <row r="298" spans="1:27" ht="20.100000000000001" customHeight="1" x14ac:dyDescent="0.25">
      <c r="A298" s="49">
        <v>1</v>
      </c>
      <c r="B298" s="208" t="s">
        <v>121</v>
      </c>
      <c r="C298" s="209"/>
      <c r="D298" s="209"/>
      <c r="E298" s="209"/>
      <c r="F298" s="9"/>
      <c r="G298" s="9"/>
      <c r="H298" s="9"/>
      <c r="I298" s="9"/>
      <c r="J298" s="9"/>
      <c r="K298" s="3" t="s">
        <v>48</v>
      </c>
      <c r="L298" s="185" t="s">
        <v>130</v>
      </c>
      <c r="M298" s="185"/>
      <c r="N298" s="3"/>
      <c r="O298" s="3"/>
      <c r="P298" s="301">
        <v>1</v>
      </c>
      <c r="Q298" s="301"/>
      <c r="R298" s="226"/>
      <c r="S298" s="226"/>
      <c r="T298" s="216">
        <f t="shared" si="53"/>
        <v>1</v>
      </c>
      <c r="U298" s="216"/>
      <c r="V298" s="4">
        <v>1</v>
      </c>
      <c r="W298" s="4"/>
      <c r="X298" s="4">
        <f t="shared" si="54"/>
        <v>1</v>
      </c>
      <c r="Y298" s="6">
        <f t="shared" si="55"/>
        <v>0</v>
      </c>
      <c r="Z298" s="4"/>
      <c r="AA298" s="6">
        <f t="shared" si="56"/>
        <v>0</v>
      </c>
    </row>
    <row r="299" spans="1:27" ht="37.5" customHeight="1" x14ac:dyDescent="0.25">
      <c r="A299" s="49">
        <v>2</v>
      </c>
      <c r="B299" s="208" t="s">
        <v>131</v>
      </c>
      <c r="C299" s="209"/>
      <c r="D299" s="209"/>
      <c r="E299" s="209"/>
      <c r="F299" s="9"/>
      <c r="G299" s="9"/>
      <c r="H299" s="9"/>
      <c r="I299" s="9"/>
      <c r="J299" s="9"/>
      <c r="K299" s="3" t="s">
        <v>48</v>
      </c>
      <c r="L299" s="185" t="s">
        <v>45</v>
      </c>
      <c r="M299" s="185"/>
      <c r="N299" s="3"/>
      <c r="O299" s="3"/>
      <c r="P299" s="301">
        <v>7</v>
      </c>
      <c r="Q299" s="301"/>
      <c r="R299" s="226"/>
      <c r="S299" s="226"/>
      <c r="T299" s="216">
        <f t="shared" si="53"/>
        <v>7</v>
      </c>
      <c r="U299" s="216"/>
      <c r="V299" s="4">
        <v>7</v>
      </c>
      <c r="W299" s="4"/>
      <c r="X299" s="4">
        <f t="shared" si="54"/>
        <v>7</v>
      </c>
      <c r="Y299" s="6">
        <f t="shared" si="55"/>
        <v>0</v>
      </c>
      <c r="Z299" s="4"/>
      <c r="AA299" s="6">
        <f t="shared" si="56"/>
        <v>0</v>
      </c>
    </row>
    <row r="300" spans="1:27" ht="63.75" customHeight="1" x14ac:dyDescent="0.25">
      <c r="A300" s="49">
        <v>3</v>
      </c>
      <c r="B300" s="208" t="s">
        <v>132</v>
      </c>
      <c r="C300" s="209"/>
      <c r="D300" s="209"/>
      <c r="E300" s="209"/>
      <c r="F300" s="9"/>
      <c r="G300" s="9"/>
      <c r="H300" s="9"/>
      <c r="I300" s="9"/>
      <c r="J300" s="9"/>
      <c r="K300" s="3" t="s">
        <v>48</v>
      </c>
      <c r="L300" s="185" t="s">
        <v>280</v>
      </c>
      <c r="M300" s="185"/>
      <c r="N300" s="185"/>
      <c r="O300" s="185"/>
      <c r="P300" s="195">
        <v>65</v>
      </c>
      <c r="Q300" s="195"/>
      <c r="R300" s="226"/>
      <c r="S300" s="226"/>
      <c r="T300" s="216">
        <f t="shared" si="53"/>
        <v>65</v>
      </c>
      <c r="U300" s="216"/>
      <c r="V300" s="4">
        <v>65</v>
      </c>
      <c r="W300" s="4"/>
      <c r="X300" s="4">
        <f t="shared" si="54"/>
        <v>65</v>
      </c>
      <c r="Y300" s="6">
        <f t="shared" si="55"/>
        <v>0</v>
      </c>
      <c r="Z300" s="4"/>
      <c r="AA300" s="6">
        <f t="shared" si="56"/>
        <v>0</v>
      </c>
    </row>
    <row r="301" spans="1:27" ht="52.5" customHeight="1" x14ac:dyDescent="0.25">
      <c r="A301" s="49">
        <v>4</v>
      </c>
      <c r="B301" s="208" t="s">
        <v>133</v>
      </c>
      <c r="C301" s="209"/>
      <c r="D301" s="209"/>
      <c r="E301" s="209"/>
      <c r="F301" s="9"/>
      <c r="G301" s="9"/>
      <c r="H301" s="9"/>
      <c r="I301" s="9"/>
      <c r="J301" s="9"/>
      <c r="K301" s="3" t="s">
        <v>48</v>
      </c>
      <c r="L301" s="185" t="s">
        <v>120</v>
      </c>
      <c r="M301" s="185"/>
      <c r="N301" s="185"/>
      <c r="O301" s="185"/>
      <c r="P301" s="195">
        <v>13</v>
      </c>
      <c r="Q301" s="195"/>
      <c r="R301" s="226"/>
      <c r="S301" s="226"/>
      <c r="T301" s="216">
        <f t="shared" si="53"/>
        <v>13</v>
      </c>
      <c r="U301" s="216"/>
      <c r="V301" s="4">
        <v>13</v>
      </c>
      <c r="W301" s="4"/>
      <c r="X301" s="4">
        <f t="shared" si="54"/>
        <v>13</v>
      </c>
      <c r="Y301" s="6">
        <f t="shared" si="55"/>
        <v>0</v>
      </c>
      <c r="Z301" s="4"/>
      <c r="AA301" s="6">
        <f t="shared" si="56"/>
        <v>0</v>
      </c>
    </row>
    <row r="302" spans="1:27" ht="51.75" customHeight="1" x14ac:dyDescent="0.25">
      <c r="A302" s="49">
        <v>5</v>
      </c>
      <c r="B302" s="208" t="s">
        <v>134</v>
      </c>
      <c r="C302" s="209"/>
      <c r="D302" s="209"/>
      <c r="E302" s="209"/>
      <c r="F302" s="9"/>
      <c r="G302" s="9"/>
      <c r="H302" s="9"/>
      <c r="I302" s="9"/>
      <c r="J302" s="9"/>
      <c r="K302" s="3" t="s">
        <v>48</v>
      </c>
      <c r="L302" s="185" t="s">
        <v>45</v>
      </c>
      <c r="M302" s="185"/>
      <c r="N302" s="185"/>
      <c r="O302" s="185"/>
      <c r="P302" s="301">
        <v>10</v>
      </c>
      <c r="Q302" s="301"/>
      <c r="R302" s="226"/>
      <c r="S302" s="226"/>
      <c r="T302" s="216">
        <f t="shared" si="53"/>
        <v>10</v>
      </c>
      <c r="U302" s="216"/>
      <c r="V302" s="4">
        <v>10</v>
      </c>
      <c r="W302" s="4"/>
      <c r="X302" s="4">
        <f t="shared" si="54"/>
        <v>10</v>
      </c>
      <c r="Y302" s="6">
        <f t="shared" si="55"/>
        <v>0</v>
      </c>
      <c r="Z302" s="4"/>
      <c r="AA302" s="6">
        <f t="shared" si="56"/>
        <v>0</v>
      </c>
    </row>
    <row r="303" spans="1:27" ht="35.1" customHeight="1" x14ac:dyDescent="0.25">
      <c r="A303" s="49">
        <v>6</v>
      </c>
      <c r="B303" s="208" t="s">
        <v>135</v>
      </c>
      <c r="C303" s="209"/>
      <c r="D303" s="209"/>
      <c r="E303" s="209"/>
      <c r="F303" s="9"/>
      <c r="G303" s="9"/>
      <c r="H303" s="9"/>
      <c r="I303" s="9"/>
      <c r="J303" s="9"/>
      <c r="K303" s="3" t="s">
        <v>48</v>
      </c>
      <c r="L303" s="185" t="s">
        <v>281</v>
      </c>
      <c r="M303" s="185"/>
      <c r="N303" s="185"/>
      <c r="O303" s="185"/>
      <c r="P303" s="301">
        <v>135</v>
      </c>
      <c r="Q303" s="301"/>
      <c r="R303" s="226"/>
      <c r="S303" s="226"/>
      <c r="T303" s="216">
        <f t="shared" si="53"/>
        <v>135</v>
      </c>
      <c r="U303" s="216"/>
      <c r="V303" s="4">
        <v>135</v>
      </c>
      <c r="W303" s="4"/>
      <c r="X303" s="4">
        <f t="shared" si="54"/>
        <v>135</v>
      </c>
      <c r="Y303" s="6">
        <f t="shared" si="55"/>
        <v>0</v>
      </c>
      <c r="Z303" s="4"/>
      <c r="AA303" s="6">
        <f t="shared" si="56"/>
        <v>0</v>
      </c>
    </row>
    <row r="304" spans="1:27" ht="35.1" customHeight="1" x14ac:dyDescent="0.25">
      <c r="A304" s="49">
        <v>7</v>
      </c>
      <c r="B304" s="208" t="s">
        <v>282</v>
      </c>
      <c r="C304" s="209"/>
      <c r="D304" s="209"/>
      <c r="E304" s="209"/>
      <c r="F304" s="9"/>
      <c r="G304" s="9"/>
      <c r="H304" s="9"/>
      <c r="I304" s="9"/>
      <c r="J304" s="9"/>
      <c r="K304" s="3" t="s">
        <v>48</v>
      </c>
      <c r="L304" s="185" t="s">
        <v>84</v>
      </c>
      <c r="M304" s="185"/>
      <c r="N304" s="185"/>
      <c r="O304" s="185"/>
      <c r="P304" s="195">
        <v>4</v>
      </c>
      <c r="Q304" s="195"/>
      <c r="R304" s="226"/>
      <c r="S304" s="226"/>
      <c r="T304" s="216">
        <f t="shared" si="53"/>
        <v>4</v>
      </c>
      <c r="U304" s="216"/>
      <c r="V304" s="4">
        <v>4</v>
      </c>
      <c r="W304" s="4"/>
      <c r="X304" s="4">
        <f t="shared" si="54"/>
        <v>4</v>
      </c>
      <c r="Y304" s="6">
        <f t="shared" si="55"/>
        <v>0</v>
      </c>
      <c r="Z304" s="4"/>
      <c r="AA304" s="6">
        <f t="shared" si="56"/>
        <v>0</v>
      </c>
    </row>
    <row r="305" spans="1:27" ht="54.75" customHeight="1" x14ac:dyDescent="0.25">
      <c r="A305" s="49">
        <v>8</v>
      </c>
      <c r="B305" s="270" t="s">
        <v>283</v>
      </c>
      <c r="C305" s="201"/>
      <c r="D305" s="201"/>
      <c r="E305" s="201"/>
      <c r="F305" s="201"/>
      <c r="G305" s="201"/>
      <c r="H305" s="201"/>
      <c r="I305" s="201"/>
      <c r="J305" s="201"/>
      <c r="K305" s="3" t="s">
        <v>48</v>
      </c>
      <c r="L305" s="185" t="s">
        <v>45</v>
      </c>
      <c r="M305" s="185"/>
      <c r="N305" s="185"/>
      <c r="O305" s="185"/>
      <c r="P305" s="195">
        <v>2</v>
      </c>
      <c r="Q305" s="195"/>
      <c r="R305" s="226"/>
      <c r="S305" s="226"/>
      <c r="T305" s="216">
        <f t="shared" si="53"/>
        <v>2</v>
      </c>
      <c r="U305" s="216"/>
      <c r="V305" s="4">
        <v>2</v>
      </c>
      <c r="W305" s="4"/>
      <c r="X305" s="4">
        <f t="shared" si="54"/>
        <v>2</v>
      </c>
      <c r="Y305" s="6">
        <f t="shared" si="55"/>
        <v>0</v>
      </c>
      <c r="Z305" s="4"/>
      <c r="AA305" s="6">
        <f t="shared" si="56"/>
        <v>0</v>
      </c>
    </row>
    <row r="306" spans="1:27" ht="51" customHeight="1" x14ac:dyDescent="0.25">
      <c r="A306" s="49">
        <v>9</v>
      </c>
      <c r="B306" s="270" t="s">
        <v>284</v>
      </c>
      <c r="C306" s="201"/>
      <c r="D306" s="201"/>
      <c r="E306" s="201"/>
      <c r="F306" s="201"/>
      <c r="G306" s="201"/>
      <c r="H306" s="201"/>
      <c r="I306" s="201"/>
      <c r="J306" s="201"/>
      <c r="K306" s="3" t="s">
        <v>49</v>
      </c>
      <c r="L306" s="185" t="s">
        <v>136</v>
      </c>
      <c r="M306" s="185"/>
      <c r="N306" s="3"/>
      <c r="O306" s="3"/>
      <c r="P306" s="195">
        <v>750</v>
      </c>
      <c r="Q306" s="195"/>
      <c r="R306" s="226"/>
      <c r="S306" s="226"/>
      <c r="T306" s="216">
        <f t="shared" si="53"/>
        <v>750</v>
      </c>
      <c r="U306" s="216"/>
      <c r="V306" s="4">
        <v>750</v>
      </c>
      <c r="W306" s="4"/>
      <c r="X306" s="4">
        <f t="shared" si="54"/>
        <v>750</v>
      </c>
      <c r="Y306" s="6">
        <f t="shared" si="55"/>
        <v>0</v>
      </c>
      <c r="Z306" s="4"/>
      <c r="AA306" s="6">
        <f t="shared" si="56"/>
        <v>0</v>
      </c>
    </row>
    <row r="307" spans="1:27" ht="22.5" customHeight="1" x14ac:dyDescent="0.25">
      <c r="A307" s="49">
        <v>10</v>
      </c>
      <c r="B307" s="208" t="s">
        <v>122</v>
      </c>
      <c r="C307" s="209"/>
      <c r="D307" s="209"/>
      <c r="E307" s="209"/>
      <c r="F307" s="9"/>
      <c r="G307" s="9"/>
      <c r="H307" s="9"/>
      <c r="I307" s="9"/>
      <c r="J307" s="9"/>
      <c r="K307" s="3" t="s">
        <v>48</v>
      </c>
      <c r="L307" s="185" t="s">
        <v>45</v>
      </c>
      <c r="M307" s="185"/>
      <c r="N307" s="3"/>
      <c r="O307" s="3"/>
      <c r="P307" s="195">
        <v>1</v>
      </c>
      <c r="Q307" s="195"/>
      <c r="R307" s="226"/>
      <c r="S307" s="226"/>
      <c r="T307" s="216">
        <f t="shared" si="53"/>
        <v>1</v>
      </c>
      <c r="U307" s="216"/>
      <c r="V307" s="4">
        <v>1</v>
      </c>
      <c r="W307" s="4"/>
      <c r="X307" s="4">
        <f t="shared" si="54"/>
        <v>1</v>
      </c>
      <c r="Y307" s="6">
        <f t="shared" si="55"/>
        <v>0</v>
      </c>
      <c r="Z307" s="4"/>
      <c r="AA307" s="6">
        <f t="shared" si="56"/>
        <v>0</v>
      </c>
    </row>
    <row r="308" spans="1:27" ht="20.100000000000001" customHeight="1" x14ac:dyDescent="0.25">
      <c r="A308" s="49"/>
      <c r="B308" s="297" t="s">
        <v>190</v>
      </c>
      <c r="C308" s="298"/>
      <c r="D308" s="298"/>
      <c r="E308" s="298"/>
      <c r="F308" s="48"/>
      <c r="G308" s="48"/>
      <c r="H308" s="48"/>
      <c r="I308" s="48"/>
      <c r="J308" s="48"/>
      <c r="K308" s="3"/>
      <c r="L308" s="185"/>
      <c r="M308" s="185"/>
      <c r="N308" s="3"/>
      <c r="O308" s="3"/>
      <c r="P308" s="185"/>
      <c r="Q308" s="185"/>
      <c r="R308" s="226"/>
      <c r="S308" s="226"/>
      <c r="T308" s="291"/>
      <c r="U308" s="226"/>
      <c r="V308" s="4"/>
      <c r="W308" s="4"/>
      <c r="X308" s="4"/>
      <c r="Y308" s="6"/>
      <c r="Z308" s="4"/>
      <c r="AA308" s="6"/>
    </row>
    <row r="309" spans="1:27" ht="35.1" customHeight="1" x14ac:dyDescent="0.25">
      <c r="A309" s="49">
        <v>1</v>
      </c>
      <c r="B309" s="208" t="s">
        <v>137</v>
      </c>
      <c r="C309" s="209"/>
      <c r="D309" s="209"/>
      <c r="E309" s="209"/>
      <c r="F309" s="9"/>
      <c r="G309" s="9"/>
      <c r="H309" s="9"/>
      <c r="I309" s="9"/>
      <c r="J309" s="9"/>
      <c r="K309" s="3" t="s">
        <v>46</v>
      </c>
      <c r="L309" s="185" t="s">
        <v>55</v>
      </c>
      <c r="M309" s="185"/>
      <c r="N309" s="3"/>
      <c r="O309" s="3"/>
      <c r="P309" s="217">
        <f>P279/P298</f>
        <v>92000</v>
      </c>
      <c r="Q309" s="217"/>
      <c r="R309" s="291"/>
      <c r="S309" s="291"/>
      <c r="T309" s="291">
        <f t="shared" si="53"/>
        <v>92000</v>
      </c>
      <c r="U309" s="291"/>
      <c r="V309" s="6">
        <f>V279/V298</f>
        <v>90582</v>
      </c>
      <c r="W309" s="6"/>
      <c r="X309" s="6">
        <f t="shared" si="54"/>
        <v>90582</v>
      </c>
      <c r="Y309" s="6">
        <f t="shared" si="55"/>
        <v>-1418</v>
      </c>
      <c r="Z309" s="6"/>
      <c r="AA309" s="6">
        <f t="shared" si="56"/>
        <v>-1418</v>
      </c>
    </row>
    <row r="310" spans="1:27" ht="35.1" customHeight="1" x14ac:dyDescent="0.25">
      <c r="A310" s="49">
        <f>A309+1</f>
        <v>2</v>
      </c>
      <c r="B310" s="208" t="s">
        <v>139</v>
      </c>
      <c r="C310" s="209"/>
      <c r="D310" s="209"/>
      <c r="E310" s="209"/>
      <c r="F310" s="9"/>
      <c r="G310" s="9"/>
      <c r="H310" s="9"/>
      <c r="I310" s="9"/>
      <c r="J310" s="9"/>
      <c r="K310" s="3" t="s">
        <v>46</v>
      </c>
      <c r="L310" s="185" t="s">
        <v>55</v>
      </c>
      <c r="M310" s="185"/>
      <c r="N310" s="3"/>
      <c r="O310" s="3"/>
      <c r="P310" s="217">
        <f>(P280+P282+P286+P287+P289+P290+P291)/P299</f>
        <v>190457.71428571429</v>
      </c>
      <c r="Q310" s="217"/>
      <c r="R310" s="291"/>
      <c r="S310" s="291"/>
      <c r="T310" s="291">
        <f t="shared" si="53"/>
        <v>190457.71428571429</v>
      </c>
      <c r="U310" s="291"/>
      <c r="V310" s="6">
        <f>(V289+V280+V282+V290+V292)/V299</f>
        <v>111879.5457142857</v>
      </c>
      <c r="W310" s="6"/>
      <c r="X310" s="6">
        <f t="shared" si="54"/>
        <v>111879.5457142857</v>
      </c>
      <c r="Y310" s="6">
        <f t="shared" si="55"/>
        <v>-78578.168571428585</v>
      </c>
      <c r="Z310" s="6"/>
      <c r="AA310" s="6">
        <f t="shared" si="56"/>
        <v>-78578.168571428585</v>
      </c>
    </row>
    <row r="311" spans="1:27" ht="35.1" customHeight="1" x14ac:dyDescent="0.25">
      <c r="A311" s="49">
        <f t="shared" ref="A311:A318" si="58">A310+1</f>
        <v>3</v>
      </c>
      <c r="B311" s="208" t="s">
        <v>140</v>
      </c>
      <c r="C311" s="209"/>
      <c r="D311" s="209"/>
      <c r="E311" s="209"/>
      <c r="F311" s="9"/>
      <c r="G311" s="9"/>
      <c r="H311" s="9"/>
      <c r="I311" s="9"/>
      <c r="J311" s="9"/>
      <c r="K311" s="3" t="s">
        <v>46</v>
      </c>
      <c r="L311" s="185" t="s">
        <v>55</v>
      </c>
      <c r="M311" s="185"/>
      <c r="N311" s="3"/>
      <c r="O311" s="3"/>
      <c r="P311" s="217">
        <f>P281/P301</f>
        <v>76923.076923076922</v>
      </c>
      <c r="Q311" s="217"/>
      <c r="R311" s="291"/>
      <c r="S311" s="291"/>
      <c r="T311" s="291">
        <f t="shared" si="53"/>
        <v>76923.076923076922</v>
      </c>
      <c r="U311" s="291"/>
      <c r="V311" s="6">
        <f>V281/V301</f>
        <v>74538.106153846151</v>
      </c>
      <c r="W311" s="6"/>
      <c r="X311" s="6">
        <f t="shared" si="54"/>
        <v>74538.106153846151</v>
      </c>
      <c r="Y311" s="6">
        <f t="shared" si="55"/>
        <v>-2384.9707692307711</v>
      </c>
      <c r="Z311" s="6"/>
      <c r="AA311" s="6">
        <f t="shared" si="56"/>
        <v>-2384.9707692307711</v>
      </c>
    </row>
    <row r="312" spans="1:27" ht="35.1" customHeight="1" x14ac:dyDescent="0.25">
      <c r="A312" s="49">
        <f t="shared" si="58"/>
        <v>4</v>
      </c>
      <c r="B312" s="208" t="s">
        <v>141</v>
      </c>
      <c r="C312" s="209"/>
      <c r="D312" s="209"/>
      <c r="E312" s="209"/>
      <c r="F312" s="9"/>
      <c r="G312" s="9"/>
      <c r="H312" s="9"/>
      <c r="I312" s="9"/>
      <c r="J312" s="9"/>
      <c r="K312" s="3" t="s">
        <v>46</v>
      </c>
      <c r="L312" s="185" t="s">
        <v>55</v>
      </c>
      <c r="M312" s="185"/>
      <c r="N312" s="3"/>
      <c r="O312" s="3"/>
      <c r="P312" s="217">
        <f>P283/P302</f>
        <v>28300</v>
      </c>
      <c r="Q312" s="217"/>
      <c r="R312" s="291"/>
      <c r="S312" s="291"/>
      <c r="T312" s="291">
        <f t="shared" si="53"/>
        <v>28300</v>
      </c>
      <c r="U312" s="291"/>
      <c r="V312" s="6">
        <f>V283/V302</f>
        <v>28294.580999999998</v>
      </c>
      <c r="W312" s="6"/>
      <c r="X312" s="6">
        <f t="shared" si="54"/>
        <v>28294.580999999998</v>
      </c>
      <c r="Y312" s="6">
        <f t="shared" si="55"/>
        <v>-5.419000000001688</v>
      </c>
      <c r="Z312" s="6"/>
      <c r="AA312" s="6">
        <f t="shared" si="56"/>
        <v>-5.419000000001688</v>
      </c>
    </row>
    <row r="313" spans="1:27" ht="35.1" customHeight="1" x14ac:dyDescent="0.25">
      <c r="A313" s="49">
        <f t="shared" si="58"/>
        <v>5</v>
      </c>
      <c r="B313" s="208" t="s">
        <v>142</v>
      </c>
      <c r="C313" s="209"/>
      <c r="D313" s="209"/>
      <c r="E313" s="209"/>
      <c r="F313" s="9"/>
      <c r="G313" s="9"/>
      <c r="H313" s="9"/>
      <c r="I313" s="9"/>
      <c r="J313" s="9"/>
      <c r="K313" s="3" t="s">
        <v>46</v>
      </c>
      <c r="L313" s="185" t="s">
        <v>55</v>
      </c>
      <c r="M313" s="185"/>
      <c r="N313" s="3"/>
      <c r="O313" s="3"/>
      <c r="P313" s="217">
        <f>P284/P303</f>
        <v>2222.2222222222222</v>
      </c>
      <c r="Q313" s="217"/>
      <c r="R313" s="291"/>
      <c r="S313" s="291"/>
      <c r="T313" s="291">
        <f t="shared" si="53"/>
        <v>2222.2222222222222</v>
      </c>
      <c r="U313" s="291"/>
      <c r="V313" s="6">
        <f>V284/V303</f>
        <v>2222.1282962962964</v>
      </c>
      <c r="W313" s="6"/>
      <c r="X313" s="6">
        <f t="shared" si="54"/>
        <v>2222.1282962962964</v>
      </c>
      <c r="Y313" s="6">
        <f t="shared" si="55"/>
        <v>-9.3925925925759657E-2</v>
      </c>
      <c r="Z313" s="6"/>
      <c r="AA313" s="6">
        <f t="shared" si="56"/>
        <v>-9.3925925925759657E-2</v>
      </c>
    </row>
    <row r="314" spans="1:27" ht="35.1" customHeight="1" x14ac:dyDescent="0.25">
      <c r="A314" s="49">
        <f t="shared" si="58"/>
        <v>6</v>
      </c>
      <c r="B314" s="208" t="s">
        <v>143</v>
      </c>
      <c r="C314" s="209"/>
      <c r="D314" s="209"/>
      <c r="E314" s="209"/>
      <c r="F314" s="9"/>
      <c r="G314" s="9"/>
      <c r="H314" s="9"/>
      <c r="I314" s="9"/>
      <c r="J314" s="9"/>
      <c r="K314" s="3" t="s">
        <v>46</v>
      </c>
      <c r="L314" s="185" t="s">
        <v>55</v>
      </c>
      <c r="M314" s="185"/>
      <c r="N314" s="3"/>
      <c r="O314" s="3"/>
      <c r="P314" s="217">
        <f>P285/P304</f>
        <v>77113.75</v>
      </c>
      <c r="Q314" s="217"/>
      <c r="R314" s="291"/>
      <c r="S314" s="291"/>
      <c r="T314" s="291">
        <f t="shared" si="53"/>
        <v>77113.75</v>
      </c>
      <c r="U314" s="291"/>
      <c r="V314" s="6">
        <f>V285/V304</f>
        <v>77113.585000000006</v>
      </c>
      <c r="W314" s="6"/>
      <c r="X314" s="6">
        <f t="shared" si="54"/>
        <v>77113.585000000006</v>
      </c>
      <c r="Y314" s="6">
        <f t="shared" si="55"/>
        <v>-0.16499999999359716</v>
      </c>
      <c r="Z314" s="6"/>
      <c r="AA314" s="6">
        <f t="shared" si="56"/>
        <v>-0.16499999999359716</v>
      </c>
    </row>
    <row r="315" spans="1:27" ht="35.1" customHeight="1" x14ac:dyDescent="0.25">
      <c r="A315" s="49">
        <f t="shared" si="58"/>
        <v>7</v>
      </c>
      <c r="B315" s="270" t="s">
        <v>144</v>
      </c>
      <c r="C315" s="201"/>
      <c r="D315" s="201"/>
      <c r="E315" s="201"/>
      <c r="F315" s="201"/>
      <c r="G315" s="201"/>
      <c r="H315" s="201"/>
      <c r="I315" s="201"/>
      <c r="J315" s="201"/>
      <c r="K315" s="3" t="s">
        <v>46</v>
      </c>
      <c r="L315" s="185" t="s">
        <v>55</v>
      </c>
      <c r="M315" s="185"/>
      <c r="N315" s="3"/>
      <c r="O315" s="3"/>
      <c r="P315" s="217">
        <f>P288/P305</f>
        <v>46000</v>
      </c>
      <c r="Q315" s="217"/>
      <c r="R315" s="291"/>
      <c r="S315" s="291"/>
      <c r="T315" s="291">
        <f t="shared" si="53"/>
        <v>46000</v>
      </c>
      <c r="U315" s="291"/>
      <c r="V315" s="6">
        <f>V288/V305</f>
        <v>45982.175000000003</v>
      </c>
      <c r="W315" s="6"/>
      <c r="X315" s="6">
        <f t="shared" si="54"/>
        <v>45982.175000000003</v>
      </c>
      <c r="Y315" s="6">
        <f t="shared" si="55"/>
        <v>-17.82499999999709</v>
      </c>
      <c r="Z315" s="6"/>
      <c r="AA315" s="6">
        <f t="shared" si="56"/>
        <v>-17.82499999999709</v>
      </c>
    </row>
    <row r="316" spans="1:27" ht="35.1" customHeight="1" x14ac:dyDescent="0.25">
      <c r="A316" s="49">
        <f t="shared" si="58"/>
        <v>8</v>
      </c>
      <c r="B316" s="299" t="s">
        <v>285</v>
      </c>
      <c r="C316" s="300"/>
      <c r="D316" s="300"/>
      <c r="E316" s="300"/>
      <c r="F316" s="300"/>
      <c r="G316" s="300"/>
      <c r="H316" s="300"/>
      <c r="I316" s="300"/>
      <c r="J316" s="300"/>
      <c r="K316" s="3" t="s">
        <v>46</v>
      </c>
      <c r="L316" s="185" t="s">
        <v>55</v>
      </c>
      <c r="M316" s="185"/>
      <c r="N316" s="3"/>
      <c r="O316" s="3"/>
      <c r="P316" s="217">
        <f>P292</f>
        <v>15000</v>
      </c>
      <c r="Q316" s="217"/>
      <c r="R316" s="291"/>
      <c r="S316" s="291"/>
      <c r="T316" s="291">
        <f t="shared" si="53"/>
        <v>15000</v>
      </c>
      <c r="U316" s="291"/>
      <c r="V316" s="6">
        <f>V292</f>
        <v>13960</v>
      </c>
      <c r="W316" s="6"/>
      <c r="X316" s="6">
        <f t="shared" si="54"/>
        <v>13960</v>
      </c>
      <c r="Y316" s="6">
        <f t="shared" si="55"/>
        <v>-1040</v>
      </c>
      <c r="Z316" s="6"/>
      <c r="AA316" s="6">
        <f t="shared" si="56"/>
        <v>-1040</v>
      </c>
    </row>
    <row r="317" spans="1:27" ht="36" customHeight="1" x14ac:dyDescent="0.25">
      <c r="A317" s="49">
        <f t="shared" si="58"/>
        <v>9</v>
      </c>
      <c r="B317" s="270" t="s">
        <v>286</v>
      </c>
      <c r="C317" s="201"/>
      <c r="D317" s="201"/>
      <c r="E317" s="201"/>
      <c r="F317" s="201"/>
      <c r="G317" s="201"/>
      <c r="H317" s="201"/>
      <c r="I317" s="201"/>
      <c r="J317" s="201"/>
      <c r="K317" s="3" t="s">
        <v>46</v>
      </c>
      <c r="L317" s="185" t="s">
        <v>55</v>
      </c>
      <c r="M317" s="185"/>
      <c r="N317" s="3"/>
      <c r="O317" s="3"/>
      <c r="P317" s="217">
        <f>P293/P306</f>
        <v>266.66666666666669</v>
      </c>
      <c r="Q317" s="217"/>
      <c r="R317" s="291"/>
      <c r="S317" s="291"/>
      <c r="T317" s="291">
        <f t="shared" si="53"/>
        <v>266.66666666666669</v>
      </c>
      <c r="U317" s="291"/>
      <c r="V317" s="6">
        <f>V293/V306</f>
        <v>199.94900000000001</v>
      </c>
      <c r="W317" s="6"/>
      <c r="X317" s="6">
        <f t="shared" si="54"/>
        <v>199.94900000000001</v>
      </c>
      <c r="Y317" s="6">
        <f t="shared" si="55"/>
        <v>-66.717666666666673</v>
      </c>
      <c r="Z317" s="6"/>
      <c r="AA317" s="6">
        <f t="shared" si="56"/>
        <v>-66.717666666666673</v>
      </c>
    </row>
    <row r="318" spans="1:27" ht="21" customHeight="1" x14ac:dyDescent="0.25">
      <c r="A318" s="49">
        <f t="shared" si="58"/>
        <v>10</v>
      </c>
      <c r="B318" s="208" t="s">
        <v>138</v>
      </c>
      <c r="C318" s="209"/>
      <c r="D318" s="209"/>
      <c r="E318" s="209"/>
      <c r="F318" s="9"/>
      <c r="G318" s="9"/>
      <c r="H318" s="9"/>
      <c r="I318" s="9"/>
      <c r="J318" s="9"/>
      <c r="K318" s="3" t="s">
        <v>46</v>
      </c>
      <c r="L318" s="185" t="s">
        <v>55</v>
      </c>
      <c r="M318" s="185"/>
      <c r="N318" s="3"/>
      <c r="O318" s="3"/>
      <c r="P318" s="217">
        <f>P294/P307</f>
        <v>85900</v>
      </c>
      <c r="Q318" s="217"/>
      <c r="R318" s="291"/>
      <c r="S318" s="291"/>
      <c r="T318" s="291">
        <f>P318</f>
        <v>85900</v>
      </c>
      <c r="U318" s="291"/>
      <c r="V318" s="6">
        <f>V294/V307</f>
        <v>85900</v>
      </c>
      <c r="W318" s="6"/>
      <c r="X318" s="6">
        <f>V318</f>
        <v>85900</v>
      </c>
      <c r="Y318" s="6">
        <f>V318-P318</f>
        <v>0</v>
      </c>
      <c r="Z318" s="6"/>
      <c r="AA318" s="6">
        <f>Y318</f>
        <v>0</v>
      </c>
    </row>
    <row r="319" spans="1:27" ht="21" customHeight="1" x14ac:dyDescent="0.25">
      <c r="A319" s="49"/>
      <c r="B319" s="427" t="s">
        <v>395</v>
      </c>
      <c r="C319" s="428"/>
      <c r="D319" s="428"/>
      <c r="E319" s="428"/>
      <c r="F319" s="428"/>
      <c r="G319" s="428"/>
      <c r="H319" s="428"/>
      <c r="I319" s="428"/>
      <c r="J319" s="428"/>
      <c r="K319" s="428"/>
      <c r="L319" s="428"/>
      <c r="M319" s="428"/>
      <c r="N319" s="428"/>
      <c r="O319" s="428"/>
      <c r="P319" s="428"/>
      <c r="Q319" s="428"/>
      <c r="R319" s="428"/>
      <c r="S319" s="428"/>
      <c r="T319" s="428"/>
      <c r="U319" s="428"/>
      <c r="V319" s="428"/>
      <c r="W319" s="428"/>
      <c r="X319" s="428"/>
      <c r="Y319" s="428"/>
      <c r="Z319" s="428"/>
      <c r="AA319" s="429"/>
    </row>
    <row r="320" spans="1:27" ht="20.100000000000001" customHeight="1" x14ac:dyDescent="0.25">
      <c r="A320" s="49"/>
      <c r="B320" s="297" t="s">
        <v>325</v>
      </c>
      <c r="C320" s="298"/>
      <c r="D320" s="298"/>
      <c r="E320" s="298"/>
      <c r="F320" s="48"/>
      <c r="G320" s="48"/>
      <c r="H320" s="48"/>
      <c r="I320" s="48"/>
      <c r="J320" s="48"/>
      <c r="K320" s="3"/>
      <c r="L320" s="185"/>
      <c r="M320" s="185"/>
      <c r="N320" s="3"/>
      <c r="O320" s="3"/>
      <c r="P320" s="185"/>
      <c r="Q320" s="185"/>
      <c r="R320" s="232"/>
      <c r="S320" s="232"/>
      <c r="T320" s="223"/>
      <c r="U320" s="232"/>
      <c r="V320" s="78"/>
      <c r="W320" s="78"/>
      <c r="X320" s="78"/>
      <c r="Y320" s="77"/>
      <c r="Z320" s="78"/>
      <c r="AA320" s="77"/>
    </row>
    <row r="321" spans="1:27" ht="50.1" customHeight="1" x14ac:dyDescent="0.25">
      <c r="A321" s="49">
        <v>1</v>
      </c>
      <c r="B321" s="270" t="s">
        <v>145</v>
      </c>
      <c r="C321" s="201"/>
      <c r="D321" s="201"/>
      <c r="E321" s="201"/>
      <c r="F321" s="201"/>
      <c r="G321" s="201"/>
      <c r="H321" s="201"/>
      <c r="I321" s="201"/>
      <c r="J321" s="201"/>
      <c r="K321" s="3" t="s">
        <v>50</v>
      </c>
      <c r="L321" s="185" t="s">
        <v>55</v>
      </c>
      <c r="M321" s="185"/>
      <c r="N321" s="3"/>
      <c r="O321" s="3"/>
      <c r="P321" s="281">
        <f>P279/57600*100</f>
        <v>159.72222222222223</v>
      </c>
      <c r="Q321" s="281"/>
      <c r="R321" s="294"/>
      <c r="S321" s="294"/>
      <c r="T321" s="294">
        <f t="shared" si="53"/>
        <v>159.72222222222223</v>
      </c>
      <c r="U321" s="294"/>
      <c r="V321" s="69">
        <f>V279/57600*100</f>
        <v>157.26041666666666</v>
      </c>
      <c r="W321" s="69"/>
      <c r="X321" s="69">
        <f t="shared" si="54"/>
        <v>157.26041666666666</v>
      </c>
      <c r="Y321" s="69">
        <f t="shared" si="55"/>
        <v>-2.4618055555555713</v>
      </c>
      <c r="Z321" s="69"/>
      <c r="AA321" s="69">
        <f t="shared" si="56"/>
        <v>-2.4618055555555713</v>
      </c>
    </row>
    <row r="322" spans="1:27" ht="52.5" customHeight="1" x14ac:dyDescent="0.25">
      <c r="A322" s="49">
        <f>A321+1</f>
        <v>2</v>
      </c>
      <c r="B322" s="244" t="s">
        <v>287</v>
      </c>
      <c r="C322" s="277"/>
      <c r="D322" s="277"/>
      <c r="E322" s="277"/>
      <c r="F322" s="277"/>
      <c r="G322" s="277"/>
      <c r="H322" s="277"/>
      <c r="I322" s="277"/>
      <c r="J322" s="277"/>
      <c r="K322" s="3" t="s">
        <v>50</v>
      </c>
      <c r="L322" s="185" t="s">
        <v>55</v>
      </c>
      <c r="M322" s="185"/>
      <c r="N322" s="3"/>
      <c r="O322" s="3"/>
      <c r="P322" s="281">
        <f>P299/7*100</f>
        <v>100</v>
      </c>
      <c r="Q322" s="281"/>
      <c r="R322" s="294"/>
      <c r="S322" s="294"/>
      <c r="T322" s="294">
        <f t="shared" si="53"/>
        <v>100</v>
      </c>
      <c r="U322" s="294"/>
      <c r="V322" s="10">
        <f>V299/7*100</f>
        <v>100</v>
      </c>
      <c r="W322" s="10"/>
      <c r="X322" s="69">
        <f t="shared" si="54"/>
        <v>100</v>
      </c>
      <c r="Y322" s="69">
        <f t="shared" si="55"/>
        <v>0</v>
      </c>
      <c r="Z322" s="69"/>
      <c r="AA322" s="69">
        <f t="shared" si="56"/>
        <v>0</v>
      </c>
    </row>
    <row r="323" spans="1:27" ht="84" customHeight="1" x14ac:dyDescent="0.25">
      <c r="A323" s="49">
        <f t="shared" ref="A323:A328" si="59">A322+1</f>
        <v>3</v>
      </c>
      <c r="B323" s="244" t="s">
        <v>288</v>
      </c>
      <c r="C323" s="277"/>
      <c r="D323" s="277"/>
      <c r="E323" s="277"/>
      <c r="F323" s="277"/>
      <c r="G323" s="277"/>
      <c r="H323" s="277"/>
      <c r="I323" s="277"/>
      <c r="J323" s="277"/>
      <c r="K323" s="3" t="s">
        <v>50</v>
      </c>
      <c r="L323" s="185" t="s">
        <v>55</v>
      </c>
      <c r="M323" s="185"/>
      <c r="N323" s="3"/>
      <c r="O323" s="3"/>
      <c r="P323" s="281">
        <f>P301/P300*100</f>
        <v>20</v>
      </c>
      <c r="Q323" s="281"/>
      <c r="R323" s="294"/>
      <c r="S323" s="294"/>
      <c r="T323" s="294">
        <f t="shared" si="53"/>
        <v>20</v>
      </c>
      <c r="U323" s="294"/>
      <c r="V323" s="10">
        <f>V301/V300*100</f>
        <v>20</v>
      </c>
      <c r="W323" s="10"/>
      <c r="X323" s="69">
        <f t="shared" si="54"/>
        <v>20</v>
      </c>
      <c r="Y323" s="69">
        <f t="shared" si="55"/>
        <v>0</v>
      </c>
      <c r="Z323" s="69"/>
      <c r="AA323" s="69">
        <f t="shared" si="56"/>
        <v>0</v>
      </c>
    </row>
    <row r="324" spans="1:27" ht="66.75" customHeight="1" x14ac:dyDescent="0.25">
      <c r="A324" s="49">
        <f t="shared" si="59"/>
        <v>4</v>
      </c>
      <c r="B324" s="244" t="s">
        <v>289</v>
      </c>
      <c r="C324" s="277"/>
      <c r="D324" s="277"/>
      <c r="E324" s="277"/>
      <c r="F324" s="277"/>
      <c r="G324" s="277"/>
      <c r="H324" s="277"/>
      <c r="I324" s="277"/>
      <c r="J324" s="277"/>
      <c r="K324" s="3" t="s">
        <v>50</v>
      </c>
      <c r="L324" s="185" t="s">
        <v>55</v>
      </c>
      <c r="M324" s="185"/>
      <c r="N324" s="3"/>
      <c r="O324" s="3"/>
      <c r="P324" s="281">
        <f>P302/44*100</f>
        <v>22.727272727272727</v>
      </c>
      <c r="Q324" s="281"/>
      <c r="R324" s="294"/>
      <c r="S324" s="294"/>
      <c r="T324" s="294">
        <f t="shared" si="53"/>
        <v>22.727272727272727</v>
      </c>
      <c r="U324" s="294"/>
      <c r="V324" s="10">
        <f>V302/44*100</f>
        <v>22.727272727272727</v>
      </c>
      <c r="W324" s="10"/>
      <c r="X324" s="69">
        <f t="shared" si="54"/>
        <v>22.727272727272727</v>
      </c>
      <c r="Y324" s="69">
        <f t="shared" si="55"/>
        <v>0</v>
      </c>
      <c r="Z324" s="69"/>
      <c r="AA324" s="69">
        <f t="shared" si="56"/>
        <v>0</v>
      </c>
    </row>
    <row r="325" spans="1:27" ht="50.1" customHeight="1" x14ac:dyDescent="0.25">
      <c r="A325" s="49">
        <f t="shared" si="59"/>
        <v>5</v>
      </c>
      <c r="B325" s="244" t="s">
        <v>290</v>
      </c>
      <c r="C325" s="277"/>
      <c r="D325" s="277"/>
      <c r="E325" s="277"/>
      <c r="F325" s="277"/>
      <c r="G325" s="277"/>
      <c r="H325" s="277"/>
      <c r="I325" s="277"/>
      <c r="J325" s="277"/>
      <c r="K325" s="3" t="s">
        <v>50</v>
      </c>
      <c r="L325" s="185" t="s">
        <v>55</v>
      </c>
      <c r="M325" s="185"/>
      <c r="N325" s="3"/>
      <c r="O325" s="3"/>
      <c r="P325" s="281">
        <f>P303/135*100</f>
        <v>100</v>
      </c>
      <c r="Q325" s="281"/>
      <c r="R325" s="294"/>
      <c r="S325" s="294"/>
      <c r="T325" s="294">
        <f t="shared" si="53"/>
        <v>100</v>
      </c>
      <c r="U325" s="294"/>
      <c r="V325" s="10">
        <f>V303/135*100</f>
        <v>100</v>
      </c>
      <c r="W325" s="10"/>
      <c r="X325" s="69">
        <f t="shared" si="54"/>
        <v>100</v>
      </c>
      <c r="Y325" s="69">
        <f t="shared" si="55"/>
        <v>0</v>
      </c>
      <c r="Z325" s="69"/>
      <c r="AA325" s="69">
        <f t="shared" si="56"/>
        <v>0</v>
      </c>
    </row>
    <row r="326" spans="1:27" ht="50.1" customHeight="1" x14ac:dyDescent="0.25">
      <c r="A326" s="49">
        <f t="shared" si="59"/>
        <v>6</v>
      </c>
      <c r="B326" s="244" t="s">
        <v>291</v>
      </c>
      <c r="C326" s="277"/>
      <c r="D326" s="277"/>
      <c r="E326" s="277"/>
      <c r="F326" s="277"/>
      <c r="G326" s="277"/>
      <c r="H326" s="277"/>
      <c r="I326" s="277"/>
      <c r="J326" s="277"/>
      <c r="K326" s="3" t="s">
        <v>50</v>
      </c>
      <c r="L326" s="185" t="s">
        <v>55</v>
      </c>
      <c r="M326" s="185"/>
      <c r="N326" s="3"/>
      <c r="O326" s="3"/>
      <c r="P326" s="281">
        <f>P304/4*100</f>
        <v>100</v>
      </c>
      <c r="Q326" s="281"/>
      <c r="R326" s="294"/>
      <c r="S326" s="294"/>
      <c r="T326" s="294">
        <f t="shared" si="53"/>
        <v>100</v>
      </c>
      <c r="U326" s="294"/>
      <c r="V326" s="10">
        <f>V304/4*100</f>
        <v>100</v>
      </c>
      <c r="W326" s="10"/>
      <c r="X326" s="69">
        <f t="shared" si="54"/>
        <v>100</v>
      </c>
      <c r="Y326" s="69">
        <f t="shared" si="55"/>
        <v>0</v>
      </c>
      <c r="Z326" s="69"/>
      <c r="AA326" s="69">
        <f t="shared" si="56"/>
        <v>0</v>
      </c>
    </row>
    <row r="327" spans="1:27" ht="81.75" customHeight="1" x14ac:dyDescent="0.25">
      <c r="A327" s="49">
        <f t="shared" si="59"/>
        <v>7</v>
      </c>
      <c r="B327" s="277" t="s">
        <v>292</v>
      </c>
      <c r="C327" s="277"/>
      <c r="D327" s="277"/>
      <c r="E327" s="277"/>
      <c r="F327" s="277"/>
      <c r="G327" s="277"/>
      <c r="H327" s="277"/>
      <c r="I327" s="277"/>
      <c r="J327" s="277"/>
      <c r="K327" s="3" t="s">
        <v>50</v>
      </c>
      <c r="L327" s="185" t="s">
        <v>55</v>
      </c>
      <c r="M327" s="185"/>
      <c r="N327" s="3"/>
      <c r="O327" s="3"/>
      <c r="P327" s="281">
        <f>P305/2*100</f>
        <v>100</v>
      </c>
      <c r="Q327" s="281"/>
      <c r="R327" s="294"/>
      <c r="S327" s="294"/>
      <c r="T327" s="294">
        <f t="shared" si="53"/>
        <v>100</v>
      </c>
      <c r="U327" s="294"/>
      <c r="V327" s="10">
        <f>V305/2*100</f>
        <v>100</v>
      </c>
      <c r="W327" s="10"/>
      <c r="X327" s="69">
        <f t="shared" si="54"/>
        <v>100</v>
      </c>
      <c r="Y327" s="69">
        <f t="shared" si="55"/>
        <v>0</v>
      </c>
      <c r="Z327" s="69"/>
      <c r="AA327" s="69">
        <f t="shared" si="56"/>
        <v>0</v>
      </c>
    </row>
    <row r="328" spans="1:27" ht="98.25" customHeight="1" x14ac:dyDescent="0.25">
      <c r="A328" s="49">
        <f t="shared" si="59"/>
        <v>8</v>
      </c>
      <c r="B328" s="277" t="s">
        <v>293</v>
      </c>
      <c r="C328" s="277"/>
      <c r="D328" s="277"/>
      <c r="E328" s="277"/>
      <c r="F328" s="277"/>
      <c r="G328" s="277"/>
      <c r="H328" s="277"/>
      <c r="I328" s="277"/>
      <c r="J328" s="277"/>
      <c r="K328" s="3" t="s">
        <v>50</v>
      </c>
      <c r="L328" s="185" t="s">
        <v>55</v>
      </c>
      <c r="M328" s="185"/>
      <c r="N328" s="3"/>
      <c r="O328" s="3"/>
      <c r="P328" s="281">
        <f>P306/750*100</f>
        <v>100</v>
      </c>
      <c r="Q328" s="281"/>
      <c r="R328" s="294"/>
      <c r="S328" s="294"/>
      <c r="T328" s="294">
        <f t="shared" si="53"/>
        <v>100</v>
      </c>
      <c r="U328" s="294"/>
      <c r="V328" s="10">
        <f>V306/750*100</f>
        <v>100</v>
      </c>
      <c r="W328" s="10"/>
      <c r="X328" s="69">
        <f t="shared" si="54"/>
        <v>100</v>
      </c>
      <c r="Y328" s="69">
        <f t="shared" si="55"/>
        <v>0</v>
      </c>
      <c r="Z328" s="69"/>
      <c r="AA328" s="69">
        <f t="shared" si="56"/>
        <v>0</v>
      </c>
    </row>
    <row r="329" spans="1:27" ht="19.5" customHeight="1" x14ac:dyDescent="0.25">
      <c r="A329" s="49"/>
      <c r="B329" s="430" t="s">
        <v>396</v>
      </c>
      <c r="C329" s="430"/>
      <c r="D329" s="430"/>
      <c r="E329" s="430"/>
      <c r="F329" s="430"/>
      <c r="G329" s="430"/>
      <c r="H329" s="430"/>
      <c r="I329" s="430"/>
      <c r="J329" s="430"/>
      <c r="K329" s="430"/>
      <c r="L329" s="430"/>
      <c r="M329" s="430"/>
      <c r="N329" s="430"/>
      <c r="O329" s="430"/>
      <c r="P329" s="430"/>
      <c r="Q329" s="430"/>
      <c r="R329" s="430"/>
      <c r="S329" s="430"/>
      <c r="T329" s="430"/>
      <c r="U329" s="430"/>
      <c r="V329" s="430"/>
      <c r="W329" s="430"/>
      <c r="X329" s="430"/>
      <c r="Y329" s="430"/>
      <c r="Z329" s="430"/>
      <c r="AA329" s="430"/>
    </row>
    <row r="330" spans="1:27" ht="20.100000000000001" customHeight="1" x14ac:dyDescent="0.25">
      <c r="A330" s="49"/>
      <c r="B330" s="284" t="s">
        <v>36</v>
      </c>
      <c r="C330" s="284"/>
      <c r="D330" s="284"/>
      <c r="E330" s="284"/>
      <c r="F330" s="284"/>
      <c r="G330" s="284"/>
      <c r="H330" s="284"/>
      <c r="I330" s="284"/>
      <c r="J330" s="284"/>
      <c r="K330" s="284"/>
      <c r="L330" s="284"/>
      <c r="M330" s="284"/>
      <c r="N330" s="284"/>
      <c r="O330" s="284"/>
      <c r="P330" s="284"/>
      <c r="Q330" s="284"/>
      <c r="R330" s="284"/>
      <c r="S330" s="284"/>
      <c r="T330" s="284"/>
      <c r="U330" s="284"/>
      <c r="V330" s="284"/>
      <c r="W330" s="284"/>
      <c r="X330" s="284"/>
      <c r="Y330" s="284"/>
      <c r="Z330" s="284"/>
      <c r="AA330" s="284"/>
    </row>
    <row r="331" spans="1:27" ht="20.100000000000001" customHeight="1" x14ac:dyDescent="0.25">
      <c r="A331" s="49"/>
      <c r="B331" s="288" t="s">
        <v>326</v>
      </c>
      <c r="C331" s="288"/>
      <c r="D331" s="288"/>
      <c r="E331" s="288"/>
      <c r="F331" s="105"/>
      <c r="G331" s="105"/>
      <c r="H331" s="105"/>
      <c r="I331" s="105"/>
      <c r="J331" s="105"/>
      <c r="K331" s="62"/>
      <c r="L331" s="185"/>
      <c r="M331" s="185"/>
      <c r="N331" s="3"/>
      <c r="O331" s="3"/>
      <c r="P331" s="185"/>
      <c r="Q331" s="283"/>
      <c r="R331" s="402"/>
      <c r="S331" s="402"/>
      <c r="T331" s="221"/>
      <c r="U331" s="221"/>
      <c r="V331" s="46"/>
      <c r="W331" s="46"/>
      <c r="X331" s="46"/>
      <c r="Y331" s="50"/>
      <c r="Z331" s="46"/>
      <c r="AA331" s="50"/>
    </row>
    <row r="332" spans="1:27" ht="20.100000000000001" customHeight="1" x14ac:dyDescent="0.25">
      <c r="A332" s="49"/>
      <c r="B332" s="243" t="s">
        <v>37</v>
      </c>
      <c r="C332" s="243"/>
      <c r="D332" s="243"/>
      <c r="E332" s="243"/>
      <c r="F332" s="11"/>
      <c r="G332" s="11"/>
      <c r="H332" s="11"/>
      <c r="I332" s="11"/>
      <c r="J332" s="11"/>
      <c r="K332" s="3" t="s">
        <v>46</v>
      </c>
      <c r="L332" s="185" t="s">
        <v>44</v>
      </c>
      <c r="M332" s="185"/>
      <c r="N332" s="3"/>
      <c r="O332" s="3"/>
      <c r="P332" s="217">
        <f>SUM(P333:Q334)</f>
        <v>149028</v>
      </c>
      <c r="Q332" s="217"/>
      <c r="R332" s="291"/>
      <c r="S332" s="291"/>
      <c r="T332" s="291">
        <f>P332</f>
        <v>149028</v>
      </c>
      <c r="U332" s="291"/>
      <c r="V332" s="6">
        <f>V333+V334</f>
        <v>127893.31</v>
      </c>
      <c r="W332" s="6"/>
      <c r="X332" s="6">
        <f>V332</f>
        <v>127893.31</v>
      </c>
      <c r="Y332" s="6">
        <f t="shared" si="55"/>
        <v>-21134.690000000002</v>
      </c>
      <c r="Z332" s="6"/>
      <c r="AA332" s="6">
        <f t="shared" si="56"/>
        <v>-21134.690000000002</v>
      </c>
    </row>
    <row r="333" spans="1:27" ht="54" customHeight="1" x14ac:dyDescent="0.25">
      <c r="A333" s="49">
        <v>1</v>
      </c>
      <c r="B333" s="243" t="s">
        <v>146</v>
      </c>
      <c r="C333" s="243"/>
      <c r="D333" s="243"/>
      <c r="E333" s="243"/>
      <c r="F333" s="11"/>
      <c r="G333" s="11"/>
      <c r="H333" s="11"/>
      <c r="I333" s="11"/>
      <c r="J333" s="11"/>
      <c r="K333" s="3" t="s">
        <v>46</v>
      </c>
      <c r="L333" s="185" t="s">
        <v>45</v>
      </c>
      <c r="M333" s="185"/>
      <c r="N333" s="3"/>
      <c r="O333" s="3"/>
      <c r="P333" s="217">
        <f>108983</f>
        <v>108983</v>
      </c>
      <c r="Q333" s="217"/>
      <c r="R333" s="291"/>
      <c r="S333" s="291"/>
      <c r="T333" s="291">
        <f t="shared" ref="T333:T346" si="60">P333</f>
        <v>108983</v>
      </c>
      <c r="U333" s="291"/>
      <c r="V333" s="6">
        <v>108982.72</v>
      </c>
      <c r="W333" s="6"/>
      <c r="X333" s="6">
        <f>V333</f>
        <v>108982.72</v>
      </c>
      <c r="Y333" s="6">
        <f t="shared" si="55"/>
        <v>-0.27999999999883585</v>
      </c>
      <c r="Z333" s="6"/>
      <c r="AA333" s="6">
        <f t="shared" si="56"/>
        <v>-0.27999999999883585</v>
      </c>
    </row>
    <row r="334" spans="1:27" ht="114" customHeight="1" x14ac:dyDescent="0.25">
      <c r="A334" s="49">
        <v>2</v>
      </c>
      <c r="B334" s="243" t="s">
        <v>147</v>
      </c>
      <c r="C334" s="243"/>
      <c r="D334" s="243"/>
      <c r="E334" s="243"/>
      <c r="F334" s="11"/>
      <c r="G334" s="11"/>
      <c r="H334" s="11"/>
      <c r="I334" s="11"/>
      <c r="J334" s="11"/>
      <c r="K334" s="3" t="s">
        <v>46</v>
      </c>
      <c r="L334" s="185" t="s">
        <v>54</v>
      </c>
      <c r="M334" s="185"/>
      <c r="N334" s="3"/>
      <c r="O334" s="3"/>
      <c r="P334" s="289">
        <f>52935-12890</f>
        <v>40045</v>
      </c>
      <c r="Q334" s="289"/>
      <c r="R334" s="291"/>
      <c r="S334" s="291"/>
      <c r="T334" s="291">
        <f t="shared" si="60"/>
        <v>40045</v>
      </c>
      <c r="U334" s="291"/>
      <c r="V334" s="6">
        <v>18910.59</v>
      </c>
      <c r="W334" s="6"/>
      <c r="X334" s="6">
        <f>V334</f>
        <v>18910.59</v>
      </c>
      <c r="Y334" s="6">
        <f t="shared" si="55"/>
        <v>-21134.41</v>
      </c>
      <c r="Z334" s="6"/>
      <c r="AA334" s="6">
        <f t="shared" si="56"/>
        <v>-21134.41</v>
      </c>
    </row>
    <row r="335" spans="1:27" ht="21" customHeight="1" x14ac:dyDescent="0.25">
      <c r="A335" s="49"/>
      <c r="B335" s="181" t="s">
        <v>397</v>
      </c>
      <c r="C335" s="198"/>
      <c r="D335" s="198"/>
      <c r="E335" s="198"/>
      <c r="F335" s="198"/>
      <c r="G335" s="198"/>
      <c r="H335" s="198"/>
      <c r="I335" s="198"/>
      <c r="J335" s="198"/>
      <c r="K335" s="198"/>
      <c r="L335" s="198"/>
      <c r="M335" s="198"/>
      <c r="N335" s="198"/>
      <c r="O335" s="198"/>
      <c r="P335" s="198"/>
      <c r="Q335" s="198"/>
      <c r="R335" s="198"/>
      <c r="S335" s="198"/>
      <c r="T335" s="198"/>
      <c r="U335" s="198"/>
      <c r="V335" s="198"/>
      <c r="W335" s="198"/>
      <c r="X335" s="198"/>
      <c r="Y335" s="198"/>
      <c r="Z335" s="198"/>
      <c r="AA335" s="198"/>
    </row>
    <row r="336" spans="1:27" ht="20.100000000000001" customHeight="1" x14ac:dyDescent="0.25">
      <c r="A336" s="49"/>
      <c r="B336" s="288" t="s">
        <v>324</v>
      </c>
      <c r="C336" s="288"/>
      <c r="D336" s="288"/>
      <c r="E336" s="288"/>
      <c r="F336" s="18"/>
      <c r="G336" s="18"/>
      <c r="H336" s="18"/>
      <c r="I336" s="18"/>
      <c r="J336" s="18"/>
      <c r="K336" s="3"/>
      <c r="L336" s="185"/>
      <c r="M336" s="185"/>
      <c r="N336" s="3"/>
      <c r="O336" s="3"/>
      <c r="P336" s="185"/>
      <c r="Q336" s="185"/>
      <c r="R336" s="294"/>
      <c r="S336" s="294"/>
      <c r="T336" s="291"/>
      <c r="U336" s="226"/>
      <c r="V336" s="4"/>
      <c r="W336" s="4"/>
      <c r="X336" s="4"/>
      <c r="Y336" s="6"/>
      <c r="Z336" s="4"/>
      <c r="AA336" s="6"/>
    </row>
    <row r="337" spans="1:27" ht="35.25" customHeight="1" x14ac:dyDescent="0.25">
      <c r="A337" s="49">
        <v>1</v>
      </c>
      <c r="B337" s="243" t="s">
        <v>148</v>
      </c>
      <c r="C337" s="243"/>
      <c r="D337" s="243"/>
      <c r="E337" s="243"/>
      <c r="F337" s="11"/>
      <c r="G337" s="11"/>
      <c r="H337" s="11"/>
      <c r="I337" s="11"/>
      <c r="J337" s="11"/>
      <c r="K337" s="3" t="s">
        <v>48</v>
      </c>
      <c r="L337" s="185" t="s">
        <v>54</v>
      </c>
      <c r="M337" s="185"/>
      <c r="N337" s="3"/>
      <c r="O337" s="3"/>
      <c r="P337" s="251">
        <v>3</v>
      </c>
      <c r="Q337" s="251"/>
      <c r="R337" s="294"/>
      <c r="S337" s="294"/>
      <c r="T337" s="216">
        <f t="shared" si="60"/>
        <v>3</v>
      </c>
      <c r="U337" s="216"/>
      <c r="V337" s="4">
        <v>3</v>
      </c>
      <c r="W337" s="4"/>
      <c r="X337" s="4">
        <f>V337</f>
        <v>3</v>
      </c>
      <c r="Y337" s="6">
        <f t="shared" ref="Y337:Y346" si="61">V337-P337</f>
        <v>0</v>
      </c>
      <c r="Z337" s="4"/>
      <c r="AA337" s="6">
        <f t="shared" ref="AA337:AA346" si="62">Y337</f>
        <v>0</v>
      </c>
    </row>
    <row r="338" spans="1:27" ht="33.75" customHeight="1" x14ac:dyDescent="0.25">
      <c r="A338" s="49">
        <v>2</v>
      </c>
      <c r="B338" s="273" t="s">
        <v>149</v>
      </c>
      <c r="C338" s="273"/>
      <c r="D338" s="273"/>
      <c r="E338" s="273"/>
      <c r="F338" s="59"/>
      <c r="G338" s="59"/>
      <c r="H338" s="59"/>
      <c r="I338" s="59"/>
      <c r="J338" s="59"/>
      <c r="K338" s="3" t="s">
        <v>86</v>
      </c>
      <c r="L338" s="185" t="s">
        <v>54</v>
      </c>
      <c r="M338" s="185"/>
      <c r="N338" s="3"/>
      <c r="O338" s="3"/>
      <c r="P338" s="195">
        <v>5214</v>
      </c>
      <c r="Q338" s="195"/>
      <c r="R338" s="364"/>
      <c r="S338" s="364"/>
      <c r="T338" s="364">
        <f t="shared" si="60"/>
        <v>5214</v>
      </c>
      <c r="U338" s="364"/>
      <c r="V338" s="117">
        <v>2462.3200000000002</v>
      </c>
      <c r="W338" s="117"/>
      <c r="X338" s="117">
        <f>V338</f>
        <v>2462.3200000000002</v>
      </c>
      <c r="Y338" s="117">
        <f t="shared" si="61"/>
        <v>-2751.68</v>
      </c>
      <c r="Z338" s="117"/>
      <c r="AA338" s="117">
        <f t="shared" si="62"/>
        <v>-2751.68</v>
      </c>
    </row>
    <row r="339" spans="1:27" ht="20.25" customHeight="1" x14ac:dyDescent="0.25">
      <c r="A339" s="49"/>
      <c r="B339" s="403" t="s">
        <v>399</v>
      </c>
      <c r="C339" s="404"/>
      <c r="D339" s="404"/>
      <c r="E339" s="404"/>
      <c r="F339" s="404"/>
      <c r="G339" s="404"/>
      <c r="H339" s="404"/>
      <c r="I339" s="404"/>
      <c r="J339" s="404"/>
      <c r="K339" s="404"/>
      <c r="L339" s="404"/>
      <c r="M339" s="404"/>
      <c r="N339" s="404"/>
      <c r="O339" s="404"/>
      <c r="P339" s="404"/>
      <c r="Q339" s="404"/>
      <c r="R339" s="404"/>
      <c r="S339" s="404"/>
      <c r="T339" s="404"/>
      <c r="U339" s="404"/>
      <c r="V339" s="404"/>
      <c r="W339" s="404"/>
      <c r="X339" s="404"/>
      <c r="Y339" s="404"/>
      <c r="Z339" s="404"/>
      <c r="AA339" s="405"/>
    </row>
    <row r="340" spans="1:27" ht="20.100000000000001" customHeight="1" x14ac:dyDescent="0.25">
      <c r="A340" s="49"/>
      <c r="B340" s="288" t="s">
        <v>327</v>
      </c>
      <c r="C340" s="288"/>
      <c r="D340" s="288"/>
      <c r="E340" s="288"/>
      <c r="F340" s="18"/>
      <c r="G340" s="18"/>
      <c r="H340" s="18"/>
      <c r="I340" s="18"/>
      <c r="J340" s="18"/>
      <c r="K340" s="3"/>
      <c r="L340" s="185"/>
      <c r="M340" s="185"/>
      <c r="N340" s="3"/>
      <c r="O340" s="3"/>
      <c r="P340" s="185"/>
      <c r="Q340" s="185"/>
      <c r="R340" s="294"/>
      <c r="S340" s="294"/>
      <c r="T340" s="291"/>
      <c r="U340" s="226"/>
      <c r="V340" s="4"/>
      <c r="W340" s="4"/>
      <c r="X340" s="4"/>
      <c r="Y340" s="6"/>
      <c r="Z340" s="4"/>
      <c r="AA340" s="6"/>
    </row>
    <row r="341" spans="1:27" ht="32.25" customHeight="1" x14ac:dyDescent="0.25">
      <c r="A341" s="49">
        <v>1</v>
      </c>
      <c r="B341" s="231" t="s">
        <v>150</v>
      </c>
      <c r="C341" s="231"/>
      <c r="D341" s="231"/>
      <c r="E341" s="231"/>
      <c r="F341" s="8"/>
      <c r="G341" s="8"/>
      <c r="H341" s="8"/>
      <c r="I341" s="8"/>
      <c r="J341" s="8"/>
      <c r="K341" s="3" t="s">
        <v>46</v>
      </c>
      <c r="L341" s="185" t="s">
        <v>55</v>
      </c>
      <c r="M341" s="185"/>
      <c r="N341" s="3"/>
      <c r="O341" s="3"/>
      <c r="P341" s="296">
        <f>P333/P337</f>
        <v>36327.666666666664</v>
      </c>
      <c r="Q341" s="296"/>
      <c r="R341" s="379"/>
      <c r="S341" s="379"/>
      <c r="T341" s="379">
        <f t="shared" si="60"/>
        <v>36327.666666666664</v>
      </c>
      <c r="U341" s="379"/>
      <c r="V341" s="70">
        <f>V333/V337</f>
        <v>36327.573333333334</v>
      </c>
      <c r="W341" s="70"/>
      <c r="X341" s="70">
        <f>V341</f>
        <v>36327.573333333334</v>
      </c>
      <c r="Y341" s="70">
        <f t="shared" si="61"/>
        <v>-9.3333333330519963E-2</v>
      </c>
      <c r="Z341" s="70"/>
      <c r="AA341" s="70">
        <f t="shared" si="62"/>
        <v>-9.3333333330519963E-2</v>
      </c>
    </row>
    <row r="342" spans="1:27" ht="34.5" customHeight="1" x14ac:dyDescent="0.25">
      <c r="A342" s="49">
        <v>2</v>
      </c>
      <c r="B342" s="295" t="s">
        <v>151</v>
      </c>
      <c r="C342" s="295"/>
      <c r="D342" s="295"/>
      <c r="E342" s="295"/>
      <c r="F342" s="71"/>
      <c r="G342" s="71"/>
      <c r="H342" s="71"/>
      <c r="I342" s="71"/>
      <c r="J342" s="71"/>
      <c r="K342" s="3" t="s">
        <v>46</v>
      </c>
      <c r="L342" s="185" t="s">
        <v>55</v>
      </c>
      <c r="M342" s="185"/>
      <c r="N342" s="3"/>
      <c r="O342" s="3"/>
      <c r="P342" s="281">
        <f>P334/P338</f>
        <v>7.6802838511699267</v>
      </c>
      <c r="Q342" s="281"/>
      <c r="R342" s="294"/>
      <c r="S342" s="294"/>
      <c r="T342" s="294">
        <f t="shared" si="60"/>
        <v>7.6802838511699267</v>
      </c>
      <c r="U342" s="294"/>
      <c r="V342" s="69">
        <v>7.68</v>
      </c>
      <c r="W342" s="69"/>
      <c r="X342" s="69">
        <f>V342</f>
        <v>7.68</v>
      </c>
      <c r="Y342" s="70">
        <f t="shared" si="61"/>
        <v>-2.8385116992701853E-4</v>
      </c>
      <c r="Z342" s="70"/>
      <c r="AA342" s="70">
        <f t="shared" si="62"/>
        <v>-2.8385116992701853E-4</v>
      </c>
    </row>
    <row r="343" spans="1:27" ht="20.25" customHeight="1" x14ac:dyDescent="0.25">
      <c r="A343" s="49"/>
      <c r="B343" s="403" t="s">
        <v>398</v>
      </c>
      <c r="C343" s="404"/>
      <c r="D343" s="404"/>
      <c r="E343" s="404"/>
      <c r="F343" s="404"/>
      <c r="G343" s="404"/>
      <c r="H343" s="404"/>
      <c r="I343" s="404"/>
      <c r="J343" s="404"/>
      <c r="K343" s="404"/>
      <c r="L343" s="404"/>
      <c r="M343" s="404"/>
      <c r="N343" s="404"/>
      <c r="O343" s="404"/>
      <c r="P343" s="404"/>
      <c r="Q343" s="404"/>
      <c r="R343" s="404"/>
      <c r="S343" s="404"/>
      <c r="T343" s="404"/>
      <c r="U343" s="404"/>
      <c r="V343" s="404"/>
      <c r="W343" s="404"/>
      <c r="X343" s="404"/>
      <c r="Y343" s="404"/>
      <c r="Z343" s="404"/>
      <c r="AA343" s="405"/>
    </row>
    <row r="344" spans="1:27" ht="20.100000000000001" customHeight="1" x14ac:dyDescent="0.25">
      <c r="A344" s="49"/>
      <c r="B344" s="288" t="s">
        <v>325</v>
      </c>
      <c r="C344" s="288"/>
      <c r="D344" s="288"/>
      <c r="E344" s="288"/>
      <c r="F344" s="18"/>
      <c r="G344" s="18"/>
      <c r="H344" s="18"/>
      <c r="I344" s="18"/>
      <c r="J344" s="18"/>
      <c r="K344" s="3"/>
      <c r="L344" s="185"/>
      <c r="M344" s="185"/>
      <c r="N344" s="3"/>
      <c r="O344" s="3"/>
      <c r="P344" s="185"/>
      <c r="Q344" s="185"/>
      <c r="R344" s="294"/>
      <c r="S344" s="294"/>
      <c r="T344" s="291"/>
      <c r="U344" s="226"/>
      <c r="V344" s="4"/>
      <c r="W344" s="4"/>
      <c r="X344" s="4"/>
      <c r="Y344" s="6"/>
      <c r="Z344" s="4"/>
      <c r="AA344" s="6"/>
    </row>
    <row r="345" spans="1:27" ht="50.25" customHeight="1" x14ac:dyDescent="0.25">
      <c r="A345" s="49">
        <v>1</v>
      </c>
      <c r="B345" s="231" t="s">
        <v>152</v>
      </c>
      <c r="C345" s="231"/>
      <c r="D345" s="231"/>
      <c r="E345" s="231"/>
      <c r="F345" s="8"/>
      <c r="G345" s="8"/>
      <c r="H345" s="8"/>
      <c r="I345" s="8"/>
      <c r="J345" s="8"/>
      <c r="K345" s="3" t="s">
        <v>50</v>
      </c>
      <c r="L345" s="185" t="s">
        <v>55</v>
      </c>
      <c r="M345" s="185"/>
      <c r="N345" s="3"/>
      <c r="O345" s="3"/>
      <c r="P345" s="281">
        <f>P333/85826*100</f>
        <v>126.98133432759305</v>
      </c>
      <c r="Q345" s="281"/>
      <c r="R345" s="294"/>
      <c r="S345" s="294"/>
      <c r="T345" s="294">
        <f t="shared" si="60"/>
        <v>126.98133432759305</v>
      </c>
      <c r="U345" s="294"/>
      <c r="V345" s="69">
        <f>V333/85826*100</f>
        <v>126.98100808612776</v>
      </c>
      <c r="W345" s="69"/>
      <c r="X345" s="69">
        <f>V345</f>
        <v>126.98100808612776</v>
      </c>
      <c r="Y345" s="69">
        <f t="shared" si="61"/>
        <v>-3.2624146528803522E-4</v>
      </c>
      <c r="Z345" s="69"/>
      <c r="AA345" s="69">
        <f t="shared" si="62"/>
        <v>-3.2624146528803522E-4</v>
      </c>
    </row>
    <row r="346" spans="1:27" ht="64.5" customHeight="1" x14ac:dyDescent="0.25">
      <c r="A346" s="49">
        <v>2</v>
      </c>
      <c r="B346" s="231" t="s">
        <v>153</v>
      </c>
      <c r="C346" s="231"/>
      <c r="D346" s="231"/>
      <c r="E346" s="231"/>
      <c r="F346" s="8"/>
      <c r="G346" s="8"/>
      <c r="H346" s="8"/>
      <c r="I346" s="8"/>
      <c r="J346" s="8"/>
      <c r="K346" s="3" t="s">
        <v>50</v>
      </c>
      <c r="L346" s="185" t="s">
        <v>55</v>
      </c>
      <c r="M346" s="185"/>
      <c r="N346" s="3"/>
      <c r="O346" s="3"/>
      <c r="P346" s="281">
        <f>P338/5214*100</f>
        <v>100</v>
      </c>
      <c r="Q346" s="281"/>
      <c r="R346" s="294"/>
      <c r="S346" s="294"/>
      <c r="T346" s="294">
        <f t="shared" si="60"/>
        <v>100</v>
      </c>
      <c r="U346" s="294"/>
      <c r="V346" s="69">
        <f>V338/2462.32*100</f>
        <v>100</v>
      </c>
      <c r="W346" s="69"/>
      <c r="X346" s="69">
        <f>V346</f>
        <v>100</v>
      </c>
      <c r="Y346" s="69">
        <f t="shared" si="61"/>
        <v>0</v>
      </c>
      <c r="Z346" s="69"/>
      <c r="AA346" s="69">
        <f t="shared" si="62"/>
        <v>0</v>
      </c>
    </row>
    <row r="347" spans="1:27" ht="20.100000000000001" customHeight="1" x14ac:dyDescent="0.25">
      <c r="A347" s="49"/>
      <c r="B347" s="286" t="s">
        <v>211</v>
      </c>
      <c r="C347" s="284"/>
      <c r="D347" s="284"/>
      <c r="E347" s="284"/>
      <c r="F347" s="284"/>
      <c r="G347" s="284"/>
      <c r="H347" s="284"/>
      <c r="I347" s="284"/>
      <c r="J347" s="284"/>
      <c r="K347" s="284"/>
      <c r="L347" s="284"/>
      <c r="M347" s="284"/>
      <c r="N347" s="284"/>
      <c r="O347" s="284"/>
      <c r="P347" s="284"/>
      <c r="Q347" s="284"/>
      <c r="R347" s="402"/>
      <c r="S347" s="402"/>
      <c r="T347" s="196"/>
      <c r="U347" s="221"/>
      <c r="V347" s="46"/>
      <c r="W347" s="46"/>
      <c r="X347" s="46"/>
      <c r="Y347" s="46"/>
      <c r="Z347" s="46"/>
      <c r="AA347" s="46"/>
    </row>
    <row r="348" spans="1:27" ht="20.100000000000001" customHeight="1" x14ac:dyDescent="0.25">
      <c r="A348" s="49"/>
      <c r="B348" s="262" t="s">
        <v>326</v>
      </c>
      <c r="C348" s="263"/>
      <c r="D348" s="263"/>
      <c r="E348" s="263"/>
      <c r="F348" s="72"/>
      <c r="G348" s="72"/>
      <c r="H348" s="72"/>
      <c r="I348" s="72"/>
      <c r="J348" s="72"/>
      <c r="K348" s="3"/>
      <c r="L348" s="185"/>
      <c r="M348" s="185"/>
      <c r="N348" s="3"/>
      <c r="O348" s="3"/>
      <c r="P348" s="185"/>
      <c r="Q348" s="293"/>
      <c r="R348" s="402"/>
      <c r="S348" s="402"/>
      <c r="T348" s="196"/>
      <c r="U348" s="221"/>
      <c r="V348" s="46"/>
      <c r="W348" s="46"/>
      <c r="X348" s="46"/>
      <c r="Y348" s="46"/>
      <c r="Z348" s="46"/>
      <c r="AA348" s="46"/>
    </row>
    <row r="349" spans="1:27" ht="33.75" customHeight="1" x14ac:dyDescent="0.25">
      <c r="A349" s="49">
        <v>1</v>
      </c>
      <c r="B349" s="244" t="s">
        <v>163</v>
      </c>
      <c r="C349" s="277"/>
      <c r="D349" s="277"/>
      <c r="E349" s="277"/>
      <c r="F349" s="73"/>
      <c r="G349" s="73"/>
      <c r="H349" s="73"/>
      <c r="I349" s="73"/>
      <c r="J349" s="73"/>
      <c r="K349" s="3" t="s">
        <v>46</v>
      </c>
      <c r="L349" s="185" t="s">
        <v>44</v>
      </c>
      <c r="M349" s="185"/>
      <c r="N349" s="3"/>
      <c r="O349" s="3"/>
      <c r="P349" s="289">
        <f>4000000+2285546</f>
        <v>6285546</v>
      </c>
      <c r="Q349" s="290"/>
      <c r="R349" s="291"/>
      <c r="S349" s="291"/>
      <c r="T349" s="291">
        <f t="shared" ref="T349:T357" si="63">P349</f>
        <v>6285546</v>
      </c>
      <c r="U349" s="291"/>
      <c r="V349" s="121">
        <v>6284567.3300000001</v>
      </c>
      <c r="W349" s="6"/>
      <c r="X349" s="6">
        <f>V349</f>
        <v>6284567.3300000001</v>
      </c>
      <c r="Y349" s="6">
        <f>V349-P349</f>
        <v>-978.66999999992549</v>
      </c>
      <c r="Z349" s="6"/>
      <c r="AA349" s="6">
        <f>Y349</f>
        <v>-978.66999999992549</v>
      </c>
    </row>
    <row r="350" spans="1:27" ht="20.25" customHeight="1" x14ac:dyDescent="0.25">
      <c r="A350" s="49"/>
      <c r="B350" s="181" t="s">
        <v>192</v>
      </c>
      <c r="C350" s="198"/>
      <c r="D350" s="198"/>
      <c r="E350" s="198"/>
      <c r="F350" s="198"/>
      <c r="G350" s="198"/>
      <c r="H350" s="198"/>
      <c r="I350" s="198"/>
      <c r="J350" s="198"/>
      <c r="K350" s="198"/>
      <c r="L350" s="198"/>
      <c r="M350" s="198"/>
      <c r="N350" s="198"/>
      <c r="O350" s="198"/>
      <c r="P350" s="198"/>
      <c r="Q350" s="198"/>
      <c r="R350" s="198"/>
      <c r="S350" s="198"/>
      <c r="T350" s="198"/>
      <c r="U350" s="198"/>
      <c r="V350" s="198"/>
      <c r="W350" s="198"/>
      <c r="X350" s="198"/>
      <c r="Y350" s="198"/>
      <c r="Z350" s="198"/>
      <c r="AA350" s="198"/>
    </row>
    <row r="351" spans="1:27" ht="20.100000000000001" customHeight="1" x14ac:dyDescent="0.25">
      <c r="A351" s="49"/>
      <c r="B351" s="262" t="s">
        <v>324</v>
      </c>
      <c r="C351" s="263"/>
      <c r="D351" s="263"/>
      <c r="E351" s="263"/>
      <c r="F351" s="72"/>
      <c r="G351" s="72"/>
      <c r="H351" s="72"/>
      <c r="I351" s="72"/>
      <c r="J351" s="72"/>
      <c r="K351" s="3"/>
      <c r="L351" s="185"/>
      <c r="M351" s="185"/>
      <c r="N351" s="3"/>
      <c r="O351" s="3"/>
      <c r="P351" s="217"/>
      <c r="Q351" s="217"/>
      <c r="R351" s="389"/>
      <c r="S351" s="389"/>
      <c r="T351" s="421"/>
      <c r="U351" s="421"/>
      <c r="V351" s="67"/>
      <c r="W351" s="67"/>
      <c r="X351" s="67"/>
      <c r="Y351" s="67"/>
      <c r="Z351" s="67"/>
      <c r="AA351" s="67"/>
    </row>
    <row r="352" spans="1:27" ht="65.25" customHeight="1" x14ac:dyDescent="0.25">
      <c r="A352" s="49">
        <v>1</v>
      </c>
      <c r="B352" s="244" t="s">
        <v>294</v>
      </c>
      <c r="C352" s="277"/>
      <c r="D352" s="277"/>
      <c r="E352" s="277"/>
      <c r="F352" s="73"/>
      <c r="G352" s="73"/>
      <c r="H352" s="73"/>
      <c r="I352" s="73"/>
      <c r="J352" s="73"/>
      <c r="K352" s="3" t="s">
        <v>48</v>
      </c>
      <c r="L352" s="185" t="s">
        <v>45</v>
      </c>
      <c r="M352" s="185"/>
      <c r="N352" s="3"/>
      <c r="O352" s="3"/>
      <c r="P352" s="292">
        <v>62</v>
      </c>
      <c r="Q352" s="292"/>
      <c r="R352" s="216"/>
      <c r="S352" s="216"/>
      <c r="T352" s="216">
        <f t="shared" si="63"/>
        <v>62</v>
      </c>
      <c r="U352" s="216"/>
      <c r="V352" s="134">
        <v>62</v>
      </c>
      <c r="W352" s="106"/>
      <c r="X352" s="106">
        <f>V352</f>
        <v>62</v>
      </c>
      <c r="Y352" s="106">
        <f>V352-P352</f>
        <v>0</v>
      </c>
      <c r="Z352" s="106"/>
      <c r="AA352" s="106">
        <f>Y352</f>
        <v>0</v>
      </c>
    </row>
    <row r="353" spans="1:27" ht="20.100000000000001" customHeight="1" x14ac:dyDescent="0.25">
      <c r="A353" s="49"/>
      <c r="B353" s="288" t="s">
        <v>190</v>
      </c>
      <c r="C353" s="288"/>
      <c r="D353" s="288"/>
      <c r="E353" s="288"/>
      <c r="F353" s="18"/>
      <c r="G353" s="18"/>
      <c r="H353" s="18"/>
      <c r="I353" s="18"/>
      <c r="J353" s="18"/>
      <c r="K353" s="2"/>
      <c r="L353" s="185"/>
      <c r="M353" s="214"/>
      <c r="N353" s="2"/>
      <c r="O353" s="2"/>
      <c r="P353" s="217"/>
      <c r="Q353" s="217"/>
      <c r="R353" s="291"/>
      <c r="S353" s="291"/>
      <c r="T353" s="291"/>
      <c r="U353" s="291"/>
      <c r="V353" s="6"/>
      <c r="W353" s="6"/>
      <c r="X353" s="6"/>
      <c r="Y353" s="6"/>
      <c r="Z353" s="6"/>
      <c r="AA353" s="6"/>
    </row>
    <row r="354" spans="1:27" ht="38.25" customHeight="1" x14ac:dyDescent="0.25">
      <c r="A354" s="49">
        <v>1</v>
      </c>
      <c r="B354" s="231" t="s">
        <v>295</v>
      </c>
      <c r="C354" s="231"/>
      <c r="D354" s="231"/>
      <c r="E354" s="231"/>
      <c r="F354" s="8"/>
      <c r="G354" s="8"/>
      <c r="H354" s="8"/>
      <c r="I354" s="8"/>
      <c r="J354" s="8"/>
      <c r="K354" s="3" t="s">
        <v>46</v>
      </c>
      <c r="L354" s="214" t="s">
        <v>55</v>
      </c>
      <c r="M354" s="215"/>
      <c r="N354" s="17"/>
      <c r="O354" s="17"/>
      <c r="P354" s="217">
        <v>101379.77</v>
      </c>
      <c r="Q354" s="217"/>
      <c r="R354" s="291"/>
      <c r="S354" s="291"/>
      <c r="T354" s="291">
        <f t="shared" si="63"/>
        <v>101379.77</v>
      </c>
      <c r="U354" s="291"/>
      <c r="V354" s="6">
        <v>101363.99</v>
      </c>
      <c r="W354" s="6"/>
      <c r="X354" s="6">
        <f>V354</f>
        <v>101363.99</v>
      </c>
      <c r="Y354" s="6">
        <f>V354-P354</f>
        <v>-15.779999999998836</v>
      </c>
      <c r="Z354" s="6"/>
      <c r="AA354" s="6">
        <f>Y354</f>
        <v>-15.779999999998836</v>
      </c>
    </row>
    <row r="355" spans="1:27" ht="21" customHeight="1" x14ac:dyDescent="0.25">
      <c r="A355" s="49"/>
      <c r="B355" s="181" t="s">
        <v>192</v>
      </c>
      <c r="C355" s="198"/>
      <c r="D355" s="198"/>
      <c r="E355" s="198"/>
      <c r="F355" s="198"/>
      <c r="G355" s="198"/>
      <c r="H355" s="198"/>
      <c r="I355" s="198"/>
      <c r="J355" s="198"/>
      <c r="K355" s="198"/>
      <c r="L355" s="198"/>
      <c r="M355" s="198"/>
      <c r="N355" s="198"/>
      <c r="O355" s="198"/>
      <c r="P355" s="198"/>
      <c r="Q355" s="198"/>
      <c r="R355" s="198"/>
      <c r="S355" s="198"/>
      <c r="T355" s="198"/>
      <c r="U355" s="198"/>
      <c r="V355" s="198"/>
      <c r="W355" s="198"/>
      <c r="X355" s="198"/>
      <c r="Y355" s="198"/>
      <c r="Z355" s="198"/>
      <c r="AA355" s="198"/>
    </row>
    <row r="356" spans="1:27" ht="20.100000000000001" customHeight="1" x14ac:dyDescent="0.25">
      <c r="A356" s="49"/>
      <c r="B356" s="288" t="s">
        <v>325</v>
      </c>
      <c r="C356" s="288"/>
      <c r="D356" s="288"/>
      <c r="E356" s="288"/>
      <c r="F356" s="18"/>
      <c r="G356" s="18"/>
      <c r="H356" s="18"/>
      <c r="I356" s="18"/>
      <c r="J356" s="18"/>
      <c r="K356" s="2"/>
      <c r="L356" s="185"/>
      <c r="M356" s="214"/>
      <c r="N356" s="2"/>
      <c r="O356" s="2"/>
      <c r="P356" s="217"/>
      <c r="Q356" s="217"/>
      <c r="R356" s="291"/>
      <c r="S356" s="291"/>
      <c r="T356" s="291"/>
      <c r="U356" s="291"/>
      <c r="V356" s="6"/>
      <c r="W356" s="6"/>
      <c r="X356" s="6"/>
      <c r="Y356" s="6"/>
      <c r="Z356" s="6"/>
      <c r="AA356" s="6"/>
    </row>
    <row r="357" spans="1:27" ht="54" customHeight="1" x14ac:dyDescent="0.25">
      <c r="A357" s="49">
        <v>1</v>
      </c>
      <c r="B357" s="231" t="s">
        <v>296</v>
      </c>
      <c r="C357" s="231"/>
      <c r="D357" s="231"/>
      <c r="E357" s="231"/>
      <c r="F357" s="8"/>
      <c r="G357" s="8"/>
      <c r="H357" s="8"/>
      <c r="I357" s="8"/>
      <c r="J357" s="8"/>
      <c r="K357" s="3" t="s">
        <v>50</v>
      </c>
      <c r="L357" s="214" t="s">
        <v>55</v>
      </c>
      <c r="M357" s="215"/>
      <c r="N357" s="17"/>
      <c r="O357" s="17"/>
      <c r="P357" s="217">
        <f>P352/(80+52+43)*100</f>
        <v>35.428571428571423</v>
      </c>
      <c r="Q357" s="217"/>
      <c r="R357" s="291"/>
      <c r="S357" s="291"/>
      <c r="T357" s="291">
        <f t="shared" si="63"/>
        <v>35.428571428571423</v>
      </c>
      <c r="U357" s="291"/>
      <c r="V357" s="1">
        <f>V352/(80+52+43)*100</f>
        <v>35.428571428571423</v>
      </c>
      <c r="W357" s="1"/>
      <c r="X357" s="6">
        <f>V357</f>
        <v>35.428571428571423</v>
      </c>
      <c r="Y357" s="74">
        <f>V357-P357</f>
        <v>0</v>
      </c>
      <c r="Z357" s="6"/>
      <c r="AA357" s="6">
        <f>Y357</f>
        <v>0</v>
      </c>
    </row>
    <row r="358" spans="1:27" ht="20.100000000000001" customHeight="1" x14ac:dyDescent="0.25">
      <c r="A358" s="49"/>
      <c r="B358" s="286" t="s">
        <v>213</v>
      </c>
      <c r="C358" s="284"/>
      <c r="D358" s="284"/>
      <c r="E358" s="284"/>
      <c r="F358" s="284"/>
      <c r="G358" s="284"/>
      <c r="H358" s="284"/>
      <c r="I358" s="284"/>
      <c r="J358" s="284"/>
      <c r="K358" s="284"/>
      <c r="L358" s="284"/>
      <c r="M358" s="284"/>
      <c r="N358" s="284"/>
      <c r="O358" s="284"/>
      <c r="P358" s="284"/>
      <c r="Q358" s="284"/>
      <c r="R358" s="402"/>
      <c r="S358" s="402"/>
      <c r="T358" s="221"/>
      <c r="U358" s="221"/>
      <c r="V358" s="46"/>
      <c r="W358" s="46"/>
      <c r="X358" s="46"/>
      <c r="Y358" s="46"/>
      <c r="Z358" s="46"/>
      <c r="AA358" s="46"/>
    </row>
    <row r="359" spans="1:27" ht="20.100000000000001" customHeight="1" x14ac:dyDescent="0.25">
      <c r="A359" s="49"/>
      <c r="B359" s="262" t="s">
        <v>326</v>
      </c>
      <c r="C359" s="263"/>
      <c r="D359" s="263"/>
      <c r="E359" s="263"/>
      <c r="F359" s="72"/>
      <c r="G359" s="72"/>
      <c r="H359" s="72"/>
      <c r="I359" s="72"/>
      <c r="J359" s="72"/>
      <c r="K359" s="3"/>
      <c r="L359" s="185"/>
      <c r="M359" s="185"/>
      <c r="N359" s="3"/>
      <c r="O359" s="3"/>
      <c r="P359" s="185"/>
      <c r="Q359" s="283"/>
      <c r="R359" s="402"/>
      <c r="S359" s="402"/>
      <c r="T359" s="221"/>
      <c r="U359" s="221"/>
      <c r="V359" s="46"/>
      <c r="W359" s="46"/>
      <c r="X359" s="46"/>
      <c r="Y359" s="46"/>
      <c r="Z359" s="46"/>
      <c r="AA359" s="46"/>
    </row>
    <row r="360" spans="1:27" ht="20.100000000000001" customHeight="1" x14ac:dyDescent="0.25">
      <c r="A360" s="49">
        <v>1</v>
      </c>
      <c r="B360" s="244" t="s">
        <v>165</v>
      </c>
      <c r="C360" s="277"/>
      <c r="D360" s="277"/>
      <c r="E360" s="277"/>
      <c r="F360" s="73"/>
      <c r="G360" s="73"/>
      <c r="H360" s="73"/>
      <c r="I360" s="73"/>
      <c r="J360" s="73"/>
      <c r="K360" s="3" t="s">
        <v>46</v>
      </c>
      <c r="L360" s="185" t="s">
        <v>44</v>
      </c>
      <c r="M360" s="185"/>
      <c r="N360" s="3"/>
      <c r="O360" s="3"/>
      <c r="P360" s="217">
        <f>700000+100000</f>
        <v>800000</v>
      </c>
      <c r="Q360" s="287"/>
      <c r="R360" s="294"/>
      <c r="S360" s="294"/>
      <c r="T360" s="291">
        <f>P360</f>
        <v>800000</v>
      </c>
      <c r="U360" s="226"/>
      <c r="V360" s="6">
        <v>799721.28</v>
      </c>
      <c r="W360" s="6"/>
      <c r="X360" s="6">
        <f>V360</f>
        <v>799721.28</v>
      </c>
      <c r="Y360" s="6">
        <f>V360-P360</f>
        <v>-278.71999999997206</v>
      </c>
      <c r="Z360" s="4"/>
      <c r="AA360" s="6">
        <f>Y360</f>
        <v>-278.71999999997206</v>
      </c>
    </row>
    <row r="361" spans="1:27" ht="20.100000000000001" customHeight="1" x14ac:dyDescent="0.25">
      <c r="A361" s="49"/>
      <c r="B361" s="262" t="s">
        <v>324</v>
      </c>
      <c r="C361" s="263"/>
      <c r="D361" s="263"/>
      <c r="E361" s="263"/>
      <c r="F361" s="72"/>
      <c r="G361" s="72"/>
      <c r="H361" s="72"/>
      <c r="I361" s="72"/>
      <c r="J361" s="72"/>
      <c r="K361" s="3"/>
      <c r="L361" s="185"/>
      <c r="M361" s="185"/>
      <c r="N361" s="3"/>
      <c r="O361" s="3"/>
      <c r="P361" s="185"/>
      <c r="Q361" s="185"/>
      <c r="R361" s="294"/>
      <c r="S361" s="294"/>
      <c r="T361" s="291"/>
      <c r="U361" s="226"/>
      <c r="V361" s="4"/>
      <c r="W361" s="4"/>
      <c r="X361" s="4"/>
      <c r="Y361" s="6"/>
      <c r="Z361" s="4"/>
      <c r="AA361" s="6"/>
    </row>
    <row r="362" spans="1:27" ht="36" customHeight="1" x14ac:dyDescent="0.25">
      <c r="A362" s="49">
        <v>1</v>
      </c>
      <c r="B362" s="244" t="s">
        <v>297</v>
      </c>
      <c r="C362" s="277"/>
      <c r="D362" s="277"/>
      <c r="E362" s="277"/>
      <c r="F362" s="73"/>
      <c r="G362" s="73"/>
      <c r="H362" s="73"/>
      <c r="I362" s="73"/>
      <c r="J362" s="73"/>
      <c r="K362" s="3" t="s">
        <v>164</v>
      </c>
      <c r="L362" s="220" t="s">
        <v>298</v>
      </c>
      <c r="M362" s="220"/>
      <c r="N362" s="3"/>
      <c r="O362" s="3"/>
      <c r="P362" s="285">
        <f>127.76912+5.1888+12.876+11.447</f>
        <v>157.28092000000001</v>
      </c>
      <c r="Q362" s="285"/>
      <c r="R362" s="294"/>
      <c r="S362" s="294"/>
      <c r="T362" s="291">
        <f>P362</f>
        <v>157.28092000000001</v>
      </c>
      <c r="U362" s="226"/>
      <c r="V362" s="162">
        <f>127.76912+5.1888+12.876+11.447</f>
        <v>157.28092000000001</v>
      </c>
      <c r="W362" s="162"/>
      <c r="X362" s="69">
        <f>V362</f>
        <v>157.28092000000001</v>
      </c>
      <c r="Y362" s="6">
        <f>V362-P362</f>
        <v>0</v>
      </c>
      <c r="Z362" s="6"/>
      <c r="AA362" s="6">
        <f>Y362</f>
        <v>0</v>
      </c>
    </row>
    <row r="363" spans="1:27" ht="20.100000000000001" customHeight="1" x14ac:dyDescent="0.25">
      <c r="A363" s="49"/>
      <c r="B363" s="262" t="s">
        <v>327</v>
      </c>
      <c r="C363" s="263"/>
      <c r="D363" s="263"/>
      <c r="E363" s="263"/>
      <c r="F363" s="72"/>
      <c r="G363" s="72"/>
      <c r="H363" s="72"/>
      <c r="I363" s="72"/>
      <c r="J363" s="72"/>
      <c r="K363" s="3"/>
      <c r="L363" s="185"/>
      <c r="M363" s="185"/>
      <c r="N363" s="3"/>
      <c r="O363" s="3"/>
      <c r="P363" s="281"/>
      <c r="Q363" s="281"/>
      <c r="R363" s="294"/>
      <c r="S363" s="294"/>
      <c r="T363" s="291"/>
      <c r="U363" s="226"/>
      <c r="V363" s="4"/>
      <c r="W363" s="4"/>
      <c r="X363" s="4"/>
      <c r="Y363" s="6"/>
      <c r="Z363" s="4"/>
      <c r="AA363" s="6"/>
    </row>
    <row r="364" spans="1:27" ht="33" customHeight="1" x14ac:dyDescent="0.25">
      <c r="A364" s="49">
        <v>1</v>
      </c>
      <c r="B364" s="208" t="s">
        <v>166</v>
      </c>
      <c r="C364" s="209"/>
      <c r="D364" s="209"/>
      <c r="E364" s="209"/>
      <c r="F364" s="9"/>
      <c r="G364" s="9"/>
      <c r="H364" s="9"/>
      <c r="I364" s="9"/>
      <c r="J364" s="9"/>
      <c r="K364" s="3" t="s">
        <v>46</v>
      </c>
      <c r="L364" s="185" t="s">
        <v>55</v>
      </c>
      <c r="M364" s="185"/>
      <c r="N364" s="3"/>
      <c r="O364" s="3"/>
      <c r="P364" s="281">
        <f>P360/P362/1000</f>
        <v>5.0864402369975963</v>
      </c>
      <c r="Q364" s="281"/>
      <c r="R364" s="294"/>
      <c r="S364" s="294"/>
      <c r="T364" s="291">
        <f>P364</f>
        <v>5.0864402369975963</v>
      </c>
      <c r="U364" s="226"/>
      <c r="V364" s="69">
        <f>V360/V362/1000</f>
        <v>5.0846681212190257</v>
      </c>
      <c r="W364" s="69"/>
      <c r="X364" s="69">
        <f>V364</f>
        <v>5.0846681212190257</v>
      </c>
      <c r="Y364" s="6">
        <f>V364-P364</f>
        <v>-1.7721157785706154E-3</v>
      </c>
      <c r="Z364" s="6"/>
      <c r="AA364" s="6">
        <f>Y364</f>
        <v>-1.7721157785706154E-3</v>
      </c>
    </row>
    <row r="365" spans="1:27" ht="20.100000000000001" customHeight="1" x14ac:dyDescent="0.25">
      <c r="A365" s="49"/>
      <c r="B365" s="262" t="s">
        <v>325</v>
      </c>
      <c r="C365" s="263"/>
      <c r="D365" s="263"/>
      <c r="E365" s="263"/>
      <c r="F365" s="72"/>
      <c r="G365" s="72"/>
      <c r="H365" s="72"/>
      <c r="I365" s="72"/>
      <c r="J365" s="72"/>
      <c r="K365" s="3"/>
      <c r="L365" s="185"/>
      <c r="M365" s="185"/>
      <c r="N365" s="3"/>
      <c r="O365" s="3"/>
      <c r="P365" s="185"/>
      <c r="Q365" s="185"/>
      <c r="R365" s="294"/>
      <c r="S365" s="294"/>
      <c r="T365" s="291"/>
      <c r="U365" s="226"/>
      <c r="V365" s="4"/>
      <c r="W365" s="4"/>
      <c r="X365" s="4"/>
      <c r="Y365" s="6"/>
      <c r="Z365" s="4"/>
      <c r="AA365" s="6"/>
    </row>
    <row r="366" spans="1:27" ht="53.25" customHeight="1" x14ac:dyDescent="0.25">
      <c r="A366" s="49">
        <v>1</v>
      </c>
      <c r="B366" s="208" t="s">
        <v>167</v>
      </c>
      <c r="C366" s="209"/>
      <c r="D366" s="209"/>
      <c r="E366" s="209"/>
      <c r="F366" s="9"/>
      <c r="G366" s="9"/>
      <c r="H366" s="9"/>
      <c r="I366" s="9"/>
      <c r="J366" s="9"/>
      <c r="K366" s="3" t="s">
        <v>50</v>
      </c>
      <c r="L366" s="185" t="s">
        <v>55</v>
      </c>
      <c r="M366" s="185"/>
      <c r="N366" s="3"/>
      <c r="O366" s="3"/>
      <c r="P366" s="281">
        <f>127.76912/P362*100</f>
        <v>81.236249126721788</v>
      </c>
      <c r="Q366" s="281"/>
      <c r="R366" s="294"/>
      <c r="S366" s="294"/>
      <c r="T366" s="291">
        <f>P366</f>
        <v>81.236249126721788</v>
      </c>
      <c r="U366" s="226"/>
      <c r="V366" s="69">
        <f>157.28092/V362*100</f>
        <v>100</v>
      </c>
      <c r="W366" s="69"/>
      <c r="X366" s="69">
        <f>V366</f>
        <v>100</v>
      </c>
      <c r="Y366" s="6">
        <f>V366-P366</f>
        <v>18.763750873278212</v>
      </c>
      <c r="Z366" s="4"/>
      <c r="AA366" s="6">
        <f>Y366</f>
        <v>18.763750873278212</v>
      </c>
    </row>
    <row r="367" spans="1:27" ht="20.100000000000001" customHeight="1" x14ac:dyDescent="0.25">
      <c r="A367" s="49"/>
      <c r="B367" s="284" t="s">
        <v>214</v>
      </c>
      <c r="C367" s="284"/>
      <c r="D367" s="284"/>
      <c r="E367" s="284"/>
      <c r="F367" s="284"/>
      <c r="G367" s="284"/>
      <c r="H367" s="284"/>
      <c r="I367" s="284"/>
      <c r="J367" s="284"/>
      <c r="K367" s="284"/>
      <c r="L367" s="284"/>
      <c r="M367" s="284"/>
      <c r="N367" s="284"/>
      <c r="O367" s="284"/>
      <c r="P367" s="284"/>
      <c r="Q367" s="284"/>
      <c r="R367" s="402"/>
      <c r="S367" s="402"/>
      <c r="T367" s="221"/>
      <c r="U367" s="221"/>
      <c r="V367" s="46"/>
      <c r="W367" s="46"/>
      <c r="X367" s="46"/>
      <c r="Y367" s="46"/>
      <c r="Z367" s="46"/>
      <c r="AA367" s="46"/>
    </row>
    <row r="368" spans="1:27" ht="20.100000000000001" customHeight="1" x14ac:dyDescent="0.25">
      <c r="A368" s="49"/>
      <c r="B368" s="263" t="s">
        <v>326</v>
      </c>
      <c r="C368" s="263"/>
      <c r="D368" s="263"/>
      <c r="E368" s="263"/>
      <c r="F368" s="72"/>
      <c r="G368" s="72"/>
      <c r="H368" s="72"/>
      <c r="I368" s="72"/>
      <c r="J368" s="72"/>
      <c r="K368" s="3"/>
      <c r="L368" s="185"/>
      <c r="M368" s="185"/>
      <c r="N368" s="3"/>
      <c r="O368" s="3"/>
      <c r="P368" s="221"/>
      <c r="Q368" s="221"/>
      <c r="R368" s="221"/>
      <c r="S368" s="221"/>
      <c r="T368" s="221"/>
      <c r="U368" s="221"/>
      <c r="V368" s="46"/>
      <c r="W368" s="46"/>
      <c r="X368" s="46"/>
      <c r="Y368" s="46"/>
      <c r="Z368" s="46"/>
      <c r="AA368" s="46"/>
    </row>
    <row r="369" spans="1:27" ht="22.5" customHeight="1" x14ac:dyDescent="0.25">
      <c r="A369" s="49"/>
      <c r="B369" s="277" t="s">
        <v>37</v>
      </c>
      <c r="C369" s="277"/>
      <c r="D369" s="277"/>
      <c r="E369" s="277"/>
      <c r="F369" s="73"/>
      <c r="G369" s="73"/>
      <c r="H369" s="73"/>
      <c r="I369" s="73"/>
      <c r="J369" s="73"/>
      <c r="K369" s="3" t="s">
        <v>46</v>
      </c>
      <c r="L369" s="185" t="s">
        <v>44</v>
      </c>
      <c r="M369" s="185"/>
      <c r="N369" s="3"/>
      <c r="O369" s="3"/>
      <c r="P369" s="221"/>
      <c r="Q369" s="221"/>
      <c r="R369" s="217">
        <f>SUM(R370:S384)</f>
        <v>13765692</v>
      </c>
      <c r="S369" s="217"/>
      <c r="T369" s="291">
        <f>R369</f>
        <v>13765692</v>
      </c>
      <c r="U369" s="291"/>
      <c r="V369" s="6"/>
      <c r="W369" s="1">
        <f>SUM(W370:W384)</f>
        <v>13203966.869999999</v>
      </c>
      <c r="X369" s="1">
        <f>W369</f>
        <v>13203966.869999999</v>
      </c>
      <c r="Y369" s="6"/>
      <c r="Z369" s="1">
        <f>SUM(Z370:Z384)</f>
        <v>-561725.12999999977</v>
      </c>
      <c r="AA369" s="6">
        <f>Z369</f>
        <v>-561725.12999999977</v>
      </c>
    </row>
    <row r="370" spans="1:27" ht="51" customHeight="1" x14ac:dyDescent="0.25">
      <c r="A370" s="49">
        <f>A369+1</f>
        <v>1</v>
      </c>
      <c r="B370" s="234" t="s">
        <v>299</v>
      </c>
      <c r="C370" s="234"/>
      <c r="D370" s="234"/>
      <c r="E370" s="234"/>
      <c r="F370" s="234"/>
      <c r="G370" s="234"/>
      <c r="H370" s="234"/>
      <c r="I370" s="234"/>
      <c r="J370" s="234"/>
      <c r="K370" s="3" t="s">
        <v>46</v>
      </c>
      <c r="L370" s="185" t="s">
        <v>45</v>
      </c>
      <c r="M370" s="185"/>
      <c r="N370" s="3"/>
      <c r="O370" s="3"/>
      <c r="P370" s="221"/>
      <c r="Q370" s="221"/>
      <c r="R370" s="217">
        <v>5300000</v>
      </c>
      <c r="S370" s="217"/>
      <c r="T370" s="291">
        <f t="shared" ref="T370:T384" si="64">R370</f>
        <v>5300000</v>
      </c>
      <c r="U370" s="291"/>
      <c r="V370" s="6"/>
      <c r="W370" s="6">
        <v>5056845.0199999996</v>
      </c>
      <c r="X370" s="6">
        <f t="shared" ref="X370:X401" si="65">W370</f>
        <v>5056845.0199999996</v>
      </c>
      <c r="Y370" s="6"/>
      <c r="Z370" s="6">
        <f>W370-R370</f>
        <v>-243154.98000000045</v>
      </c>
      <c r="AA370" s="6">
        <f t="shared" ref="AA370:AA384" si="66">Z370</f>
        <v>-243154.98000000045</v>
      </c>
    </row>
    <row r="371" spans="1:27" ht="34.5" customHeight="1" x14ac:dyDescent="0.25">
      <c r="A371" s="49">
        <f t="shared" ref="A371:A384" si="67">A370+1</f>
        <v>2</v>
      </c>
      <c r="B371" s="234" t="s">
        <v>168</v>
      </c>
      <c r="C371" s="234"/>
      <c r="D371" s="234"/>
      <c r="E371" s="234"/>
      <c r="F371" s="234"/>
      <c r="G371" s="234"/>
      <c r="H371" s="234"/>
      <c r="I371" s="234"/>
      <c r="J371" s="234"/>
      <c r="K371" s="3" t="s">
        <v>46</v>
      </c>
      <c r="L371" s="185" t="s">
        <v>45</v>
      </c>
      <c r="M371" s="185"/>
      <c r="N371" s="3"/>
      <c r="O371" s="3"/>
      <c r="P371" s="221"/>
      <c r="Q371" s="221"/>
      <c r="R371" s="217">
        <v>974800</v>
      </c>
      <c r="S371" s="217"/>
      <c r="T371" s="291">
        <f t="shared" si="64"/>
        <v>974800</v>
      </c>
      <c r="U371" s="291"/>
      <c r="V371" s="6"/>
      <c r="W371" s="6">
        <f>849403.76+124800</f>
        <v>974203.76</v>
      </c>
      <c r="X371" s="6">
        <f t="shared" si="65"/>
        <v>974203.76</v>
      </c>
      <c r="Y371" s="6"/>
      <c r="Z371" s="6">
        <f t="shared" ref="Z371:Z401" si="68">W371-R371</f>
        <v>-596.23999999999069</v>
      </c>
      <c r="AA371" s="6">
        <f t="shared" si="66"/>
        <v>-596.23999999999069</v>
      </c>
    </row>
    <row r="372" spans="1:27" ht="81" customHeight="1" x14ac:dyDescent="0.25">
      <c r="A372" s="49">
        <f t="shared" si="67"/>
        <v>3</v>
      </c>
      <c r="B372" s="234" t="s">
        <v>169</v>
      </c>
      <c r="C372" s="234"/>
      <c r="D372" s="234"/>
      <c r="E372" s="234"/>
      <c r="F372" s="234"/>
      <c r="G372" s="234"/>
      <c r="H372" s="234"/>
      <c r="I372" s="234"/>
      <c r="J372" s="234"/>
      <c r="K372" s="3" t="s">
        <v>46</v>
      </c>
      <c r="L372" s="185" t="s">
        <v>45</v>
      </c>
      <c r="M372" s="185"/>
      <c r="N372" s="3"/>
      <c r="O372" s="3"/>
      <c r="P372" s="221"/>
      <c r="Q372" s="221"/>
      <c r="R372" s="217">
        <v>151000</v>
      </c>
      <c r="S372" s="217"/>
      <c r="T372" s="291">
        <f t="shared" si="64"/>
        <v>151000</v>
      </c>
      <c r="U372" s="291"/>
      <c r="V372" s="6"/>
      <c r="W372" s="6">
        <v>147653.72</v>
      </c>
      <c r="X372" s="6">
        <f t="shared" si="65"/>
        <v>147653.72</v>
      </c>
      <c r="Y372" s="6"/>
      <c r="Z372" s="6">
        <f t="shared" si="68"/>
        <v>-3346.2799999999988</v>
      </c>
      <c r="AA372" s="6">
        <f t="shared" si="66"/>
        <v>-3346.2799999999988</v>
      </c>
    </row>
    <row r="373" spans="1:27" ht="50.25" customHeight="1" x14ac:dyDescent="0.25">
      <c r="A373" s="49">
        <f t="shared" si="67"/>
        <v>4</v>
      </c>
      <c r="B373" s="234" t="s">
        <v>170</v>
      </c>
      <c r="C373" s="234"/>
      <c r="D373" s="234"/>
      <c r="E373" s="234"/>
      <c r="F373" s="234"/>
      <c r="G373" s="234"/>
      <c r="H373" s="234"/>
      <c r="I373" s="234"/>
      <c r="J373" s="234"/>
      <c r="K373" s="3" t="s">
        <v>46</v>
      </c>
      <c r="L373" s="185" t="s">
        <v>45</v>
      </c>
      <c r="M373" s="185"/>
      <c r="N373" s="3"/>
      <c r="O373" s="3"/>
      <c r="P373" s="221"/>
      <c r="Q373" s="221"/>
      <c r="R373" s="217">
        <v>4148732</v>
      </c>
      <c r="S373" s="217"/>
      <c r="T373" s="291">
        <f t="shared" si="64"/>
        <v>4148732</v>
      </c>
      <c r="U373" s="291"/>
      <c r="V373" s="6"/>
      <c r="W373" s="6">
        <f>2270638.95+98829.69+1415462.05+96731.72+99996.56+99998.27</f>
        <v>4081657.2400000007</v>
      </c>
      <c r="X373" s="6">
        <f t="shared" si="65"/>
        <v>4081657.2400000007</v>
      </c>
      <c r="Y373" s="6"/>
      <c r="Z373" s="6">
        <f t="shared" si="68"/>
        <v>-67074.759999999311</v>
      </c>
      <c r="AA373" s="6">
        <f t="shared" si="66"/>
        <v>-67074.759999999311</v>
      </c>
    </row>
    <row r="374" spans="1:27" ht="69.75" customHeight="1" x14ac:dyDescent="0.25">
      <c r="A374" s="49">
        <f t="shared" si="67"/>
        <v>5</v>
      </c>
      <c r="B374" s="234" t="s">
        <v>300</v>
      </c>
      <c r="C374" s="234"/>
      <c r="D374" s="234"/>
      <c r="E374" s="234"/>
      <c r="F374" s="234"/>
      <c r="G374" s="234"/>
      <c r="H374" s="234"/>
      <c r="I374" s="234"/>
      <c r="J374" s="234"/>
      <c r="K374" s="3" t="s">
        <v>46</v>
      </c>
      <c r="L374" s="185" t="s">
        <v>45</v>
      </c>
      <c r="M374" s="185"/>
      <c r="N374" s="3"/>
      <c r="O374" s="3"/>
      <c r="P374" s="221"/>
      <c r="Q374" s="221"/>
      <c r="R374" s="217">
        <v>1041671</v>
      </c>
      <c r="S374" s="217"/>
      <c r="T374" s="291">
        <f t="shared" si="64"/>
        <v>1041671</v>
      </c>
      <c r="U374" s="291"/>
      <c r="V374" s="6"/>
      <c r="W374" s="6">
        <v>860002.41</v>
      </c>
      <c r="X374" s="6">
        <f t="shared" si="65"/>
        <v>860002.41</v>
      </c>
      <c r="Y374" s="6"/>
      <c r="Z374" s="6">
        <f t="shared" si="68"/>
        <v>-181668.58999999997</v>
      </c>
      <c r="AA374" s="6">
        <f t="shared" si="66"/>
        <v>-181668.58999999997</v>
      </c>
    </row>
    <row r="375" spans="1:27" ht="52.5" customHeight="1" x14ac:dyDescent="0.25">
      <c r="A375" s="49">
        <f t="shared" si="67"/>
        <v>6</v>
      </c>
      <c r="B375" s="234" t="s">
        <v>301</v>
      </c>
      <c r="C375" s="234"/>
      <c r="D375" s="234"/>
      <c r="E375" s="234"/>
      <c r="F375" s="234"/>
      <c r="G375" s="234"/>
      <c r="H375" s="234"/>
      <c r="I375" s="234"/>
      <c r="J375" s="234"/>
      <c r="K375" s="3" t="s">
        <v>46</v>
      </c>
      <c r="L375" s="185" t="s">
        <v>45</v>
      </c>
      <c r="M375" s="185"/>
      <c r="N375" s="3"/>
      <c r="O375" s="3"/>
      <c r="P375" s="221"/>
      <c r="Q375" s="221"/>
      <c r="R375" s="217">
        <v>320000</v>
      </c>
      <c r="S375" s="217"/>
      <c r="T375" s="291">
        <f t="shared" si="64"/>
        <v>320000</v>
      </c>
      <c r="U375" s="291"/>
      <c r="V375" s="6"/>
      <c r="W375" s="6">
        <v>258212.92</v>
      </c>
      <c r="X375" s="6">
        <f t="shared" si="65"/>
        <v>258212.92</v>
      </c>
      <c r="Y375" s="6"/>
      <c r="Z375" s="6">
        <f t="shared" si="68"/>
        <v>-61787.079999999987</v>
      </c>
      <c r="AA375" s="6">
        <f t="shared" si="66"/>
        <v>-61787.079999999987</v>
      </c>
    </row>
    <row r="376" spans="1:27" ht="36.75" customHeight="1" x14ac:dyDescent="0.25">
      <c r="A376" s="49">
        <f t="shared" si="67"/>
        <v>7</v>
      </c>
      <c r="B376" s="234" t="s">
        <v>302</v>
      </c>
      <c r="C376" s="234"/>
      <c r="D376" s="234"/>
      <c r="E376" s="234"/>
      <c r="F376" s="234"/>
      <c r="G376" s="234"/>
      <c r="H376" s="234"/>
      <c r="I376" s="234"/>
      <c r="J376" s="234"/>
      <c r="K376" s="3" t="s">
        <v>46</v>
      </c>
      <c r="L376" s="185" t="s">
        <v>45</v>
      </c>
      <c r="M376" s="185"/>
      <c r="N376" s="3"/>
      <c r="O376" s="3"/>
      <c r="P376" s="221"/>
      <c r="Q376" s="221"/>
      <c r="R376" s="217">
        <v>100000</v>
      </c>
      <c r="S376" s="217"/>
      <c r="T376" s="291">
        <f t="shared" si="64"/>
        <v>100000</v>
      </c>
      <c r="U376" s="291"/>
      <c r="V376" s="6"/>
      <c r="W376" s="6">
        <v>99280.83</v>
      </c>
      <c r="X376" s="6">
        <f t="shared" si="65"/>
        <v>99280.83</v>
      </c>
      <c r="Y376" s="6"/>
      <c r="Z376" s="6">
        <f t="shared" si="68"/>
        <v>-719.16999999999825</v>
      </c>
      <c r="AA376" s="6">
        <f t="shared" si="66"/>
        <v>-719.16999999999825</v>
      </c>
    </row>
    <row r="377" spans="1:27" ht="66" customHeight="1" x14ac:dyDescent="0.25">
      <c r="A377" s="49">
        <f t="shared" si="67"/>
        <v>8</v>
      </c>
      <c r="B377" s="203" t="s">
        <v>303</v>
      </c>
      <c r="C377" s="203"/>
      <c r="D377" s="203"/>
      <c r="E377" s="203"/>
      <c r="F377" s="203"/>
      <c r="G377" s="203"/>
      <c r="H377" s="203"/>
      <c r="I377" s="203"/>
      <c r="J377" s="203"/>
      <c r="K377" s="3" t="s">
        <v>46</v>
      </c>
      <c r="L377" s="185" t="s">
        <v>45</v>
      </c>
      <c r="M377" s="185"/>
      <c r="N377" s="3"/>
      <c r="O377" s="3"/>
      <c r="P377" s="221"/>
      <c r="Q377" s="221"/>
      <c r="R377" s="268">
        <v>238439</v>
      </c>
      <c r="S377" s="269"/>
      <c r="T377" s="291">
        <f t="shared" si="64"/>
        <v>238439</v>
      </c>
      <c r="U377" s="291"/>
      <c r="V377" s="6"/>
      <c r="W377" s="6">
        <v>238438.51</v>
      </c>
      <c r="X377" s="6">
        <f t="shared" si="65"/>
        <v>238438.51</v>
      </c>
      <c r="Y377" s="6"/>
      <c r="Z377" s="6">
        <f t="shared" si="68"/>
        <v>-0.48999999999068677</v>
      </c>
      <c r="AA377" s="6">
        <f t="shared" si="66"/>
        <v>-0.48999999999068677</v>
      </c>
    </row>
    <row r="378" spans="1:27" ht="35.25" customHeight="1" x14ac:dyDescent="0.25">
      <c r="A378" s="49">
        <f t="shared" si="67"/>
        <v>9</v>
      </c>
      <c r="B378" s="203" t="s">
        <v>304</v>
      </c>
      <c r="C378" s="203"/>
      <c r="D378" s="203"/>
      <c r="E378" s="203"/>
      <c r="F378" s="203"/>
      <c r="G378" s="203"/>
      <c r="H378" s="203"/>
      <c r="I378" s="203"/>
      <c r="J378" s="203"/>
      <c r="K378" s="3" t="s">
        <v>46</v>
      </c>
      <c r="L378" s="185" t="s">
        <v>45</v>
      </c>
      <c r="M378" s="185"/>
      <c r="N378" s="3"/>
      <c r="O378" s="3"/>
      <c r="P378" s="221"/>
      <c r="Q378" s="221"/>
      <c r="R378" s="268">
        <v>700000</v>
      </c>
      <c r="S378" s="269"/>
      <c r="T378" s="291">
        <f t="shared" si="64"/>
        <v>700000</v>
      </c>
      <c r="U378" s="291"/>
      <c r="V378" s="6"/>
      <c r="W378" s="6">
        <v>698374.58</v>
      </c>
      <c r="X378" s="6">
        <f t="shared" si="65"/>
        <v>698374.58</v>
      </c>
      <c r="Y378" s="6"/>
      <c r="Z378" s="6">
        <f t="shared" si="68"/>
        <v>-1625.4200000000419</v>
      </c>
      <c r="AA378" s="6">
        <f t="shared" si="66"/>
        <v>-1625.4200000000419</v>
      </c>
    </row>
    <row r="379" spans="1:27" ht="48.75" customHeight="1" x14ac:dyDescent="0.25">
      <c r="A379" s="49">
        <f t="shared" si="67"/>
        <v>10</v>
      </c>
      <c r="B379" s="203" t="s">
        <v>305</v>
      </c>
      <c r="C379" s="203"/>
      <c r="D379" s="203"/>
      <c r="E379" s="203"/>
      <c r="F379" s="203"/>
      <c r="G379" s="203"/>
      <c r="H379" s="203"/>
      <c r="I379" s="203"/>
      <c r="J379" s="203"/>
      <c r="K379" s="3" t="s">
        <v>46</v>
      </c>
      <c r="L379" s="185" t="s">
        <v>45</v>
      </c>
      <c r="M379" s="185"/>
      <c r="N379" s="3"/>
      <c r="O379" s="3"/>
      <c r="P379" s="221"/>
      <c r="Q379" s="221"/>
      <c r="R379" s="268">
        <v>23004</v>
      </c>
      <c r="S379" s="269"/>
      <c r="T379" s="291">
        <f t="shared" si="64"/>
        <v>23004</v>
      </c>
      <c r="U379" s="291"/>
      <c r="V379" s="6"/>
      <c r="W379" s="6">
        <v>23004</v>
      </c>
      <c r="X379" s="6">
        <f t="shared" si="65"/>
        <v>23004</v>
      </c>
      <c r="Y379" s="6"/>
      <c r="Z379" s="6">
        <f t="shared" si="68"/>
        <v>0</v>
      </c>
      <c r="AA379" s="6">
        <f t="shared" si="66"/>
        <v>0</v>
      </c>
    </row>
    <row r="380" spans="1:27" ht="40.5" customHeight="1" x14ac:dyDescent="0.25">
      <c r="A380" s="49">
        <f t="shared" si="67"/>
        <v>11</v>
      </c>
      <c r="B380" s="203" t="s">
        <v>306</v>
      </c>
      <c r="C380" s="203"/>
      <c r="D380" s="203"/>
      <c r="E380" s="203"/>
      <c r="F380" s="203"/>
      <c r="G380" s="203"/>
      <c r="H380" s="203"/>
      <c r="I380" s="203"/>
      <c r="J380" s="204"/>
      <c r="K380" s="3" t="s">
        <v>46</v>
      </c>
      <c r="L380" s="185" t="s">
        <v>45</v>
      </c>
      <c r="M380" s="185"/>
      <c r="N380" s="3"/>
      <c r="O380" s="3"/>
      <c r="P380" s="221"/>
      <c r="Q380" s="221"/>
      <c r="R380" s="268">
        <v>123282</v>
      </c>
      <c r="S380" s="269"/>
      <c r="T380" s="291">
        <f t="shared" si="64"/>
        <v>123282</v>
      </c>
      <c r="U380" s="291"/>
      <c r="V380" s="6"/>
      <c r="W380" s="6">
        <v>123281.60000000001</v>
      </c>
      <c r="X380" s="6">
        <f t="shared" si="65"/>
        <v>123281.60000000001</v>
      </c>
      <c r="Y380" s="6"/>
      <c r="Z380" s="6">
        <f t="shared" si="68"/>
        <v>-0.39999999999417923</v>
      </c>
      <c r="AA380" s="6">
        <f t="shared" si="66"/>
        <v>-0.39999999999417923</v>
      </c>
    </row>
    <row r="381" spans="1:27" ht="37.5" customHeight="1" x14ac:dyDescent="0.25">
      <c r="A381" s="49">
        <f t="shared" si="67"/>
        <v>12</v>
      </c>
      <c r="B381" s="203" t="s">
        <v>307</v>
      </c>
      <c r="C381" s="203"/>
      <c r="D381" s="203"/>
      <c r="E381" s="203"/>
      <c r="F381" s="203"/>
      <c r="G381" s="203"/>
      <c r="H381" s="203"/>
      <c r="I381" s="203"/>
      <c r="J381" s="204"/>
      <c r="K381" s="3" t="s">
        <v>46</v>
      </c>
      <c r="L381" s="185" t="s">
        <v>45</v>
      </c>
      <c r="M381" s="185"/>
      <c r="N381" s="3"/>
      <c r="O381" s="3"/>
      <c r="P381" s="221"/>
      <c r="Q381" s="221"/>
      <c r="R381" s="268">
        <v>278000</v>
      </c>
      <c r="S381" s="269"/>
      <c r="T381" s="291">
        <f t="shared" si="64"/>
        <v>278000</v>
      </c>
      <c r="U381" s="291"/>
      <c r="V381" s="6"/>
      <c r="W381" s="6">
        <v>277039.39</v>
      </c>
      <c r="X381" s="6">
        <f t="shared" si="65"/>
        <v>277039.39</v>
      </c>
      <c r="Y381" s="6"/>
      <c r="Z381" s="6">
        <f t="shared" si="68"/>
        <v>-960.60999999998603</v>
      </c>
      <c r="AA381" s="6">
        <f t="shared" si="66"/>
        <v>-960.60999999998603</v>
      </c>
    </row>
    <row r="382" spans="1:27" ht="66" customHeight="1" x14ac:dyDescent="0.25">
      <c r="A382" s="49">
        <f t="shared" si="67"/>
        <v>13</v>
      </c>
      <c r="B382" s="203" t="s">
        <v>308</v>
      </c>
      <c r="C382" s="203"/>
      <c r="D382" s="203"/>
      <c r="E382" s="203"/>
      <c r="F382" s="203"/>
      <c r="G382" s="203"/>
      <c r="H382" s="203"/>
      <c r="I382" s="203"/>
      <c r="J382" s="204"/>
      <c r="K382" s="3" t="s">
        <v>46</v>
      </c>
      <c r="L382" s="185" t="s">
        <v>45</v>
      </c>
      <c r="M382" s="185"/>
      <c r="N382" s="3"/>
      <c r="O382" s="3"/>
      <c r="P382" s="221"/>
      <c r="Q382" s="221"/>
      <c r="R382" s="268">
        <f>150000+149930-19000</f>
        <v>280930</v>
      </c>
      <c r="S382" s="269"/>
      <c r="T382" s="291">
        <f t="shared" si="64"/>
        <v>280930</v>
      </c>
      <c r="U382" s="291"/>
      <c r="V382" s="6"/>
      <c r="W382" s="6">
        <f>130209.11+149930</f>
        <v>280139.11</v>
      </c>
      <c r="X382" s="6">
        <f t="shared" si="65"/>
        <v>280139.11</v>
      </c>
      <c r="Y382" s="6"/>
      <c r="Z382" s="6">
        <f t="shared" si="68"/>
        <v>-790.89000000001397</v>
      </c>
      <c r="AA382" s="6">
        <f t="shared" si="66"/>
        <v>-790.89000000001397</v>
      </c>
    </row>
    <row r="383" spans="1:27" ht="66.75" customHeight="1" x14ac:dyDescent="0.25">
      <c r="A383" s="49">
        <f t="shared" si="67"/>
        <v>14</v>
      </c>
      <c r="B383" s="203" t="s">
        <v>309</v>
      </c>
      <c r="C383" s="203"/>
      <c r="D383" s="203"/>
      <c r="E383" s="203"/>
      <c r="F383" s="203"/>
      <c r="G383" s="203"/>
      <c r="H383" s="203"/>
      <c r="I383" s="203"/>
      <c r="J383" s="204"/>
      <c r="K383" s="3" t="s">
        <v>46</v>
      </c>
      <c r="L383" s="185" t="s">
        <v>45</v>
      </c>
      <c r="M383" s="185"/>
      <c r="N383" s="3"/>
      <c r="O383" s="3"/>
      <c r="P383" s="221"/>
      <c r="Q383" s="221"/>
      <c r="R383" s="268">
        <f>85000-2406</f>
        <v>82594</v>
      </c>
      <c r="S383" s="269"/>
      <c r="T383" s="291">
        <f t="shared" si="64"/>
        <v>82594</v>
      </c>
      <c r="U383" s="291"/>
      <c r="V383" s="6"/>
      <c r="W383" s="6">
        <v>82593.78</v>
      </c>
      <c r="X383" s="6">
        <f t="shared" si="65"/>
        <v>82593.78</v>
      </c>
      <c r="Y383" s="6"/>
      <c r="Z383" s="6">
        <f t="shared" si="68"/>
        <v>-0.22000000000116415</v>
      </c>
      <c r="AA383" s="6">
        <f t="shared" si="66"/>
        <v>-0.22000000000116415</v>
      </c>
    </row>
    <row r="384" spans="1:27" ht="66" customHeight="1" x14ac:dyDescent="0.25">
      <c r="A384" s="49">
        <f t="shared" si="67"/>
        <v>15</v>
      </c>
      <c r="B384" s="243" t="s">
        <v>310</v>
      </c>
      <c r="C384" s="243"/>
      <c r="D384" s="243"/>
      <c r="E384" s="243"/>
      <c r="F384" s="243"/>
      <c r="G384" s="243"/>
      <c r="H384" s="243"/>
      <c r="I384" s="243"/>
      <c r="J384" s="243"/>
      <c r="K384" s="3" t="s">
        <v>46</v>
      </c>
      <c r="L384" s="185" t="s">
        <v>171</v>
      </c>
      <c r="M384" s="185"/>
      <c r="N384" s="3"/>
      <c r="O384" s="3"/>
      <c r="P384" s="221"/>
      <c r="Q384" s="221"/>
      <c r="R384" s="268">
        <f>1500000-1496760</f>
        <v>3240</v>
      </c>
      <c r="S384" s="269"/>
      <c r="T384" s="291">
        <f t="shared" si="64"/>
        <v>3240</v>
      </c>
      <c r="U384" s="291"/>
      <c r="V384" s="6"/>
      <c r="W384" s="6">
        <v>3240</v>
      </c>
      <c r="X384" s="6">
        <f t="shared" si="65"/>
        <v>3240</v>
      </c>
      <c r="Y384" s="6"/>
      <c r="Z384" s="6">
        <f t="shared" si="68"/>
        <v>0</v>
      </c>
      <c r="AA384" s="6">
        <f t="shared" si="66"/>
        <v>0</v>
      </c>
    </row>
    <row r="385" spans="1:27" s="25" customFormat="1" ht="18" customHeight="1" x14ac:dyDescent="0.25">
      <c r="A385" s="172"/>
      <c r="B385" s="406" t="s">
        <v>400</v>
      </c>
      <c r="C385" s="407"/>
      <c r="D385" s="407"/>
      <c r="E385" s="407"/>
      <c r="F385" s="407"/>
      <c r="G385" s="407"/>
      <c r="H385" s="407"/>
      <c r="I385" s="407"/>
      <c r="J385" s="407"/>
      <c r="K385" s="407"/>
      <c r="L385" s="407"/>
      <c r="M385" s="407"/>
      <c r="N385" s="407"/>
      <c r="O385" s="407"/>
      <c r="P385" s="407"/>
      <c r="Q385" s="407"/>
      <c r="R385" s="407"/>
      <c r="S385" s="407"/>
      <c r="T385" s="407"/>
      <c r="U385" s="407"/>
      <c r="V385" s="407"/>
      <c r="W385" s="407"/>
      <c r="X385" s="407"/>
      <c r="Y385" s="407"/>
      <c r="Z385" s="407"/>
      <c r="AA385" s="408"/>
    </row>
    <row r="386" spans="1:27" s="25" customFormat="1" ht="18" customHeight="1" x14ac:dyDescent="0.25">
      <c r="A386" s="172"/>
      <c r="B386" s="302" t="s">
        <v>401</v>
      </c>
      <c r="C386" s="180"/>
      <c r="D386" s="180"/>
      <c r="E386" s="180"/>
      <c r="F386" s="180"/>
      <c r="G386" s="180"/>
      <c r="H386" s="180"/>
      <c r="I386" s="180"/>
      <c r="J386" s="180"/>
      <c r="K386" s="180"/>
      <c r="L386" s="180"/>
      <c r="M386" s="180"/>
      <c r="N386" s="180"/>
      <c r="O386" s="180"/>
      <c r="P386" s="180"/>
      <c r="Q386" s="180"/>
      <c r="R386" s="180"/>
      <c r="S386" s="180"/>
      <c r="T386" s="180"/>
      <c r="U386" s="180"/>
      <c r="V386" s="180"/>
      <c r="W386" s="180"/>
      <c r="X386" s="180"/>
      <c r="Y386" s="180"/>
      <c r="Z386" s="180"/>
      <c r="AA386" s="181"/>
    </row>
    <row r="387" spans="1:27" ht="20.25" customHeight="1" x14ac:dyDescent="0.25">
      <c r="A387" s="49"/>
      <c r="B387" s="262" t="s">
        <v>324</v>
      </c>
      <c r="C387" s="263"/>
      <c r="D387" s="263"/>
      <c r="E387" s="263"/>
      <c r="F387" s="72"/>
      <c r="G387" s="72"/>
      <c r="H387" s="72"/>
      <c r="I387" s="72"/>
      <c r="J387" s="72"/>
      <c r="K387" s="3"/>
      <c r="L387" s="185"/>
      <c r="M387" s="185"/>
      <c r="N387" s="3"/>
      <c r="O387" s="3"/>
      <c r="P387" s="221"/>
      <c r="Q387" s="221"/>
      <c r="R387" s="185"/>
      <c r="S387" s="185"/>
      <c r="T387" s="221"/>
      <c r="U387" s="221"/>
      <c r="V387" s="46"/>
      <c r="W387" s="46"/>
      <c r="X387" s="46"/>
      <c r="Y387" s="45"/>
      <c r="Z387" s="45"/>
      <c r="AA387" s="46"/>
    </row>
    <row r="388" spans="1:27" ht="35.1" customHeight="1" x14ac:dyDescent="0.25">
      <c r="A388" s="49">
        <v>1</v>
      </c>
      <c r="B388" s="282" t="s">
        <v>173</v>
      </c>
      <c r="C388" s="282"/>
      <c r="D388" s="282"/>
      <c r="E388" s="282"/>
      <c r="F388" s="282"/>
      <c r="G388" s="282"/>
      <c r="H388" s="282"/>
      <c r="I388" s="282"/>
      <c r="J388" s="282"/>
      <c r="K388" s="3" t="s">
        <v>48</v>
      </c>
      <c r="L388" s="185" t="s">
        <v>172</v>
      </c>
      <c r="M388" s="185"/>
      <c r="N388" s="3"/>
      <c r="O388" s="3"/>
      <c r="P388" s="221"/>
      <c r="Q388" s="221"/>
      <c r="R388" s="251">
        <f>R389+R390+R392</f>
        <v>11</v>
      </c>
      <c r="S388" s="251"/>
      <c r="T388" s="216">
        <f>R388</f>
        <v>11</v>
      </c>
      <c r="U388" s="226"/>
      <c r="V388" s="4"/>
      <c r="W388" s="4">
        <f>W389+W390+W392</f>
        <v>11</v>
      </c>
      <c r="X388" s="4">
        <f t="shared" si="65"/>
        <v>11</v>
      </c>
      <c r="Y388" s="6"/>
      <c r="Z388" s="6">
        <f t="shared" si="68"/>
        <v>0</v>
      </c>
      <c r="AA388" s="6">
        <f>Z388</f>
        <v>0</v>
      </c>
    </row>
    <row r="389" spans="1:27" ht="51.75" customHeight="1" x14ac:dyDescent="0.25">
      <c r="A389" s="49">
        <v>2</v>
      </c>
      <c r="B389" s="282" t="s">
        <v>174</v>
      </c>
      <c r="C389" s="282"/>
      <c r="D389" s="282"/>
      <c r="E389" s="282"/>
      <c r="F389" s="282"/>
      <c r="G389" s="282"/>
      <c r="H389" s="282"/>
      <c r="I389" s="282"/>
      <c r="J389" s="282"/>
      <c r="K389" s="3" t="s">
        <v>48</v>
      </c>
      <c r="L389" s="185" t="s">
        <v>172</v>
      </c>
      <c r="M389" s="185"/>
      <c r="N389" s="3"/>
      <c r="O389" s="3"/>
      <c r="P389" s="221"/>
      <c r="Q389" s="221"/>
      <c r="R389" s="254">
        <f>2+1+1</f>
        <v>4</v>
      </c>
      <c r="S389" s="255"/>
      <c r="T389" s="216">
        <f t="shared" ref="T389:T401" si="69">R389</f>
        <v>4</v>
      </c>
      <c r="U389" s="226"/>
      <c r="V389" s="4"/>
      <c r="W389" s="4">
        <v>4</v>
      </c>
      <c r="X389" s="4">
        <f t="shared" si="65"/>
        <v>4</v>
      </c>
      <c r="Y389" s="6"/>
      <c r="Z389" s="6">
        <f t="shared" si="68"/>
        <v>0</v>
      </c>
      <c r="AA389" s="6">
        <f>Z389</f>
        <v>0</v>
      </c>
    </row>
    <row r="390" spans="1:27" ht="48" customHeight="1" x14ac:dyDescent="0.25">
      <c r="A390" s="49">
        <v>3</v>
      </c>
      <c r="B390" s="282" t="s">
        <v>176</v>
      </c>
      <c r="C390" s="282"/>
      <c r="D390" s="282"/>
      <c r="E390" s="282"/>
      <c r="F390" s="282"/>
      <c r="G390" s="282"/>
      <c r="H390" s="282"/>
      <c r="I390" s="282"/>
      <c r="J390" s="282"/>
      <c r="K390" s="3" t="s">
        <v>48</v>
      </c>
      <c r="L390" s="185" t="s">
        <v>175</v>
      </c>
      <c r="M390" s="185"/>
      <c r="N390" s="3"/>
      <c r="O390" s="3"/>
      <c r="P390" s="221"/>
      <c r="Q390" s="221"/>
      <c r="R390" s="252">
        <v>6</v>
      </c>
      <c r="S390" s="253"/>
      <c r="T390" s="216">
        <f t="shared" si="69"/>
        <v>6</v>
      </c>
      <c r="U390" s="216"/>
      <c r="V390" s="4"/>
      <c r="W390" s="4">
        <v>6</v>
      </c>
      <c r="X390" s="4">
        <f t="shared" si="65"/>
        <v>6</v>
      </c>
      <c r="Y390" s="6"/>
      <c r="Z390" s="6">
        <f t="shared" si="68"/>
        <v>0</v>
      </c>
      <c r="AA390" s="6">
        <f>Z390</f>
        <v>0</v>
      </c>
    </row>
    <row r="391" spans="1:27" ht="35.1" customHeight="1" x14ac:dyDescent="0.25">
      <c r="A391" s="49">
        <v>4</v>
      </c>
      <c r="B391" s="282" t="s">
        <v>177</v>
      </c>
      <c r="C391" s="282"/>
      <c r="D391" s="282"/>
      <c r="E391" s="282"/>
      <c r="F391" s="282"/>
      <c r="G391" s="282"/>
      <c r="H391" s="282"/>
      <c r="I391" s="282"/>
      <c r="J391" s="282"/>
      <c r="K391" s="3" t="s">
        <v>48</v>
      </c>
      <c r="L391" s="185" t="s">
        <v>45</v>
      </c>
      <c r="M391" s="185"/>
      <c r="N391" s="3"/>
      <c r="O391" s="3"/>
      <c r="P391" s="221"/>
      <c r="Q391" s="221"/>
      <c r="R391" s="252">
        <f>1+1-1</f>
        <v>1</v>
      </c>
      <c r="S391" s="253"/>
      <c r="T391" s="216">
        <f t="shared" si="69"/>
        <v>1</v>
      </c>
      <c r="U391" s="226"/>
      <c r="V391" s="4"/>
      <c r="W391" s="4">
        <v>1</v>
      </c>
      <c r="X391" s="4">
        <f t="shared" si="65"/>
        <v>1</v>
      </c>
      <c r="Y391" s="6"/>
      <c r="Z391" s="6">
        <f t="shared" si="68"/>
        <v>0</v>
      </c>
      <c r="AA391" s="6">
        <f>Z391</f>
        <v>0</v>
      </c>
    </row>
    <row r="392" spans="1:27" ht="48.75" customHeight="1" x14ac:dyDescent="0.25">
      <c r="A392" s="49">
        <v>5</v>
      </c>
      <c r="B392" s="273" t="s">
        <v>311</v>
      </c>
      <c r="C392" s="273"/>
      <c r="D392" s="273"/>
      <c r="E392" s="273"/>
      <c r="F392" s="273"/>
      <c r="G392" s="273"/>
      <c r="H392" s="273"/>
      <c r="I392" s="273"/>
      <c r="J392" s="273"/>
      <c r="K392" s="3" t="s">
        <v>48</v>
      </c>
      <c r="L392" s="185" t="s">
        <v>45</v>
      </c>
      <c r="M392" s="185"/>
      <c r="N392" s="3"/>
      <c r="O392" s="3"/>
      <c r="P392" s="221"/>
      <c r="Q392" s="221"/>
      <c r="R392" s="252">
        <v>1</v>
      </c>
      <c r="S392" s="253"/>
      <c r="T392" s="216">
        <f t="shared" si="69"/>
        <v>1</v>
      </c>
      <c r="U392" s="226"/>
      <c r="V392" s="4"/>
      <c r="W392" s="4">
        <v>1</v>
      </c>
      <c r="X392" s="4">
        <f t="shared" si="65"/>
        <v>1</v>
      </c>
      <c r="Y392" s="6"/>
      <c r="Z392" s="6">
        <f t="shared" si="68"/>
        <v>0</v>
      </c>
      <c r="AA392" s="6">
        <f>Z392</f>
        <v>0</v>
      </c>
    </row>
    <row r="393" spans="1:27" ht="20.100000000000001" customHeight="1" x14ac:dyDescent="0.25">
      <c r="A393" s="49"/>
      <c r="B393" s="262" t="s">
        <v>327</v>
      </c>
      <c r="C393" s="263"/>
      <c r="D393" s="263"/>
      <c r="E393" s="263"/>
      <c r="F393" s="72"/>
      <c r="G393" s="72"/>
      <c r="H393" s="72"/>
      <c r="I393" s="72"/>
      <c r="J393" s="72"/>
      <c r="K393" s="3"/>
      <c r="L393" s="185"/>
      <c r="M393" s="185"/>
      <c r="N393" s="3"/>
      <c r="O393" s="3"/>
      <c r="P393" s="221"/>
      <c r="Q393" s="221"/>
      <c r="R393" s="185"/>
      <c r="S393" s="185"/>
      <c r="T393" s="216"/>
      <c r="U393" s="226"/>
      <c r="V393" s="4"/>
      <c r="W393" s="4"/>
      <c r="X393" s="4"/>
      <c r="Y393" s="6"/>
      <c r="Z393" s="6"/>
      <c r="AA393" s="4"/>
    </row>
    <row r="394" spans="1:27" ht="36.75" customHeight="1" x14ac:dyDescent="0.25">
      <c r="A394" s="49">
        <v>1</v>
      </c>
      <c r="B394" s="282" t="s">
        <v>178</v>
      </c>
      <c r="C394" s="282"/>
      <c r="D394" s="282"/>
      <c r="E394" s="282"/>
      <c r="F394" s="282"/>
      <c r="G394" s="282"/>
      <c r="H394" s="282"/>
      <c r="I394" s="282"/>
      <c r="J394" s="282"/>
      <c r="K394" s="3" t="s">
        <v>46</v>
      </c>
      <c r="L394" s="185" t="s">
        <v>55</v>
      </c>
      <c r="M394" s="185"/>
      <c r="N394" s="3"/>
      <c r="O394" s="3"/>
      <c r="P394" s="221"/>
      <c r="Q394" s="221"/>
      <c r="R394" s="268">
        <v>776265.45</v>
      </c>
      <c r="S394" s="269"/>
      <c r="T394" s="291">
        <f t="shared" si="69"/>
        <v>776265.45</v>
      </c>
      <c r="U394" s="291"/>
      <c r="V394" s="6"/>
      <c r="W394" s="1">
        <f>(W370+W372+W374+W375+W377+W378+W379+W380+W381+W383+W382)/11</f>
        <v>731416.82181818178</v>
      </c>
      <c r="X394" s="1">
        <f>W394</f>
        <v>731416.82181818178</v>
      </c>
      <c r="Y394" s="6"/>
      <c r="Z394" s="6">
        <f t="shared" si="68"/>
        <v>-44848.628181818174</v>
      </c>
      <c r="AA394" s="6">
        <f>Z394</f>
        <v>-44848.628181818174</v>
      </c>
    </row>
    <row r="395" spans="1:27" ht="36" customHeight="1" x14ac:dyDescent="0.25">
      <c r="A395" s="49">
        <v>2</v>
      </c>
      <c r="B395" s="282" t="s">
        <v>179</v>
      </c>
      <c r="C395" s="282"/>
      <c r="D395" s="282"/>
      <c r="E395" s="282"/>
      <c r="F395" s="282"/>
      <c r="G395" s="282"/>
      <c r="H395" s="282"/>
      <c r="I395" s="282"/>
      <c r="J395" s="282"/>
      <c r="K395" s="3" t="s">
        <v>46</v>
      </c>
      <c r="L395" s="185" t="s">
        <v>55</v>
      </c>
      <c r="M395" s="185"/>
      <c r="N395" s="3"/>
      <c r="O395" s="3"/>
      <c r="P395" s="221"/>
      <c r="Q395" s="221"/>
      <c r="R395" s="268">
        <v>243700</v>
      </c>
      <c r="S395" s="269"/>
      <c r="T395" s="291">
        <f t="shared" si="69"/>
        <v>243700</v>
      </c>
      <c r="U395" s="291"/>
      <c r="V395" s="6"/>
      <c r="W395" s="1">
        <f>W371/W389</f>
        <v>243550.94</v>
      </c>
      <c r="X395" s="1">
        <f>W395</f>
        <v>243550.94</v>
      </c>
      <c r="Y395" s="6"/>
      <c r="Z395" s="6">
        <f t="shared" si="68"/>
        <v>-149.05999999999767</v>
      </c>
      <c r="AA395" s="6">
        <f>Z395</f>
        <v>-149.05999999999767</v>
      </c>
    </row>
    <row r="396" spans="1:27" ht="36" customHeight="1" x14ac:dyDescent="0.25">
      <c r="A396" s="49">
        <v>3</v>
      </c>
      <c r="B396" s="282" t="s">
        <v>180</v>
      </c>
      <c r="C396" s="282"/>
      <c r="D396" s="282"/>
      <c r="E396" s="282"/>
      <c r="F396" s="282"/>
      <c r="G396" s="282"/>
      <c r="H396" s="282"/>
      <c r="I396" s="282"/>
      <c r="J396" s="282"/>
      <c r="K396" s="3" t="s">
        <v>46</v>
      </c>
      <c r="L396" s="185" t="s">
        <v>55</v>
      </c>
      <c r="M396" s="185"/>
      <c r="N396" s="3"/>
      <c r="O396" s="3"/>
      <c r="P396" s="221"/>
      <c r="Q396" s="221"/>
      <c r="R396" s="279">
        <v>691455.33330000006</v>
      </c>
      <c r="S396" s="280"/>
      <c r="T396" s="291">
        <f t="shared" si="69"/>
        <v>691455.33330000006</v>
      </c>
      <c r="U396" s="291"/>
      <c r="V396" s="6"/>
      <c r="W396" s="123">
        <v>680276.20669999998</v>
      </c>
      <c r="X396" s="1">
        <f>W396</f>
        <v>680276.20669999998</v>
      </c>
      <c r="Y396" s="6"/>
      <c r="Z396" s="6">
        <f t="shared" si="68"/>
        <v>-11179.126600000076</v>
      </c>
      <c r="AA396" s="6">
        <f>Z396</f>
        <v>-11179.126600000076</v>
      </c>
    </row>
    <row r="397" spans="1:27" ht="48" customHeight="1" x14ac:dyDescent="0.25">
      <c r="A397" s="49">
        <v>4</v>
      </c>
      <c r="B397" s="282" t="s">
        <v>312</v>
      </c>
      <c r="C397" s="282"/>
      <c r="D397" s="282"/>
      <c r="E397" s="282"/>
      <c r="F397" s="282"/>
      <c r="G397" s="282"/>
      <c r="H397" s="282"/>
      <c r="I397" s="282"/>
      <c r="J397" s="282"/>
      <c r="K397" s="3" t="s">
        <v>46</v>
      </c>
      <c r="L397" s="185" t="s">
        <v>55</v>
      </c>
      <c r="M397" s="185"/>
      <c r="N397" s="3"/>
      <c r="O397" s="3"/>
      <c r="P397" s="221"/>
      <c r="Q397" s="221"/>
      <c r="R397" s="279">
        <f>R376</f>
        <v>100000</v>
      </c>
      <c r="S397" s="280"/>
      <c r="T397" s="291">
        <f t="shared" si="69"/>
        <v>100000</v>
      </c>
      <c r="U397" s="291"/>
      <c r="V397" s="6"/>
      <c r="W397" s="123">
        <f>W376</f>
        <v>99280.83</v>
      </c>
      <c r="X397" s="1">
        <f>W397</f>
        <v>99280.83</v>
      </c>
      <c r="Y397" s="6"/>
      <c r="Z397" s="6">
        <f t="shared" si="68"/>
        <v>-719.16999999999825</v>
      </c>
      <c r="AA397" s="6">
        <f>Z397</f>
        <v>-719.16999999999825</v>
      </c>
    </row>
    <row r="398" spans="1:27" ht="52.5" customHeight="1" x14ac:dyDescent="0.25">
      <c r="A398" s="49">
        <v>5</v>
      </c>
      <c r="B398" s="282" t="s">
        <v>313</v>
      </c>
      <c r="C398" s="282"/>
      <c r="D398" s="282"/>
      <c r="E398" s="282"/>
      <c r="F398" s="282"/>
      <c r="G398" s="282"/>
      <c r="H398" s="282"/>
      <c r="I398" s="282"/>
      <c r="J398" s="282"/>
      <c r="K398" s="3" t="s">
        <v>46</v>
      </c>
      <c r="L398" s="185" t="s">
        <v>55</v>
      </c>
      <c r="M398" s="185"/>
      <c r="N398" s="3"/>
      <c r="O398" s="3"/>
      <c r="P398" s="221"/>
      <c r="Q398" s="221"/>
      <c r="R398" s="279">
        <f>R384</f>
        <v>3240</v>
      </c>
      <c r="S398" s="280"/>
      <c r="T398" s="291">
        <f t="shared" si="69"/>
        <v>3240</v>
      </c>
      <c r="U398" s="291"/>
      <c r="V398" s="6"/>
      <c r="W398" s="123">
        <f>W384</f>
        <v>3240</v>
      </c>
      <c r="X398" s="1">
        <f>W398</f>
        <v>3240</v>
      </c>
      <c r="Y398" s="6"/>
      <c r="Z398" s="6">
        <f t="shared" si="68"/>
        <v>0</v>
      </c>
      <c r="AA398" s="6">
        <f>Z398</f>
        <v>0</v>
      </c>
    </row>
    <row r="399" spans="1:27" ht="21.75" customHeight="1" x14ac:dyDescent="0.25">
      <c r="A399" s="49"/>
      <c r="B399" s="181" t="s">
        <v>404</v>
      </c>
      <c r="C399" s="198"/>
      <c r="D399" s="198"/>
      <c r="E399" s="198"/>
      <c r="F399" s="198"/>
      <c r="G399" s="198"/>
      <c r="H399" s="198"/>
      <c r="I399" s="198"/>
      <c r="J399" s="198"/>
      <c r="K399" s="198"/>
      <c r="L399" s="198"/>
      <c r="M399" s="198"/>
      <c r="N399" s="198"/>
      <c r="O399" s="198"/>
      <c r="P399" s="198"/>
      <c r="Q399" s="198"/>
      <c r="R399" s="198"/>
      <c r="S399" s="198"/>
      <c r="T399" s="198"/>
      <c r="U399" s="198"/>
      <c r="V399" s="198"/>
      <c r="W399" s="198"/>
      <c r="X399" s="198"/>
      <c r="Y399" s="198"/>
      <c r="Z399" s="198"/>
      <c r="AA399" s="198"/>
    </row>
    <row r="400" spans="1:27" ht="20.100000000000001" customHeight="1" x14ac:dyDescent="0.25">
      <c r="A400" s="49"/>
      <c r="B400" s="262" t="s">
        <v>191</v>
      </c>
      <c r="C400" s="263"/>
      <c r="D400" s="263"/>
      <c r="E400" s="263"/>
      <c r="F400" s="72"/>
      <c r="G400" s="72"/>
      <c r="H400" s="72"/>
      <c r="I400" s="72"/>
      <c r="J400" s="72"/>
      <c r="K400" s="3"/>
      <c r="L400" s="185"/>
      <c r="M400" s="185"/>
      <c r="N400" s="3"/>
      <c r="O400" s="3"/>
      <c r="P400" s="221"/>
      <c r="Q400" s="221"/>
      <c r="R400" s="185"/>
      <c r="S400" s="185"/>
      <c r="T400" s="216"/>
      <c r="U400" s="226"/>
      <c r="V400" s="4"/>
      <c r="W400" s="75"/>
      <c r="X400" s="4"/>
      <c r="Y400" s="6"/>
      <c r="Z400" s="6"/>
      <c r="AA400" s="4"/>
    </row>
    <row r="401" spans="1:29" ht="66.75" customHeight="1" x14ac:dyDescent="0.25">
      <c r="A401" s="49">
        <v>1</v>
      </c>
      <c r="B401" s="208" t="s">
        <v>181</v>
      </c>
      <c r="C401" s="209"/>
      <c r="D401" s="209"/>
      <c r="E401" s="209"/>
      <c r="F401" s="9"/>
      <c r="G401" s="9"/>
      <c r="H401" s="9"/>
      <c r="I401" s="9"/>
      <c r="J401" s="9"/>
      <c r="K401" s="3" t="s">
        <v>50</v>
      </c>
      <c r="L401" s="185" t="s">
        <v>55</v>
      </c>
      <c r="M401" s="185"/>
      <c r="N401" s="3"/>
      <c r="O401" s="3"/>
      <c r="P401" s="221"/>
      <c r="Q401" s="221"/>
      <c r="R401" s="281">
        <f>R388/11*100</f>
        <v>100</v>
      </c>
      <c r="S401" s="281"/>
      <c r="T401" s="294">
        <f t="shared" si="69"/>
        <v>100</v>
      </c>
      <c r="U401" s="294"/>
      <c r="V401" s="69"/>
      <c r="W401" s="10">
        <f>W388/11*100</f>
        <v>100</v>
      </c>
      <c r="X401" s="69">
        <f t="shared" si="65"/>
        <v>100</v>
      </c>
      <c r="Y401" s="6"/>
      <c r="Z401" s="6">
        <f t="shared" si="68"/>
        <v>0</v>
      </c>
      <c r="AA401" s="6">
        <f>Z401</f>
        <v>0</v>
      </c>
    </row>
    <row r="402" spans="1:29" ht="20.100000000000001" customHeight="1" x14ac:dyDescent="0.25">
      <c r="A402" s="49"/>
      <c r="B402" s="43"/>
      <c r="C402" s="43"/>
      <c r="D402" s="43"/>
      <c r="E402" s="43"/>
      <c r="F402" s="43"/>
      <c r="G402" s="43"/>
      <c r="H402" s="43"/>
      <c r="I402" s="43"/>
      <c r="J402" s="43"/>
      <c r="T402" s="399"/>
      <c r="U402" s="399"/>
      <c r="Y402" s="76"/>
    </row>
    <row r="403" spans="1:29" ht="22.5" customHeight="1" x14ac:dyDescent="0.25">
      <c r="A403" s="49"/>
      <c r="B403" s="256" t="s">
        <v>182</v>
      </c>
      <c r="C403" s="257"/>
      <c r="D403" s="257"/>
      <c r="E403" s="257"/>
      <c r="F403" s="257"/>
      <c r="G403" s="257"/>
      <c r="H403" s="257"/>
      <c r="I403" s="257"/>
      <c r="J403" s="257"/>
      <c r="K403" s="257"/>
      <c r="L403" s="257"/>
      <c r="M403" s="257"/>
      <c r="N403" s="257"/>
      <c r="O403" s="257"/>
      <c r="P403" s="257"/>
      <c r="Q403" s="257"/>
      <c r="R403" s="257"/>
      <c r="S403" s="257"/>
      <c r="T403" s="257"/>
      <c r="U403" s="257"/>
      <c r="V403" s="257"/>
      <c r="W403" s="257"/>
      <c r="X403" s="257"/>
      <c r="Y403" s="257"/>
      <c r="Z403" s="257"/>
      <c r="AA403" s="257"/>
    </row>
    <row r="404" spans="1:29" ht="20.100000000000001" customHeight="1" x14ac:dyDescent="0.25">
      <c r="A404" s="49"/>
      <c r="B404" s="262" t="s">
        <v>188</v>
      </c>
      <c r="C404" s="263"/>
      <c r="D404" s="263"/>
      <c r="E404" s="263"/>
      <c r="F404" s="72"/>
      <c r="G404" s="72"/>
      <c r="H404" s="72"/>
      <c r="I404" s="72"/>
      <c r="J404" s="72"/>
      <c r="K404" s="3"/>
      <c r="L404" s="185"/>
      <c r="M404" s="185"/>
      <c r="N404" s="3"/>
      <c r="O404" s="3"/>
      <c r="P404" s="185"/>
      <c r="Q404" s="283"/>
      <c r="R404" s="275"/>
      <c r="S404" s="276"/>
      <c r="T404" s="221"/>
      <c r="U404" s="221"/>
      <c r="V404" s="46"/>
      <c r="W404" s="46"/>
      <c r="X404" s="46"/>
      <c r="Y404" s="46"/>
      <c r="Z404" s="46"/>
      <c r="AA404" s="46"/>
    </row>
    <row r="405" spans="1:29" ht="20.100000000000001" customHeight="1" x14ac:dyDescent="0.25">
      <c r="A405" s="49">
        <v>1</v>
      </c>
      <c r="B405" s="244" t="s">
        <v>56</v>
      </c>
      <c r="C405" s="277"/>
      <c r="D405" s="277"/>
      <c r="E405" s="277"/>
      <c r="F405" s="73"/>
      <c r="G405" s="73"/>
      <c r="H405" s="73"/>
      <c r="I405" s="73"/>
      <c r="J405" s="73"/>
      <c r="K405" s="3" t="s">
        <v>46</v>
      </c>
      <c r="L405" s="185" t="s">
        <v>44</v>
      </c>
      <c r="M405" s="185"/>
      <c r="N405" s="3"/>
      <c r="O405" s="3"/>
      <c r="P405" s="278">
        <f>4085100-166600-412988-100000</f>
        <v>3405512</v>
      </c>
      <c r="Q405" s="278"/>
      <c r="R405" s="260"/>
      <c r="S405" s="261"/>
      <c r="T405" s="291">
        <f>P405</f>
        <v>3405512</v>
      </c>
      <c r="U405" s="226"/>
      <c r="V405" s="6">
        <v>3394609.72</v>
      </c>
      <c r="W405" s="6"/>
      <c r="X405" s="6">
        <f>V405</f>
        <v>3394609.72</v>
      </c>
      <c r="Y405" s="6">
        <f>V405-P405</f>
        <v>-10902.279999999795</v>
      </c>
      <c r="Z405" s="4"/>
      <c r="AA405" s="6">
        <f>Y405</f>
        <v>-10902.279999999795</v>
      </c>
    </row>
    <row r="406" spans="1:29" ht="20.100000000000001" customHeight="1" x14ac:dyDescent="0.25">
      <c r="A406" s="49"/>
      <c r="B406" s="181" t="s">
        <v>321</v>
      </c>
      <c r="C406" s="198"/>
      <c r="D406" s="198"/>
      <c r="E406" s="198"/>
      <c r="F406" s="198"/>
      <c r="G406" s="198"/>
      <c r="H406" s="198"/>
      <c r="I406" s="198"/>
      <c r="J406" s="198"/>
      <c r="K406" s="198"/>
      <c r="L406" s="198"/>
      <c r="M406" s="198"/>
      <c r="N406" s="198"/>
      <c r="O406" s="198"/>
      <c r="P406" s="198"/>
      <c r="Q406" s="198"/>
      <c r="R406" s="198"/>
      <c r="S406" s="198"/>
      <c r="T406" s="198"/>
      <c r="U406" s="198"/>
      <c r="V406" s="198"/>
      <c r="W406" s="198"/>
      <c r="X406" s="198"/>
      <c r="Y406" s="198"/>
      <c r="Z406" s="198"/>
      <c r="AA406" s="198"/>
      <c r="AC406" s="61"/>
    </row>
    <row r="407" spans="1:29" ht="20.100000000000001" customHeight="1" x14ac:dyDescent="0.25">
      <c r="A407" s="49"/>
      <c r="B407" s="262" t="s">
        <v>324</v>
      </c>
      <c r="C407" s="263"/>
      <c r="D407" s="263"/>
      <c r="E407" s="263"/>
      <c r="F407" s="72"/>
      <c r="G407" s="72"/>
      <c r="H407" s="72"/>
      <c r="I407" s="72"/>
      <c r="J407" s="72"/>
      <c r="K407" s="3"/>
      <c r="L407" s="185"/>
      <c r="M407" s="185"/>
      <c r="N407" s="3"/>
      <c r="O407" s="3"/>
      <c r="P407" s="185"/>
      <c r="Q407" s="185"/>
      <c r="R407" s="260"/>
      <c r="S407" s="261"/>
      <c r="T407" s="226"/>
      <c r="U407" s="226"/>
      <c r="V407" s="4"/>
      <c r="W407" s="4"/>
      <c r="X407" s="4"/>
      <c r="Y407" s="6"/>
      <c r="Z407" s="4"/>
      <c r="AA407" s="6"/>
    </row>
    <row r="408" spans="1:29" ht="20.100000000000001" customHeight="1" x14ac:dyDescent="0.25">
      <c r="A408" s="49">
        <v>1</v>
      </c>
      <c r="B408" s="208" t="s">
        <v>183</v>
      </c>
      <c r="C408" s="209"/>
      <c r="D408" s="209"/>
      <c r="E408" s="209"/>
      <c r="F408" s="9"/>
      <c r="G408" s="9"/>
      <c r="H408" s="9"/>
      <c r="I408" s="9"/>
      <c r="J408" s="9"/>
      <c r="K408" s="3" t="s">
        <v>48</v>
      </c>
      <c r="L408" s="185" t="s">
        <v>184</v>
      </c>
      <c r="M408" s="185"/>
      <c r="N408" s="3"/>
      <c r="O408" s="3"/>
      <c r="P408" s="251">
        <v>22</v>
      </c>
      <c r="Q408" s="251"/>
      <c r="R408" s="260"/>
      <c r="S408" s="261"/>
      <c r="T408" s="216">
        <f>P408</f>
        <v>22</v>
      </c>
      <c r="U408" s="226"/>
      <c r="V408" s="4">
        <v>22</v>
      </c>
      <c r="W408" s="4"/>
      <c r="X408" s="4">
        <f>V408</f>
        <v>22</v>
      </c>
      <c r="Y408" s="6">
        <f>V408-P408</f>
        <v>0</v>
      </c>
      <c r="Z408" s="4"/>
      <c r="AA408" s="6">
        <f>Y408</f>
        <v>0</v>
      </c>
    </row>
    <row r="409" spans="1:29" ht="53.25" customHeight="1" x14ac:dyDescent="0.25">
      <c r="A409" s="49">
        <v>2</v>
      </c>
      <c r="B409" s="273" t="s">
        <v>314</v>
      </c>
      <c r="C409" s="273"/>
      <c r="D409" s="273"/>
      <c r="E409" s="274"/>
      <c r="F409" s="9"/>
      <c r="G409" s="9"/>
      <c r="H409" s="9"/>
      <c r="I409" s="9"/>
      <c r="J409" s="9"/>
      <c r="K409" s="3" t="s">
        <v>48</v>
      </c>
      <c r="L409" s="185" t="s">
        <v>55</v>
      </c>
      <c r="M409" s="185"/>
      <c r="N409" s="3"/>
      <c r="O409" s="3"/>
      <c r="P409" s="251">
        <v>800</v>
      </c>
      <c r="Q409" s="251"/>
      <c r="R409" s="260"/>
      <c r="S409" s="261"/>
      <c r="T409" s="216">
        <f>P409</f>
        <v>800</v>
      </c>
      <c r="U409" s="226"/>
      <c r="V409" s="4">
        <v>1141</v>
      </c>
      <c r="W409" s="4"/>
      <c r="X409" s="4">
        <f>V409</f>
        <v>1141</v>
      </c>
      <c r="Y409" s="106">
        <f>V409-P409</f>
        <v>341</v>
      </c>
      <c r="Z409" s="106"/>
      <c r="AA409" s="106">
        <f>Y409</f>
        <v>341</v>
      </c>
    </row>
    <row r="410" spans="1:29" ht="19.5" customHeight="1" x14ac:dyDescent="0.25">
      <c r="A410" s="49"/>
      <c r="B410" s="181" t="s">
        <v>322</v>
      </c>
      <c r="C410" s="198"/>
      <c r="D410" s="198"/>
      <c r="E410" s="198"/>
      <c r="F410" s="198"/>
      <c r="G410" s="198"/>
      <c r="H410" s="198"/>
      <c r="I410" s="198"/>
      <c r="J410" s="198"/>
      <c r="K410" s="198"/>
      <c r="L410" s="198"/>
      <c r="M410" s="198"/>
      <c r="N410" s="198"/>
      <c r="O410" s="198"/>
      <c r="P410" s="198"/>
      <c r="Q410" s="198"/>
      <c r="R410" s="198"/>
      <c r="S410" s="198"/>
      <c r="T410" s="198"/>
      <c r="U410" s="198"/>
      <c r="V410" s="198"/>
      <c r="W410" s="198"/>
      <c r="X410" s="198"/>
      <c r="Y410" s="198"/>
      <c r="Z410" s="198"/>
      <c r="AA410" s="198"/>
    </row>
    <row r="411" spans="1:29" ht="20.100000000000001" customHeight="1" x14ac:dyDescent="0.25">
      <c r="A411" s="49"/>
      <c r="B411" s="262" t="s">
        <v>327</v>
      </c>
      <c r="C411" s="263"/>
      <c r="D411" s="263"/>
      <c r="E411" s="263"/>
      <c r="F411" s="72"/>
      <c r="G411" s="72"/>
      <c r="H411" s="72"/>
      <c r="I411" s="72"/>
      <c r="J411" s="72"/>
      <c r="K411" s="3"/>
      <c r="L411" s="185"/>
      <c r="M411" s="185"/>
      <c r="N411" s="3"/>
      <c r="O411" s="3"/>
      <c r="P411" s="185"/>
      <c r="Q411" s="185"/>
      <c r="R411" s="260"/>
      <c r="S411" s="261"/>
      <c r="T411" s="226"/>
      <c r="U411" s="226"/>
      <c r="V411" s="4"/>
      <c r="W411" s="4"/>
      <c r="X411" s="4"/>
      <c r="Y411" s="6"/>
      <c r="Z411" s="4"/>
      <c r="AA411" s="6"/>
    </row>
    <row r="412" spans="1:29" ht="68.25" customHeight="1" x14ac:dyDescent="0.25">
      <c r="A412" s="49">
        <v>1</v>
      </c>
      <c r="B412" s="243" t="s">
        <v>315</v>
      </c>
      <c r="C412" s="243"/>
      <c r="D412" s="243"/>
      <c r="E412" s="244"/>
      <c r="F412" s="72"/>
      <c r="G412" s="72"/>
      <c r="H412" s="72"/>
      <c r="I412" s="72"/>
      <c r="J412" s="72"/>
      <c r="K412" s="3" t="s">
        <v>48</v>
      </c>
      <c r="L412" s="185" t="s">
        <v>55</v>
      </c>
      <c r="M412" s="185"/>
      <c r="N412" s="3"/>
      <c r="O412" s="3"/>
      <c r="P412" s="411">
        <f>P409/16</f>
        <v>50</v>
      </c>
      <c r="Q412" s="412"/>
      <c r="R412" s="409"/>
      <c r="S412" s="410"/>
      <c r="T412" s="388">
        <f>P412</f>
        <v>50</v>
      </c>
      <c r="U412" s="388"/>
      <c r="V412" s="132">
        <f>V409/14</f>
        <v>81.5</v>
      </c>
      <c r="W412" s="138"/>
      <c r="X412" s="117">
        <f>V412</f>
        <v>81.5</v>
      </c>
      <c r="Y412" s="106">
        <f>V412-P412</f>
        <v>31.5</v>
      </c>
      <c r="Z412" s="106"/>
      <c r="AA412" s="106">
        <f>Y412</f>
        <v>31.5</v>
      </c>
    </row>
    <row r="413" spans="1:29" ht="36" customHeight="1" x14ac:dyDescent="0.25">
      <c r="A413" s="49">
        <v>2</v>
      </c>
      <c r="B413" s="208" t="s">
        <v>185</v>
      </c>
      <c r="C413" s="209"/>
      <c r="D413" s="209"/>
      <c r="E413" s="209"/>
      <c r="F413" s="9"/>
      <c r="G413" s="9"/>
      <c r="H413" s="9"/>
      <c r="I413" s="9"/>
      <c r="J413" s="9"/>
      <c r="K413" s="3" t="s">
        <v>46</v>
      </c>
      <c r="L413" s="185" t="s">
        <v>55</v>
      </c>
      <c r="M413" s="185"/>
      <c r="N413" s="3"/>
      <c r="O413" s="3"/>
      <c r="P413" s="217">
        <f>(2929.449+641.051-166.6-307.715-67.04)*1000/P408</f>
        <v>137688.40909090909</v>
      </c>
      <c r="Q413" s="217"/>
      <c r="R413" s="258"/>
      <c r="S413" s="259"/>
      <c r="T413" s="217">
        <f>P413</f>
        <v>137688.40909090909</v>
      </c>
      <c r="U413" s="217"/>
      <c r="V413" s="1">
        <f>(2483656.17+545487.46-8987.86)/22</f>
        <v>137279.80772727274</v>
      </c>
      <c r="W413" s="1"/>
      <c r="X413" s="6">
        <f>V413</f>
        <v>137279.80772727274</v>
      </c>
      <c r="Y413" s="6">
        <f>V413-P413</f>
        <v>-408.60136363634956</v>
      </c>
      <c r="Z413" s="6"/>
      <c r="AA413" s="6">
        <f>Y413</f>
        <v>-408.60136363634956</v>
      </c>
      <c r="AC413" s="61"/>
    </row>
    <row r="414" spans="1:29" ht="37.5" customHeight="1" x14ac:dyDescent="0.25">
      <c r="A414" s="49">
        <v>3</v>
      </c>
      <c r="B414" s="208" t="s">
        <v>186</v>
      </c>
      <c r="C414" s="209"/>
      <c r="D414" s="209"/>
      <c r="E414" s="209"/>
      <c r="F414" s="9"/>
      <c r="G414" s="9"/>
      <c r="H414" s="9"/>
      <c r="I414" s="9"/>
      <c r="J414" s="9"/>
      <c r="K414" s="3" t="s">
        <v>46</v>
      </c>
      <c r="L414" s="185" t="s">
        <v>55</v>
      </c>
      <c r="M414" s="185"/>
      <c r="N414" s="3"/>
      <c r="O414" s="3"/>
      <c r="P414" s="217">
        <f>(84634-42242)/P408</f>
        <v>1926.909090909091</v>
      </c>
      <c r="Q414" s="217"/>
      <c r="R414" s="258"/>
      <c r="S414" s="259"/>
      <c r="T414" s="217">
        <f>P414</f>
        <v>1926.909090909091</v>
      </c>
      <c r="U414" s="217"/>
      <c r="V414" s="1">
        <f>(2170.52+15088.87+23160.8)/22</f>
        <v>1837.2813636363637</v>
      </c>
      <c r="W414" s="1"/>
      <c r="X414" s="6">
        <f>V414</f>
        <v>1837.2813636363637</v>
      </c>
      <c r="Y414" s="6">
        <f>V414-P414</f>
        <v>-89.62772727272727</v>
      </c>
      <c r="Z414" s="6"/>
      <c r="AA414" s="6">
        <f>Y414</f>
        <v>-89.62772727272727</v>
      </c>
    </row>
    <row r="415" spans="1:29" ht="33.75" customHeight="1" x14ac:dyDescent="0.25">
      <c r="A415" s="49">
        <v>4</v>
      </c>
      <c r="B415" s="208" t="s">
        <v>187</v>
      </c>
      <c r="C415" s="209"/>
      <c r="D415" s="209"/>
      <c r="E415" s="209"/>
      <c r="F415" s="9"/>
      <c r="G415" s="9"/>
      <c r="H415" s="9"/>
      <c r="I415" s="9"/>
      <c r="J415" s="9"/>
      <c r="K415" s="3" t="s">
        <v>46</v>
      </c>
      <c r="L415" s="185" t="s">
        <v>55</v>
      </c>
      <c r="M415" s="185"/>
      <c r="N415" s="3"/>
      <c r="O415" s="3"/>
      <c r="P415" s="217">
        <f>(232349-82176)/P408</f>
        <v>6826.045454545455</v>
      </c>
      <c r="Q415" s="217"/>
      <c r="R415" s="258"/>
      <c r="S415" s="259"/>
      <c r="T415" s="217">
        <f>P415</f>
        <v>6826.045454545455</v>
      </c>
      <c r="U415" s="217"/>
      <c r="V415" s="1">
        <f>(21204.7+112124.08+18089)/22</f>
        <v>6882.6263636363637</v>
      </c>
      <c r="W415" s="1"/>
      <c r="X415" s="6">
        <f>V415</f>
        <v>6882.6263636363637</v>
      </c>
      <c r="Y415" s="6">
        <f>V415-P415</f>
        <v>56.58090909090879</v>
      </c>
      <c r="Z415" s="6"/>
      <c r="AA415" s="6">
        <f>Y415</f>
        <v>56.58090909090879</v>
      </c>
    </row>
    <row r="416" spans="1:29" ht="36.75" customHeight="1" x14ac:dyDescent="0.25">
      <c r="A416" s="49"/>
      <c r="B416" s="181" t="s">
        <v>338</v>
      </c>
      <c r="C416" s="198"/>
      <c r="D416" s="198"/>
      <c r="E416" s="198"/>
      <c r="F416" s="198"/>
      <c r="G416" s="198"/>
      <c r="H416" s="198"/>
      <c r="I416" s="198"/>
      <c r="J416" s="198"/>
      <c r="K416" s="198"/>
      <c r="L416" s="198"/>
      <c r="M416" s="198"/>
      <c r="N416" s="198"/>
      <c r="O416" s="198"/>
      <c r="P416" s="198"/>
      <c r="Q416" s="198"/>
      <c r="R416" s="198"/>
      <c r="S416" s="198"/>
      <c r="T416" s="198"/>
      <c r="U416" s="198"/>
      <c r="V416" s="198"/>
      <c r="W416" s="198"/>
      <c r="X416" s="198"/>
      <c r="Y416" s="198"/>
      <c r="Z416" s="198"/>
      <c r="AA416" s="198"/>
    </row>
    <row r="417" spans="1:29" ht="19.5" customHeight="1" x14ac:dyDescent="0.25">
      <c r="A417" s="49"/>
      <c r="B417" s="271" t="s">
        <v>191</v>
      </c>
      <c r="C417" s="272"/>
      <c r="D417" s="272"/>
      <c r="E417" s="272"/>
      <c r="F417" s="272"/>
      <c r="G417" s="272"/>
      <c r="H417" s="272"/>
      <c r="I417" s="272"/>
      <c r="J417" s="272"/>
      <c r="K417" s="3"/>
      <c r="L417" s="214"/>
      <c r="M417" s="227"/>
      <c r="N417" s="3"/>
      <c r="O417" s="3"/>
      <c r="P417" s="268"/>
      <c r="Q417" s="269"/>
      <c r="R417" s="258"/>
      <c r="S417" s="259"/>
      <c r="T417" s="268"/>
      <c r="U417" s="269"/>
      <c r="V417" s="1"/>
      <c r="W417" s="1"/>
      <c r="X417" s="6"/>
      <c r="Y417" s="6"/>
      <c r="Z417" s="6"/>
      <c r="AA417" s="6"/>
    </row>
    <row r="418" spans="1:29" ht="98.25" customHeight="1" x14ac:dyDescent="0.25">
      <c r="A418" s="49">
        <v>1</v>
      </c>
      <c r="B418" s="270" t="s">
        <v>316</v>
      </c>
      <c r="C418" s="201"/>
      <c r="D418" s="201"/>
      <c r="E418" s="201"/>
      <c r="F418" s="201"/>
      <c r="G418" s="201"/>
      <c r="H418" s="201"/>
      <c r="I418" s="201"/>
      <c r="J418" s="201"/>
      <c r="K418" s="5" t="s">
        <v>50</v>
      </c>
      <c r="L418" s="185" t="s">
        <v>55</v>
      </c>
      <c r="M418" s="185"/>
      <c r="N418" s="46"/>
      <c r="O418" s="46"/>
      <c r="P418" s="264">
        <f>800/431*100</f>
        <v>185.61484918793502</v>
      </c>
      <c r="Q418" s="265"/>
      <c r="R418" s="264"/>
      <c r="S418" s="265"/>
      <c r="T418" s="266">
        <f>P418</f>
        <v>185.61484918793502</v>
      </c>
      <c r="U418" s="267"/>
      <c r="V418" s="69">
        <v>264.73</v>
      </c>
      <c r="W418" s="69"/>
      <c r="X418" s="69">
        <f>V418</f>
        <v>264.73</v>
      </c>
      <c r="Y418" s="69">
        <f>V418-P418</f>
        <v>79.115150812064996</v>
      </c>
      <c r="Z418" s="69"/>
      <c r="AA418" s="69">
        <f>Y418</f>
        <v>79.115150812064996</v>
      </c>
      <c r="AC418" s="173" t="s">
        <v>320</v>
      </c>
    </row>
    <row r="419" spans="1:29" ht="36" customHeight="1" x14ac:dyDescent="0.25">
      <c r="A419" s="46"/>
      <c r="B419" s="355" t="s">
        <v>402</v>
      </c>
      <c r="C419" s="355"/>
      <c r="D419" s="355"/>
      <c r="E419" s="355"/>
      <c r="F419" s="355"/>
      <c r="G419" s="355"/>
      <c r="H419" s="355"/>
      <c r="I419" s="355"/>
      <c r="J419" s="355"/>
      <c r="K419" s="355"/>
      <c r="L419" s="355"/>
      <c r="M419" s="355"/>
      <c r="N419" s="355"/>
      <c r="O419" s="355"/>
      <c r="P419" s="355"/>
      <c r="Q419" s="355"/>
      <c r="R419" s="355"/>
      <c r="S419" s="355"/>
      <c r="T419" s="355"/>
      <c r="U419" s="355"/>
      <c r="V419" s="355"/>
      <c r="W419" s="355"/>
      <c r="X419" s="355"/>
      <c r="Y419" s="355"/>
      <c r="Z419" s="355"/>
      <c r="AA419" s="355"/>
    </row>
    <row r="420" spans="1:29" x14ac:dyDescent="0.25">
      <c r="B420" s="43"/>
      <c r="C420" s="43"/>
      <c r="D420" s="43"/>
      <c r="E420" s="43"/>
      <c r="F420" s="43"/>
      <c r="G420" s="43"/>
      <c r="H420" s="43"/>
      <c r="I420" s="43"/>
      <c r="J420" s="43"/>
    </row>
    <row r="421" spans="1:29" x14ac:dyDescent="0.25">
      <c r="B421" s="43"/>
      <c r="C421" s="43"/>
      <c r="D421" s="43"/>
      <c r="E421" s="43"/>
      <c r="F421" s="43"/>
      <c r="G421" s="43"/>
      <c r="H421" s="43"/>
      <c r="I421" s="43"/>
      <c r="J421" s="43"/>
    </row>
    <row r="422" spans="1:29" ht="15.75" x14ac:dyDescent="0.25">
      <c r="B422" s="110" t="s">
        <v>267</v>
      </c>
      <c r="C422" s="43"/>
      <c r="D422" s="43"/>
      <c r="E422" s="43"/>
      <c r="F422" s="43"/>
      <c r="G422" s="43"/>
      <c r="H422" s="43"/>
      <c r="I422" s="43"/>
      <c r="J422" s="43"/>
    </row>
    <row r="423" spans="1:29" x14ac:dyDescent="0.25">
      <c r="B423" s="43"/>
      <c r="C423" s="43"/>
      <c r="D423" s="43"/>
      <c r="E423" s="43"/>
      <c r="F423" s="43"/>
      <c r="G423" s="43"/>
      <c r="H423" s="43"/>
      <c r="I423" s="43"/>
      <c r="J423" s="43"/>
    </row>
    <row r="424" spans="1:29" ht="15.75" x14ac:dyDescent="0.25">
      <c r="B424" s="110" t="s">
        <v>339</v>
      </c>
      <c r="C424" s="43"/>
      <c r="D424" s="43"/>
      <c r="E424" s="43"/>
      <c r="F424" s="43"/>
      <c r="G424" s="43"/>
      <c r="H424" s="43"/>
      <c r="I424" s="43"/>
      <c r="J424" s="43"/>
    </row>
    <row r="430" spans="1:29" ht="15.75" x14ac:dyDescent="0.25">
      <c r="B430" s="34" t="s">
        <v>23</v>
      </c>
    </row>
    <row r="431" spans="1:29" ht="15.75" x14ac:dyDescent="0.25">
      <c r="B431" s="79" t="s">
        <v>24</v>
      </c>
      <c r="M431" s="346"/>
      <c r="N431" s="346"/>
      <c r="O431" s="346"/>
      <c r="P431" s="346"/>
      <c r="T431" s="348" t="s">
        <v>27</v>
      </c>
      <c r="U431" s="348"/>
    </row>
    <row r="432" spans="1:29" x14ac:dyDescent="0.25">
      <c r="M432" s="345" t="s">
        <v>25</v>
      </c>
      <c r="N432" s="345"/>
      <c r="O432" s="345"/>
      <c r="P432" s="345"/>
      <c r="T432" s="80" t="s">
        <v>26</v>
      </c>
    </row>
    <row r="433" spans="2:21" ht="15.75" x14ac:dyDescent="0.25">
      <c r="B433" s="96" t="s">
        <v>23</v>
      </c>
    </row>
    <row r="434" spans="2:21" ht="15.75" x14ac:dyDescent="0.25">
      <c r="B434" s="174" t="s">
        <v>24</v>
      </c>
      <c r="M434" s="346"/>
      <c r="N434" s="346"/>
      <c r="O434" s="346"/>
      <c r="P434" s="346"/>
      <c r="T434" s="347" t="s">
        <v>403</v>
      </c>
      <c r="U434" s="348"/>
    </row>
    <row r="435" spans="2:21" x14ac:dyDescent="0.25">
      <c r="M435" s="345" t="s">
        <v>25</v>
      </c>
      <c r="N435" s="345"/>
      <c r="O435" s="345"/>
      <c r="P435" s="345"/>
      <c r="T435" s="80" t="s">
        <v>26</v>
      </c>
    </row>
  </sheetData>
  <mergeCells count="1536">
    <mergeCell ref="B139:AA139"/>
    <mergeCell ref="B140:AA140"/>
    <mergeCell ref="B237:AA237"/>
    <mergeCell ref="B272:AA272"/>
    <mergeCell ref="B275:AA275"/>
    <mergeCell ref="B295:AA295"/>
    <mergeCell ref="R252:S252"/>
    <mergeCell ref="R283:S283"/>
    <mergeCell ref="R284:S284"/>
    <mergeCell ref="R285:S285"/>
    <mergeCell ref="C31:Y31"/>
    <mergeCell ref="B58:X58"/>
    <mergeCell ref="B60:X60"/>
    <mergeCell ref="B62:X62"/>
    <mergeCell ref="B64:X64"/>
    <mergeCell ref="B66:X66"/>
    <mergeCell ref="C38:Y38"/>
    <mergeCell ref="C39:Y39"/>
    <mergeCell ref="C40:Y40"/>
    <mergeCell ref="C41:Y41"/>
    <mergeCell ref="C32:Y32"/>
    <mergeCell ref="C33:Y33"/>
    <mergeCell ref="C34:Y34"/>
    <mergeCell ref="C35:Y35"/>
    <mergeCell ref="C36:Y36"/>
    <mergeCell ref="C37:Y37"/>
    <mergeCell ref="T55:U55"/>
    <mergeCell ref="B50:E50"/>
    <mergeCell ref="B52:E52"/>
    <mergeCell ref="C42:Y42"/>
    <mergeCell ref="C43:Y43"/>
    <mergeCell ref="P61:Q61"/>
    <mergeCell ref="B53:E53"/>
    <mergeCell ref="B57:E57"/>
    <mergeCell ref="P53:Q53"/>
    <mergeCell ref="T261:U261"/>
    <mergeCell ref="R261:S261"/>
    <mergeCell ref="B258:E258"/>
    <mergeCell ref="B259:E259"/>
    <mergeCell ref="M19:P19"/>
    <mergeCell ref="M20:P20"/>
    <mergeCell ref="R20:X20"/>
    <mergeCell ref="R19:X19"/>
    <mergeCell ref="B68:X68"/>
    <mergeCell ref="B70:X70"/>
    <mergeCell ref="R366:S366"/>
    <mergeCell ref="R367:S367"/>
    <mergeCell ref="B136:AA136"/>
    <mergeCell ref="B138:AA138"/>
    <mergeCell ref="B168:AA168"/>
    <mergeCell ref="B174:AA174"/>
    <mergeCell ref="R360:S360"/>
    <mergeCell ref="R352:S352"/>
    <mergeCell ref="R361:S361"/>
    <mergeCell ref="T252:U252"/>
    <mergeCell ref="B344:E344"/>
    <mergeCell ref="R347:S347"/>
    <mergeCell ref="L345:M345"/>
    <mergeCell ref="B263:AA263"/>
    <mergeCell ref="R325:S325"/>
    <mergeCell ref="R328:S328"/>
    <mergeCell ref="B319:AA319"/>
    <mergeCell ref="B329:AA329"/>
    <mergeCell ref="B343:AA343"/>
    <mergeCell ref="R341:S341"/>
    <mergeCell ref="R337:S337"/>
    <mergeCell ref="R309:S309"/>
    <mergeCell ref="R336:S336"/>
    <mergeCell ref="R338:S338"/>
    <mergeCell ref="R235:S235"/>
    <mergeCell ref="B254:AA254"/>
    <mergeCell ref="L261:M261"/>
    <mergeCell ref="B261:E261"/>
    <mergeCell ref="P261:Q261"/>
    <mergeCell ref="R320:S320"/>
    <mergeCell ref="R348:S348"/>
    <mergeCell ref="R365:S365"/>
    <mergeCell ref="R359:S359"/>
    <mergeCell ref="R353:S353"/>
    <mergeCell ref="R354:S354"/>
    <mergeCell ref="R356:S356"/>
    <mergeCell ref="R364:S364"/>
    <mergeCell ref="R363:S363"/>
    <mergeCell ref="R357:S357"/>
    <mergeCell ref="R351:S351"/>
    <mergeCell ref="R358:S358"/>
    <mergeCell ref="R362:S362"/>
    <mergeCell ref="R308:S308"/>
    <mergeCell ref="R321:S321"/>
    <mergeCell ref="R314:S314"/>
    <mergeCell ref="R311:S311"/>
    <mergeCell ref="R340:S340"/>
    <mergeCell ref="R334:S334"/>
    <mergeCell ref="R312:S312"/>
    <mergeCell ref="R313:S313"/>
    <mergeCell ref="R306:S306"/>
    <mergeCell ref="R307:S307"/>
    <mergeCell ref="R318:S318"/>
    <mergeCell ref="R316:S316"/>
    <mergeCell ref="R317:S317"/>
    <mergeCell ref="R310:S310"/>
    <mergeCell ref="R297:S297"/>
    <mergeCell ref="T297:U297"/>
    <mergeCell ref="T299:U299"/>
    <mergeCell ref="B305:J305"/>
    <mergeCell ref="R301:S301"/>
    <mergeCell ref="R302:S302"/>
    <mergeCell ref="R303:S303"/>
    <mergeCell ref="R298:S298"/>
    <mergeCell ref="R304:S304"/>
    <mergeCell ref="L298:M298"/>
    <mergeCell ref="P281:Q281"/>
    <mergeCell ref="R286:S286"/>
    <mergeCell ref="L282:M282"/>
    <mergeCell ref="P282:Q282"/>
    <mergeCell ref="L285:M285"/>
    <mergeCell ref="P285:Q285"/>
    <mergeCell ref="L286:M286"/>
    <mergeCell ref="B282:E282"/>
    <mergeCell ref="R276:S276"/>
    <mergeCell ref="B277:E277"/>
    <mergeCell ref="L277:M277"/>
    <mergeCell ref="P277:Q277"/>
    <mergeCell ref="B276:Q276"/>
    <mergeCell ref="B280:E280"/>
    <mergeCell ref="L280:M280"/>
    <mergeCell ref="P280:Q280"/>
    <mergeCell ref="L281:M281"/>
    <mergeCell ref="T289:U289"/>
    <mergeCell ref="T290:U290"/>
    <mergeCell ref="T281:U281"/>
    <mergeCell ref="T287:U287"/>
    <mergeCell ref="T288:U288"/>
    <mergeCell ref="R280:S280"/>
    <mergeCell ref="R287:S287"/>
    <mergeCell ref="R288:S288"/>
    <mergeCell ref="R281:S281"/>
    <mergeCell ref="R282:S282"/>
    <mergeCell ref="T298:U298"/>
    <mergeCell ref="T360:U360"/>
    <mergeCell ref="T380:U380"/>
    <mergeCell ref="T302:U302"/>
    <mergeCell ref="T303:U303"/>
    <mergeCell ref="T304:U304"/>
    <mergeCell ref="T305:U305"/>
    <mergeCell ref="T349:U349"/>
    <mergeCell ref="T351:U351"/>
    <mergeCell ref="T347:U347"/>
    <mergeCell ref="R250:S250"/>
    <mergeCell ref="R251:S251"/>
    <mergeCell ref="R255:S255"/>
    <mergeCell ref="R256:S256"/>
    <mergeCell ref="B253:AA253"/>
    <mergeCell ref="B255:E255"/>
    <mergeCell ref="L255:M255"/>
    <mergeCell ref="T251:U251"/>
    <mergeCell ref="T255:U255"/>
    <mergeCell ref="B250:E250"/>
    <mergeCell ref="R271:S271"/>
    <mergeCell ref="R257:S257"/>
    <mergeCell ref="R258:S258"/>
    <mergeCell ref="R259:S259"/>
    <mergeCell ref="R260:S260"/>
    <mergeCell ref="R264:S264"/>
    <mergeCell ref="R267:S267"/>
    <mergeCell ref="R268:S268"/>
    <mergeCell ref="R265:S265"/>
    <mergeCell ref="R270:S270"/>
    <mergeCell ref="R239:S239"/>
    <mergeCell ref="R240:S240"/>
    <mergeCell ref="R241:S241"/>
    <mergeCell ref="R242:S242"/>
    <mergeCell ref="R248:S248"/>
    <mergeCell ref="R249:S249"/>
    <mergeCell ref="R246:S246"/>
    <mergeCell ref="R247:S247"/>
    <mergeCell ref="R233:S233"/>
    <mergeCell ref="R213:S213"/>
    <mergeCell ref="R214:S214"/>
    <mergeCell ref="R215:S215"/>
    <mergeCell ref="R216:S216"/>
    <mergeCell ref="B218:AA218"/>
    <mergeCell ref="B219:AA219"/>
    <mergeCell ref="B221:AA221"/>
    <mergeCell ref="B214:E214"/>
    <mergeCell ref="L214:M214"/>
    <mergeCell ref="R238:S238"/>
    <mergeCell ref="R217:S217"/>
    <mergeCell ref="R223:S223"/>
    <mergeCell ref="R224:S224"/>
    <mergeCell ref="R225:S225"/>
    <mergeCell ref="B228:AA228"/>
    <mergeCell ref="R229:S229"/>
    <mergeCell ref="R231:S231"/>
    <mergeCell ref="R232:S232"/>
    <mergeCell ref="B223:E223"/>
    <mergeCell ref="T201:U201"/>
    <mergeCell ref="T202:U202"/>
    <mergeCell ref="T203:U203"/>
    <mergeCell ref="R203:S203"/>
    <mergeCell ref="R212:S212"/>
    <mergeCell ref="R200:S200"/>
    <mergeCell ref="R201:S201"/>
    <mergeCell ref="R202:S202"/>
    <mergeCell ref="R204:S204"/>
    <mergeCell ref="R205:S205"/>
    <mergeCell ref="R188:S188"/>
    <mergeCell ref="R189:S189"/>
    <mergeCell ref="R206:S206"/>
    <mergeCell ref="R207:S207"/>
    <mergeCell ref="R190:S190"/>
    <mergeCell ref="R191:S191"/>
    <mergeCell ref="B196:AA196"/>
    <mergeCell ref="B199:E199"/>
    <mergeCell ref="R192:S192"/>
    <mergeCell ref="R193:S193"/>
    <mergeCell ref="L193:M193"/>
    <mergeCell ref="P193:Q193"/>
    <mergeCell ref="B192:J192"/>
    <mergeCell ref="R211:S211"/>
    <mergeCell ref="R198:S198"/>
    <mergeCell ref="B195:AA195"/>
    <mergeCell ref="B197:AA197"/>
    <mergeCell ref="T211:U211"/>
    <mergeCell ref="B208:AA208"/>
    <mergeCell ref="B198:E198"/>
    <mergeCell ref="R185:S185"/>
    <mergeCell ref="R186:S186"/>
    <mergeCell ref="R187:S187"/>
    <mergeCell ref="L192:M192"/>
    <mergeCell ref="P192:Q192"/>
    <mergeCell ref="R199:S199"/>
    <mergeCell ref="L190:M190"/>
    <mergeCell ref="P190:Q190"/>
    <mergeCell ref="P188:Q188"/>
    <mergeCell ref="L198:M198"/>
    <mergeCell ref="L176:M176"/>
    <mergeCell ref="R183:S183"/>
    <mergeCell ref="R184:S184"/>
    <mergeCell ref="R171:S171"/>
    <mergeCell ref="B180:AA180"/>
    <mergeCell ref="B175:E175"/>
    <mergeCell ref="L175:M175"/>
    <mergeCell ref="P175:Q175"/>
    <mergeCell ref="B176:E176"/>
    <mergeCell ref="B177:E177"/>
    <mergeCell ref="L177:M177"/>
    <mergeCell ref="P177:Q177"/>
    <mergeCell ref="T186:U186"/>
    <mergeCell ref="R178:S178"/>
    <mergeCell ref="R182:S182"/>
    <mergeCell ref="B179:AA179"/>
    <mergeCell ref="B178:E178"/>
    <mergeCell ref="L178:M178"/>
    <mergeCell ref="L181:M181"/>
    <mergeCell ref="T184:U184"/>
    <mergeCell ref="R165:S165"/>
    <mergeCell ref="R166:S166"/>
    <mergeCell ref="R167:S167"/>
    <mergeCell ref="R169:S169"/>
    <mergeCell ref="R170:S170"/>
    <mergeCell ref="T183:U183"/>
    <mergeCell ref="T175:U175"/>
    <mergeCell ref="T176:U176"/>
    <mergeCell ref="T169:U169"/>
    <mergeCell ref="T170:U170"/>
    <mergeCell ref="T185:U185"/>
    <mergeCell ref="R177:S177"/>
    <mergeCell ref="R172:S172"/>
    <mergeCell ref="R175:S175"/>
    <mergeCell ref="R176:S176"/>
    <mergeCell ref="R181:S181"/>
    <mergeCell ref="T177:U177"/>
    <mergeCell ref="T178:U178"/>
    <mergeCell ref="T181:U181"/>
    <mergeCell ref="T182:U182"/>
    <mergeCell ref="P157:Q157"/>
    <mergeCell ref="R156:S156"/>
    <mergeCell ref="R157:S157"/>
    <mergeCell ref="R158:S158"/>
    <mergeCell ref="R159:S159"/>
    <mergeCell ref="R162:S162"/>
    <mergeCell ref="R160:S160"/>
    <mergeCell ref="R161:S161"/>
    <mergeCell ref="B162:Q162"/>
    <mergeCell ref="B159:E159"/>
    <mergeCell ref="L147:M147"/>
    <mergeCell ref="R152:S152"/>
    <mergeCell ref="R153:S153"/>
    <mergeCell ref="L155:M155"/>
    <mergeCell ref="P155:Q155"/>
    <mergeCell ref="R154:S154"/>
    <mergeCell ref="R155:S155"/>
    <mergeCell ref="R148:S148"/>
    <mergeCell ref="P143:Q143"/>
    <mergeCell ref="P144:Q144"/>
    <mergeCell ref="L143:M143"/>
    <mergeCell ref="L148:M148"/>
    <mergeCell ref="L144:M144"/>
    <mergeCell ref="L145:M145"/>
    <mergeCell ref="P145:Q145"/>
    <mergeCell ref="P146:Q146"/>
    <mergeCell ref="P148:Q148"/>
    <mergeCell ref="L146:M146"/>
    <mergeCell ref="P128:Q128"/>
    <mergeCell ref="B121:AA121"/>
    <mergeCell ref="L123:M123"/>
    <mergeCell ref="P123:Q123"/>
    <mergeCell ref="P127:Q127"/>
    <mergeCell ref="L126:M126"/>
    <mergeCell ref="L127:M127"/>
    <mergeCell ref="T127:U127"/>
    <mergeCell ref="T128:U128"/>
    <mergeCell ref="L108:M108"/>
    <mergeCell ref="P118:Q118"/>
    <mergeCell ref="P113:Q113"/>
    <mergeCell ref="P114:Q114"/>
    <mergeCell ref="P115:Q115"/>
    <mergeCell ref="P125:Q125"/>
    <mergeCell ref="P116:Q116"/>
    <mergeCell ref="P117:Q117"/>
    <mergeCell ref="P110:Q110"/>
    <mergeCell ref="P108:Q108"/>
    <mergeCell ref="R110:S110"/>
    <mergeCell ref="L124:M124"/>
    <mergeCell ref="L125:M125"/>
    <mergeCell ref="P149:Q149"/>
    <mergeCell ref="P150:Q150"/>
    <mergeCell ref="P151:Q151"/>
    <mergeCell ref="P129:Q129"/>
    <mergeCell ref="P130:Q130"/>
    <mergeCell ref="L129:M129"/>
    <mergeCell ref="L130:M130"/>
    <mergeCell ref="B148:J148"/>
    <mergeCell ref="B149:J149"/>
    <mergeCell ref="B150:J150"/>
    <mergeCell ref="B151:J151"/>
    <mergeCell ref="L149:M149"/>
    <mergeCell ref="L150:M150"/>
    <mergeCell ref="L151:M151"/>
    <mergeCell ref="B143:J143"/>
    <mergeCell ref="P131:Q131"/>
    <mergeCell ref="L141:M141"/>
    <mergeCell ref="B146:J146"/>
    <mergeCell ref="P142:Q142"/>
    <mergeCell ref="L142:M142"/>
    <mergeCell ref="B144:J144"/>
    <mergeCell ref="B145:J145"/>
    <mergeCell ref="B141:E141"/>
    <mergeCell ref="B142:J142"/>
    <mergeCell ref="B147:J147"/>
    <mergeCell ref="P147:Q147"/>
    <mergeCell ref="P124:Q124"/>
    <mergeCell ref="R141:S141"/>
    <mergeCell ref="R142:S142"/>
    <mergeCell ref="R143:S143"/>
    <mergeCell ref="R144:S144"/>
    <mergeCell ref="R146:S146"/>
    <mergeCell ref="P141:Q141"/>
    <mergeCell ref="R147:S147"/>
    <mergeCell ref="R113:S113"/>
    <mergeCell ref="R127:S127"/>
    <mergeCell ref="R134:S134"/>
    <mergeCell ref="R125:S125"/>
    <mergeCell ref="R124:S124"/>
    <mergeCell ref="R117:S117"/>
    <mergeCell ref="R128:S128"/>
    <mergeCell ref="R129:S129"/>
    <mergeCell ref="B122:AA122"/>
    <mergeCell ref="L128:M128"/>
    <mergeCell ref="R130:S130"/>
    <mergeCell ref="R119:S119"/>
    <mergeCell ref="R123:S123"/>
    <mergeCell ref="R126:S126"/>
    <mergeCell ref="R118:S118"/>
    <mergeCell ref="T407:U407"/>
    <mergeCell ref="R132:S132"/>
    <mergeCell ref="R133:S133"/>
    <mergeCell ref="R145:S145"/>
    <mergeCell ref="B137:AA137"/>
    <mergeCell ref="T141:U141"/>
    <mergeCell ref="B135:AA135"/>
    <mergeCell ref="T134:U134"/>
    <mergeCell ref="T132:U132"/>
    <mergeCell ref="T405:U405"/>
    <mergeCell ref="T408:U408"/>
    <mergeCell ref="T404:U404"/>
    <mergeCell ref="T401:U401"/>
    <mergeCell ref="T395:U395"/>
    <mergeCell ref="T396:U396"/>
    <mergeCell ref="T411:U411"/>
    <mergeCell ref="T413:U413"/>
    <mergeCell ref="B406:AA406"/>
    <mergeCell ref="B410:AA410"/>
    <mergeCell ref="R412:S412"/>
    <mergeCell ref="T412:U412"/>
    <mergeCell ref="B412:E412"/>
    <mergeCell ref="L412:M412"/>
    <mergeCell ref="P412:Q412"/>
    <mergeCell ref="R411:S411"/>
    <mergeCell ref="T397:U397"/>
    <mergeCell ref="T402:U402"/>
    <mergeCell ref="B399:AA399"/>
    <mergeCell ref="T391:U391"/>
    <mergeCell ref="T398:U398"/>
    <mergeCell ref="T400:U400"/>
    <mergeCell ref="B395:J395"/>
    <mergeCell ref="B397:J397"/>
    <mergeCell ref="L396:M396"/>
    <mergeCell ref="L393:M393"/>
    <mergeCell ref="T374:U374"/>
    <mergeCell ref="T393:U393"/>
    <mergeCell ref="T388:U388"/>
    <mergeCell ref="T392:U392"/>
    <mergeCell ref="T394:U394"/>
    <mergeCell ref="T376:U376"/>
    <mergeCell ref="T377:U377"/>
    <mergeCell ref="T378:U378"/>
    <mergeCell ref="T389:U389"/>
    <mergeCell ref="T379:U379"/>
    <mergeCell ref="T369:U369"/>
    <mergeCell ref="T383:U383"/>
    <mergeCell ref="T384:U384"/>
    <mergeCell ref="T381:U381"/>
    <mergeCell ref="T382:U382"/>
    <mergeCell ref="B385:AA385"/>
    <mergeCell ref="B375:J375"/>
    <mergeCell ref="B376:J376"/>
    <mergeCell ref="B377:J377"/>
    <mergeCell ref="L370:M370"/>
    <mergeCell ref="B386:AA386"/>
    <mergeCell ref="T365:U365"/>
    <mergeCell ref="T387:U387"/>
    <mergeCell ref="T370:U370"/>
    <mergeCell ref="T371:U371"/>
    <mergeCell ref="T372:U372"/>
    <mergeCell ref="T367:U367"/>
    <mergeCell ref="T368:U368"/>
    <mergeCell ref="T375:U375"/>
    <mergeCell ref="T373:U373"/>
    <mergeCell ref="T366:U366"/>
    <mergeCell ref="T363:U363"/>
    <mergeCell ref="T353:U353"/>
    <mergeCell ref="T354:U354"/>
    <mergeCell ref="T356:U356"/>
    <mergeCell ref="T357:U357"/>
    <mergeCell ref="T358:U358"/>
    <mergeCell ref="T359:U359"/>
    <mergeCell ref="T361:U361"/>
    <mergeCell ref="T362:U362"/>
    <mergeCell ref="T352:U352"/>
    <mergeCell ref="T341:U341"/>
    <mergeCell ref="T344:U344"/>
    <mergeCell ref="T345:U345"/>
    <mergeCell ref="T346:U346"/>
    <mergeCell ref="T334:U334"/>
    <mergeCell ref="B339:AA339"/>
    <mergeCell ref="B338:E338"/>
    <mergeCell ref="L338:M338"/>
    <mergeCell ref="P338:Q338"/>
    <mergeCell ref="L326:M326"/>
    <mergeCell ref="T364:U364"/>
    <mergeCell ref="T342:U342"/>
    <mergeCell ref="R331:S331"/>
    <mergeCell ref="T326:U326"/>
    <mergeCell ref="T327:U327"/>
    <mergeCell ref="T340:U340"/>
    <mergeCell ref="T336:U336"/>
    <mergeCell ref="T337:U337"/>
    <mergeCell ref="T338:U338"/>
    <mergeCell ref="L324:M324"/>
    <mergeCell ref="R323:S323"/>
    <mergeCell ref="R324:S324"/>
    <mergeCell ref="T333:U333"/>
    <mergeCell ref="T324:U324"/>
    <mergeCell ref="T325:U325"/>
    <mergeCell ref="T332:U332"/>
    <mergeCell ref="B330:AA330"/>
    <mergeCell ref="R326:S326"/>
    <mergeCell ref="R332:S332"/>
    <mergeCell ref="T328:U328"/>
    <mergeCell ref="T313:U313"/>
    <mergeCell ref="T314:U314"/>
    <mergeCell ref="T315:U315"/>
    <mergeCell ref="T316:U316"/>
    <mergeCell ref="T317:U317"/>
    <mergeCell ref="T331:U331"/>
    <mergeCell ref="T322:U322"/>
    <mergeCell ref="T323:U323"/>
    <mergeCell ref="T309:U309"/>
    <mergeCell ref="T301:U301"/>
    <mergeCell ref="T306:U306"/>
    <mergeCell ref="T320:U320"/>
    <mergeCell ref="T307:U307"/>
    <mergeCell ref="T308:U308"/>
    <mergeCell ref="T321:U321"/>
    <mergeCell ref="T310:U310"/>
    <mergeCell ref="T311:U311"/>
    <mergeCell ref="T312:U312"/>
    <mergeCell ref="T318:U318"/>
    <mergeCell ref="T300:U300"/>
    <mergeCell ref="T282:U282"/>
    <mergeCell ref="T283:U283"/>
    <mergeCell ref="T284:U284"/>
    <mergeCell ref="T285:U285"/>
    <mergeCell ref="T286:U286"/>
    <mergeCell ref="T293:U293"/>
    <mergeCell ref="T294:U294"/>
    <mergeCell ref="T291:U291"/>
    <mergeCell ref="T280:U280"/>
    <mergeCell ref="T274:U274"/>
    <mergeCell ref="T276:U276"/>
    <mergeCell ref="T277:U277"/>
    <mergeCell ref="T278:U278"/>
    <mergeCell ref="T279:U279"/>
    <mergeCell ref="T292:U292"/>
    <mergeCell ref="R273:S273"/>
    <mergeCell ref="R277:S277"/>
    <mergeCell ref="R278:S278"/>
    <mergeCell ref="R279:S279"/>
    <mergeCell ref="R274:S274"/>
    <mergeCell ref="T265:U265"/>
    <mergeCell ref="T267:U267"/>
    <mergeCell ref="T268:U268"/>
    <mergeCell ref="T270:U270"/>
    <mergeCell ref="T271:U271"/>
    <mergeCell ref="T256:U256"/>
    <mergeCell ref="T257:U257"/>
    <mergeCell ref="T258:U258"/>
    <mergeCell ref="T259:U259"/>
    <mergeCell ref="T264:U264"/>
    <mergeCell ref="T260:U260"/>
    <mergeCell ref="B262:AA262"/>
    <mergeCell ref="L258:M258"/>
    <mergeCell ref="P258:Q258"/>
    <mergeCell ref="P259:Q259"/>
    <mergeCell ref="T273:U273"/>
    <mergeCell ref="T248:U248"/>
    <mergeCell ref="T249:U249"/>
    <mergeCell ref="T250:U250"/>
    <mergeCell ref="B266:AA266"/>
    <mergeCell ref="L248:M248"/>
    <mergeCell ref="P248:Q248"/>
    <mergeCell ref="B257:E257"/>
    <mergeCell ref="L257:M257"/>
    <mergeCell ref="P257:Q257"/>
    <mergeCell ref="T240:U240"/>
    <mergeCell ref="T241:U241"/>
    <mergeCell ref="T242:U242"/>
    <mergeCell ref="T246:U246"/>
    <mergeCell ref="B245:AA245"/>
    <mergeCell ref="T231:U231"/>
    <mergeCell ref="T232:U232"/>
    <mergeCell ref="T235:U235"/>
    <mergeCell ref="L231:M231"/>
    <mergeCell ref="P231:Q231"/>
    <mergeCell ref="T247:U247"/>
    <mergeCell ref="B236:AA236"/>
    <mergeCell ref="T233:U233"/>
    <mergeCell ref="T234:U234"/>
    <mergeCell ref="T238:U238"/>
    <mergeCell ref="T239:U239"/>
    <mergeCell ref="R234:S234"/>
    <mergeCell ref="B247:E247"/>
    <mergeCell ref="L233:M233"/>
    <mergeCell ref="L240:M240"/>
    <mergeCell ref="L215:M215"/>
    <mergeCell ref="P230:Q230"/>
    <mergeCell ref="B230:E230"/>
    <mergeCell ref="L230:M230"/>
    <mergeCell ref="L223:M223"/>
    <mergeCell ref="B225:E225"/>
    <mergeCell ref="P225:Q225"/>
    <mergeCell ref="L216:M216"/>
    <mergeCell ref="P216:Q216"/>
    <mergeCell ref="B220:AA220"/>
    <mergeCell ref="T229:U229"/>
    <mergeCell ref="T217:U217"/>
    <mergeCell ref="T223:U223"/>
    <mergeCell ref="T224:U224"/>
    <mergeCell ref="B222:AA222"/>
    <mergeCell ref="B227:AA227"/>
    <mergeCell ref="L225:M225"/>
    <mergeCell ref="B217:E217"/>
    <mergeCell ref="L217:M217"/>
    <mergeCell ref="P217:Q217"/>
    <mergeCell ref="T212:U212"/>
    <mergeCell ref="T214:U214"/>
    <mergeCell ref="T215:U215"/>
    <mergeCell ref="T216:U216"/>
    <mergeCell ref="T200:U200"/>
    <mergeCell ref="T225:U225"/>
    <mergeCell ref="T204:U204"/>
    <mergeCell ref="T205:U205"/>
    <mergeCell ref="T206:U206"/>
    <mergeCell ref="T207:U207"/>
    <mergeCell ref="T188:U188"/>
    <mergeCell ref="T189:U189"/>
    <mergeCell ref="T213:U213"/>
    <mergeCell ref="T192:U192"/>
    <mergeCell ref="T193:U193"/>
    <mergeCell ref="T198:U198"/>
    <mergeCell ref="T199:U199"/>
    <mergeCell ref="B194:AA194"/>
    <mergeCell ref="L188:M188"/>
    <mergeCell ref="B190:J190"/>
    <mergeCell ref="T187:U187"/>
    <mergeCell ref="T190:U190"/>
    <mergeCell ref="T191:U191"/>
    <mergeCell ref="B188:J188"/>
    <mergeCell ref="B189:J189"/>
    <mergeCell ref="L189:M189"/>
    <mergeCell ref="P189:Q189"/>
    <mergeCell ref="L191:M191"/>
    <mergeCell ref="P191:Q191"/>
    <mergeCell ref="B191:J191"/>
    <mergeCell ref="P172:Q172"/>
    <mergeCell ref="T163:U163"/>
    <mergeCell ref="T164:U164"/>
    <mergeCell ref="T165:U165"/>
    <mergeCell ref="T166:U166"/>
    <mergeCell ref="T171:U171"/>
    <mergeCell ref="R164:S164"/>
    <mergeCell ref="R163:S163"/>
    <mergeCell ref="T172:U172"/>
    <mergeCell ref="T167:U167"/>
    <mergeCell ref="T157:U157"/>
    <mergeCell ref="T158:U158"/>
    <mergeCell ref="T159:U159"/>
    <mergeCell ref="T160:U160"/>
    <mergeCell ref="T161:U161"/>
    <mergeCell ref="T162:U162"/>
    <mergeCell ref="T156:U156"/>
    <mergeCell ref="T143:U143"/>
    <mergeCell ref="T144:U144"/>
    <mergeCell ref="T145:U145"/>
    <mergeCell ref="T146:U146"/>
    <mergeCell ref="T147:U147"/>
    <mergeCell ref="T148:U148"/>
    <mergeCell ref="T152:U152"/>
    <mergeCell ref="T153:U153"/>
    <mergeCell ref="T154:U154"/>
    <mergeCell ref="B123:E123"/>
    <mergeCell ref="T133:U133"/>
    <mergeCell ref="P109:Q109"/>
    <mergeCell ref="T155:U155"/>
    <mergeCell ref="T129:U129"/>
    <mergeCell ref="T130:U130"/>
    <mergeCell ref="T131:U131"/>
    <mergeCell ref="P153:Q153"/>
    <mergeCell ref="R150:S150"/>
    <mergeCell ref="R151:S151"/>
    <mergeCell ref="T114:U114"/>
    <mergeCell ref="T115:U115"/>
    <mergeCell ref="P111:Q111"/>
    <mergeCell ref="T112:U112"/>
    <mergeCell ref="T113:U113"/>
    <mergeCell ref="R99:S99"/>
    <mergeCell ref="P112:Q112"/>
    <mergeCell ref="T109:U109"/>
    <mergeCell ref="R111:S111"/>
    <mergeCell ref="R112:S112"/>
    <mergeCell ref="B129:J129"/>
    <mergeCell ref="B130:J130"/>
    <mergeCell ref="B131:J131"/>
    <mergeCell ref="P133:Q133"/>
    <mergeCell ref="P134:Q134"/>
    <mergeCell ref="P132:Q132"/>
    <mergeCell ref="B134:J134"/>
    <mergeCell ref="L134:M134"/>
    <mergeCell ref="L133:M133"/>
    <mergeCell ref="L131:M131"/>
    <mergeCell ref="R131:S131"/>
    <mergeCell ref="B133:J133"/>
    <mergeCell ref="L132:M132"/>
    <mergeCell ref="P126:Q126"/>
    <mergeCell ref="P119:Q119"/>
    <mergeCell ref="R71:S71"/>
    <mergeCell ref="R109:S109"/>
    <mergeCell ref="B91:AA91"/>
    <mergeCell ref="R93:S93"/>
    <mergeCell ref="T93:U93"/>
    <mergeCell ref="T116:U116"/>
    <mergeCell ref="T117:U117"/>
    <mergeCell ref="T73:U73"/>
    <mergeCell ref="T95:U95"/>
    <mergeCell ref="R96:S96"/>
    <mergeCell ref="R95:S95"/>
    <mergeCell ref="T96:U96"/>
    <mergeCell ref="T94:U94"/>
    <mergeCell ref="R84:S84"/>
    <mergeCell ref="R89:S89"/>
    <mergeCell ref="T97:U97"/>
    <mergeCell ref="R94:S94"/>
    <mergeCell ref="L99:O99"/>
    <mergeCell ref="P97:Q97"/>
    <mergeCell ref="R98:S98"/>
    <mergeCell ref="L88:M89"/>
    <mergeCell ref="P99:Q99"/>
    <mergeCell ref="P88:U88"/>
    <mergeCell ref="T99:U99"/>
    <mergeCell ref="P95:Q95"/>
    <mergeCell ref="P96:Q96"/>
    <mergeCell ref="T57:U57"/>
    <mergeCell ref="T59:U59"/>
    <mergeCell ref="R67:S67"/>
    <mergeCell ref="R69:S69"/>
    <mergeCell ref="T67:U67"/>
    <mergeCell ref="R82:S82"/>
    <mergeCell ref="T82:U82"/>
    <mergeCell ref="R63:S63"/>
    <mergeCell ref="P69:Q69"/>
    <mergeCell ref="P65:Q65"/>
    <mergeCell ref="L90:M90"/>
    <mergeCell ref="R65:S65"/>
    <mergeCell ref="R73:S73"/>
    <mergeCell ref="P94:Q94"/>
    <mergeCell ref="R53:S53"/>
    <mergeCell ref="P52:Q52"/>
    <mergeCell ref="R55:S55"/>
    <mergeCell ref="T108:U108"/>
    <mergeCell ref="T100:U100"/>
    <mergeCell ref="B105:AA105"/>
    <mergeCell ref="T61:U61"/>
    <mergeCell ref="T63:U63"/>
    <mergeCell ref="P67:Q67"/>
    <mergeCell ref="T65:U65"/>
    <mergeCell ref="P47:U47"/>
    <mergeCell ref="Y88:AA88"/>
    <mergeCell ref="B92:E92"/>
    <mergeCell ref="T89:U89"/>
    <mergeCell ref="V88:X88"/>
    <mergeCell ref="V78:X78"/>
    <mergeCell ref="T79:U79"/>
    <mergeCell ref="T92:U92"/>
    <mergeCell ref="P92:Q92"/>
    <mergeCell ref="R50:S50"/>
    <mergeCell ref="B90:E90"/>
    <mergeCell ref="B88:E89"/>
    <mergeCell ref="B72:X72"/>
    <mergeCell ref="P90:Q90"/>
    <mergeCell ref="R90:S90"/>
    <mergeCell ref="V47:X47"/>
    <mergeCell ref="K47:M47"/>
    <mergeCell ref="B47:E48"/>
    <mergeCell ref="R48:S48"/>
    <mergeCell ref="T48:U48"/>
    <mergeCell ref="P48:Q48"/>
    <mergeCell ref="R61:S61"/>
    <mergeCell ref="B59:E59"/>
    <mergeCell ref="B56:X56"/>
    <mergeCell ref="B67:E67"/>
    <mergeCell ref="P59:Q59"/>
    <mergeCell ref="B55:E55"/>
    <mergeCell ref="R57:S57"/>
    <mergeCell ref="P50:Q50"/>
    <mergeCell ref="R52:S52"/>
    <mergeCell ref="B98:J98"/>
    <mergeCell ref="B63:E63"/>
    <mergeCell ref="B61:E61"/>
    <mergeCell ref="B73:E73"/>
    <mergeCell ref="B95:J95"/>
    <mergeCell ref="L118:O118"/>
    <mergeCell ref="B97:J97"/>
    <mergeCell ref="B99:J99"/>
    <mergeCell ref="L116:O116"/>
    <mergeCell ref="B81:E81"/>
    <mergeCell ref="A78:A79"/>
    <mergeCell ref="K78:M78"/>
    <mergeCell ref="P78:U78"/>
    <mergeCell ref="P79:Q79"/>
    <mergeCell ref="P73:Q73"/>
    <mergeCell ref="B78:E79"/>
    <mergeCell ref="R79:S79"/>
    <mergeCell ref="B124:J124"/>
    <mergeCell ref="R97:S97"/>
    <mergeCell ref="B96:J96"/>
    <mergeCell ref="T431:U431"/>
    <mergeCell ref="T118:U118"/>
    <mergeCell ref="T110:U110"/>
    <mergeCell ref="R114:S114"/>
    <mergeCell ref="R115:S115"/>
    <mergeCell ref="L117:O117"/>
    <mergeCell ref="B114:J114"/>
    <mergeCell ref="B125:J125"/>
    <mergeCell ref="B126:J126"/>
    <mergeCell ref="B127:J127"/>
    <mergeCell ref="B128:J128"/>
    <mergeCell ref="P98:Q98"/>
    <mergeCell ref="B132:J132"/>
    <mergeCell ref="B119:J119"/>
    <mergeCell ref="B116:J116"/>
    <mergeCell ref="L98:O98"/>
    <mergeCell ref="L102:O102"/>
    <mergeCell ref="C25:Y25"/>
    <mergeCell ref="T52:U52"/>
    <mergeCell ref="B65:E65"/>
    <mergeCell ref="P55:Q55"/>
    <mergeCell ref="P57:Q57"/>
    <mergeCell ref="B108:E108"/>
    <mergeCell ref="R59:S59"/>
    <mergeCell ref="B49:E49"/>
    <mergeCell ref="B51:X51"/>
    <mergeCell ref="P49:Q49"/>
    <mergeCell ref="T434:U434"/>
    <mergeCell ref="K88:K89"/>
    <mergeCell ref="B152:Q152"/>
    <mergeCell ref="B153:E153"/>
    <mergeCell ref="L153:M153"/>
    <mergeCell ref="T90:U90"/>
    <mergeCell ref="B107:AA107"/>
    <mergeCell ref="B296:AA296"/>
    <mergeCell ref="B419:AA419"/>
    <mergeCell ref="B118:J118"/>
    <mergeCell ref="M435:P435"/>
    <mergeCell ref="M434:P434"/>
    <mergeCell ref="M431:P431"/>
    <mergeCell ref="M432:P432"/>
    <mergeCell ref="P158:Q158"/>
    <mergeCell ref="L160:M160"/>
    <mergeCell ref="P160:Q160"/>
    <mergeCell ref="B173:AA173"/>
    <mergeCell ref="B172:E172"/>
    <mergeCell ref="L172:M172"/>
    <mergeCell ref="L159:M159"/>
    <mergeCell ref="P159:Q159"/>
    <mergeCell ref="B160:E160"/>
    <mergeCell ref="B93:J93"/>
    <mergeCell ref="B94:J94"/>
    <mergeCell ref="L154:M154"/>
    <mergeCell ref="B158:E158"/>
    <mergeCell ref="L158:M158"/>
    <mergeCell ref="B154:E154"/>
    <mergeCell ref="B157:E157"/>
    <mergeCell ref="A47:A48"/>
    <mergeCell ref="B156:E156"/>
    <mergeCell ref="L156:M156"/>
    <mergeCell ref="P156:Q156"/>
    <mergeCell ref="P84:Q84"/>
    <mergeCell ref="B102:J102"/>
    <mergeCell ref="B103:J103"/>
    <mergeCell ref="B104:J104"/>
    <mergeCell ref="A88:A89"/>
    <mergeCell ref="P154:Q154"/>
    <mergeCell ref="L157:M157"/>
    <mergeCell ref="L112:O112"/>
    <mergeCell ref="L113:O113"/>
    <mergeCell ref="L114:O114"/>
    <mergeCell ref="L115:O115"/>
    <mergeCell ref="B155:E155"/>
    <mergeCell ref="L119:O119"/>
    <mergeCell ref="B117:J117"/>
    <mergeCell ref="B113:J113"/>
    <mergeCell ref="B120:AA120"/>
    <mergeCell ref="R100:S100"/>
    <mergeCell ref="R81:S81"/>
    <mergeCell ref="B115:J115"/>
    <mergeCell ref="L111:O111"/>
    <mergeCell ref="L93:O93"/>
    <mergeCell ref="L109:O109"/>
    <mergeCell ref="L94:O94"/>
    <mergeCell ref="L95:O95"/>
    <mergeCell ref="L96:O96"/>
    <mergeCell ref="L97:O97"/>
    <mergeCell ref="P161:Q161"/>
    <mergeCell ref="B163:E163"/>
    <mergeCell ref="L163:M163"/>
    <mergeCell ref="P163:Q163"/>
    <mergeCell ref="B164:E164"/>
    <mergeCell ref="L164:M164"/>
    <mergeCell ref="P164:Q164"/>
    <mergeCell ref="B161:E161"/>
    <mergeCell ref="L161:M161"/>
    <mergeCell ref="B165:E165"/>
    <mergeCell ref="L165:M165"/>
    <mergeCell ref="P165:Q165"/>
    <mergeCell ref="B166:E166"/>
    <mergeCell ref="L166:M166"/>
    <mergeCell ref="P166:Q166"/>
    <mergeCell ref="B167:E167"/>
    <mergeCell ref="L167:M167"/>
    <mergeCell ref="P167:Q167"/>
    <mergeCell ref="B169:E169"/>
    <mergeCell ref="L169:M169"/>
    <mergeCell ref="P169:Q169"/>
    <mergeCell ref="B170:E170"/>
    <mergeCell ref="L170:M170"/>
    <mergeCell ref="P170:Q170"/>
    <mergeCell ref="B171:E171"/>
    <mergeCell ref="L171:M171"/>
    <mergeCell ref="P171:Q171"/>
    <mergeCell ref="P176:Q176"/>
    <mergeCell ref="B182:E182"/>
    <mergeCell ref="L182:M182"/>
    <mergeCell ref="P182:Q182"/>
    <mergeCell ref="B183:E183"/>
    <mergeCell ref="L183:M183"/>
    <mergeCell ref="P183:Q183"/>
    <mergeCell ref="P181:Q181"/>
    <mergeCell ref="P178:Q178"/>
    <mergeCell ref="B181:E181"/>
    <mergeCell ref="L184:M184"/>
    <mergeCell ref="P184:Q184"/>
    <mergeCell ref="B185:Q185"/>
    <mergeCell ref="B184:E184"/>
    <mergeCell ref="L187:M187"/>
    <mergeCell ref="P187:Q187"/>
    <mergeCell ref="B187:E187"/>
    <mergeCell ref="B186:E186"/>
    <mergeCell ref="L186:M186"/>
    <mergeCell ref="P186:Q186"/>
    <mergeCell ref="P198:Q198"/>
    <mergeCell ref="B200:E200"/>
    <mergeCell ref="L200:M200"/>
    <mergeCell ref="P200:Q200"/>
    <mergeCell ref="P199:Q199"/>
    <mergeCell ref="L199:M199"/>
    <mergeCell ref="B201:E201"/>
    <mergeCell ref="L201:M201"/>
    <mergeCell ref="P201:Q201"/>
    <mergeCell ref="B202:E202"/>
    <mergeCell ref="L202:M202"/>
    <mergeCell ref="P202:Q202"/>
    <mergeCell ref="B203:E203"/>
    <mergeCell ref="L203:M203"/>
    <mergeCell ref="P203:Q203"/>
    <mergeCell ref="B204:E204"/>
    <mergeCell ref="L204:M204"/>
    <mergeCell ref="P204:Q204"/>
    <mergeCell ref="B205:E205"/>
    <mergeCell ref="L205:M205"/>
    <mergeCell ref="P205:Q205"/>
    <mergeCell ref="B235:E235"/>
    <mergeCell ref="B231:J231"/>
    <mergeCell ref="B232:J232"/>
    <mergeCell ref="B233:J233"/>
    <mergeCell ref="B234:J234"/>
    <mergeCell ref="L235:M235"/>
    <mergeCell ref="P235:Q235"/>
    <mergeCell ref="B206:E206"/>
    <mergeCell ref="L206:M206"/>
    <mergeCell ref="P206:Q206"/>
    <mergeCell ref="B207:E207"/>
    <mergeCell ref="L207:M207"/>
    <mergeCell ref="P207:Q207"/>
    <mergeCell ref="B211:E211"/>
    <mergeCell ref="L211:M211"/>
    <mergeCell ref="P211:Q211"/>
    <mergeCell ref="B209:AA209"/>
    <mergeCell ref="R230:S230"/>
    <mergeCell ref="T230:U230"/>
    <mergeCell ref="B212:E212"/>
    <mergeCell ref="L212:M212"/>
    <mergeCell ref="P212:Q212"/>
    <mergeCell ref="B213:E213"/>
    <mergeCell ref="L213:M213"/>
    <mergeCell ref="P213:Q213"/>
    <mergeCell ref="P215:Q215"/>
    <mergeCell ref="B216:E216"/>
    <mergeCell ref="P223:Q223"/>
    <mergeCell ref="B224:E224"/>
    <mergeCell ref="L224:M224"/>
    <mergeCell ref="P224:Q224"/>
    <mergeCell ref="P214:Q214"/>
    <mergeCell ref="B215:E215"/>
    <mergeCell ref="L232:M232"/>
    <mergeCell ref="B229:E229"/>
    <mergeCell ref="L229:M229"/>
    <mergeCell ref="P229:Q229"/>
    <mergeCell ref="B238:E238"/>
    <mergeCell ref="L238:M238"/>
    <mergeCell ref="P238:Q238"/>
    <mergeCell ref="P233:Q233"/>
    <mergeCell ref="L234:M234"/>
    <mergeCell ref="P234:Q234"/>
    <mergeCell ref="P240:Q240"/>
    <mergeCell ref="B239:E239"/>
    <mergeCell ref="L239:M239"/>
    <mergeCell ref="P239:Q239"/>
    <mergeCell ref="B240:E240"/>
    <mergeCell ref="P247:Q247"/>
    <mergeCell ref="L247:M247"/>
    <mergeCell ref="L250:M250"/>
    <mergeCell ref="P250:Q250"/>
    <mergeCell ref="B241:E241"/>
    <mergeCell ref="L241:M241"/>
    <mergeCell ref="P241:Q241"/>
    <mergeCell ref="B242:E242"/>
    <mergeCell ref="L242:M242"/>
    <mergeCell ref="P242:Q242"/>
    <mergeCell ref="B246:E246"/>
    <mergeCell ref="B248:E248"/>
    <mergeCell ref="B249:E249"/>
    <mergeCell ref="L249:M249"/>
    <mergeCell ref="P249:Q249"/>
    <mergeCell ref="B256:E256"/>
    <mergeCell ref="L256:M256"/>
    <mergeCell ref="P256:Q256"/>
    <mergeCell ref="B251:E251"/>
    <mergeCell ref="L251:M251"/>
    <mergeCell ref="P251:Q251"/>
    <mergeCell ref="P252:Q252"/>
    <mergeCell ref="B264:E264"/>
    <mergeCell ref="L264:M264"/>
    <mergeCell ref="B260:E260"/>
    <mergeCell ref="L259:M259"/>
    <mergeCell ref="P264:Q264"/>
    <mergeCell ref="B268:E268"/>
    <mergeCell ref="B265:E265"/>
    <mergeCell ref="L265:M265"/>
    <mergeCell ref="P265:Q265"/>
    <mergeCell ref="B267:E267"/>
    <mergeCell ref="L267:M267"/>
    <mergeCell ref="B271:E271"/>
    <mergeCell ref="L271:M271"/>
    <mergeCell ref="P271:Q271"/>
    <mergeCell ref="B273:E273"/>
    <mergeCell ref="L273:M273"/>
    <mergeCell ref="P273:Q273"/>
    <mergeCell ref="L268:M268"/>
    <mergeCell ref="P268:Q268"/>
    <mergeCell ref="B270:E270"/>
    <mergeCell ref="L279:M279"/>
    <mergeCell ref="P279:Q279"/>
    <mergeCell ref="B278:E278"/>
    <mergeCell ref="L278:M278"/>
    <mergeCell ref="P278:Q278"/>
    <mergeCell ref="B274:E274"/>
    <mergeCell ref="L274:M274"/>
    <mergeCell ref="P274:Q274"/>
    <mergeCell ref="B306:J306"/>
    <mergeCell ref="B283:E283"/>
    <mergeCell ref="L283:M283"/>
    <mergeCell ref="P283:Q283"/>
    <mergeCell ref="B284:E284"/>
    <mergeCell ref="L284:M284"/>
    <mergeCell ref="P284:Q284"/>
    <mergeCell ref="P286:Q286"/>
    <mergeCell ref="B294:E294"/>
    <mergeCell ref="B288:J288"/>
    <mergeCell ref="R292:S292"/>
    <mergeCell ref="P287:Q287"/>
    <mergeCell ref="L288:M288"/>
    <mergeCell ref="P288:Q288"/>
    <mergeCell ref="P291:Q291"/>
    <mergeCell ref="L290:M290"/>
    <mergeCell ref="P290:Q290"/>
    <mergeCell ref="L291:M291"/>
    <mergeCell ref="L287:M287"/>
    <mergeCell ref="P289:Q289"/>
    <mergeCell ref="R293:S293"/>
    <mergeCell ref="L305:O305"/>
    <mergeCell ref="L293:M293"/>
    <mergeCell ref="P293:Q293"/>
    <mergeCell ref="L300:O300"/>
    <mergeCell ref="L299:M299"/>
    <mergeCell ref="P299:Q299"/>
    <mergeCell ref="R305:S305"/>
    <mergeCell ref="R299:S299"/>
    <mergeCell ref="R300:S300"/>
    <mergeCell ref="B289:J289"/>
    <mergeCell ref="B290:J290"/>
    <mergeCell ref="B291:J291"/>
    <mergeCell ref="R289:S289"/>
    <mergeCell ref="R290:S290"/>
    <mergeCell ref="R291:S291"/>
    <mergeCell ref="L289:M289"/>
    <mergeCell ref="R294:S294"/>
    <mergeCell ref="B293:J293"/>
    <mergeCell ref="P298:Q298"/>
    <mergeCell ref="L292:M292"/>
    <mergeCell ref="P292:Q292"/>
    <mergeCell ref="B297:E297"/>
    <mergeCell ref="L297:M297"/>
    <mergeCell ref="P297:Q297"/>
    <mergeCell ref="B292:J292"/>
    <mergeCell ref="P294:Q294"/>
    <mergeCell ref="L294:M294"/>
    <mergeCell ref="B298:E298"/>
    <mergeCell ref="P301:Q301"/>
    <mergeCell ref="B302:E302"/>
    <mergeCell ref="P302:Q302"/>
    <mergeCell ref="L301:O301"/>
    <mergeCell ref="L302:O302"/>
    <mergeCell ref="B300:E300"/>
    <mergeCell ref="P300:Q300"/>
    <mergeCell ref="B301:E301"/>
    <mergeCell ref="B303:E303"/>
    <mergeCell ref="P303:Q303"/>
    <mergeCell ref="B304:E304"/>
    <mergeCell ref="P304:Q304"/>
    <mergeCell ref="L303:O303"/>
    <mergeCell ref="L304:O304"/>
    <mergeCell ref="B299:E299"/>
    <mergeCell ref="R342:S342"/>
    <mergeCell ref="R315:S315"/>
    <mergeCell ref="P325:Q325"/>
    <mergeCell ref="P326:Q326"/>
    <mergeCell ref="P327:Q327"/>
    <mergeCell ref="P328:Q328"/>
    <mergeCell ref="P334:Q334"/>
    <mergeCell ref="P323:Q323"/>
    <mergeCell ref="R333:S333"/>
    <mergeCell ref="R327:S327"/>
    <mergeCell ref="R322:S322"/>
    <mergeCell ref="B308:E308"/>
    <mergeCell ref="L308:M308"/>
    <mergeCell ref="P308:Q308"/>
    <mergeCell ref="B307:E307"/>
    <mergeCell ref="L307:M307"/>
    <mergeCell ref="P307:Q307"/>
    <mergeCell ref="B309:E309"/>
    <mergeCell ref="L309:M309"/>
    <mergeCell ref="P309:Q309"/>
    <mergeCell ref="L318:M318"/>
    <mergeCell ref="P318:Q318"/>
    <mergeCell ref="B310:E310"/>
    <mergeCell ref="L310:M310"/>
    <mergeCell ref="P310:Q310"/>
    <mergeCell ref="B311:E311"/>
    <mergeCell ref="P315:Q315"/>
    <mergeCell ref="B312:E312"/>
    <mergeCell ref="L312:M312"/>
    <mergeCell ref="P312:Q312"/>
    <mergeCell ref="B313:E313"/>
    <mergeCell ref="L313:M313"/>
    <mergeCell ref="P313:Q313"/>
    <mergeCell ref="B315:J315"/>
    <mergeCell ref="B314:E314"/>
    <mergeCell ref="L314:M314"/>
    <mergeCell ref="P314:Q314"/>
    <mergeCell ref="L315:M315"/>
    <mergeCell ref="B320:E320"/>
    <mergeCell ref="L320:M320"/>
    <mergeCell ref="P320:Q320"/>
    <mergeCell ref="L316:M316"/>
    <mergeCell ref="P316:Q316"/>
    <mergeCell ref="L317:M317"/>
    <mergeCell ref="P317:Q317"/>
    <mergeCell ref="B317:J317"/>
    <mergeCell ref="B316:J316"/>
    <mergeCell ref="B318:E318"/>
    <mergeCell ref="B321:J321"/>
    <mergeCell ref="B322:J322"/>
    <mergeCell ref="P324:Q324"/>
    <mergeCell ref="B323:J323"/>
    <mergeCell ref="B324:J324"/>
    <mergeCell ref="L321:M321"/>
    <mergeCell ref="P321:Q321"/>
    <mergeCell ref="L322:M322"/>
    <mergeCell ref="P322:Q322"/>
    <mergeCell ref="L323:M323"/>
    <mergeCell ref="B325:J325"/>
    <mergeCell ref="B326:J326"/>
    <mergeCell ref="B334:E334"/>
    <mergeCell ref="L327:M327"/>
    <mergeCell ref="L328:M328"/>
    <mergeCell ref="B327:J327"/>
    <mergeCell ref="B328:J328"/>
    <mergeCell ref="L334:M334"/>
    <mergeCell ref="B332:E332"/>
    <mergeCell ref="L325:M325"/>
    <mergeCell ref="P331:Q331"/>
    <mergeCell ref="B333:E333"/>
    <mergeCell ref="L333:M333"/>
    <mergeCell ref="P333:Q333"/>
    <mergeCell ref="B331:E331"/>
    <mergeCell ref="L332:M332"/>
    <mergeCell ref="P332:Q332"/>
    <mergeCell ref="L331:M331"/>
    <mergeCell ref="B336:E336"/>
    <mergeCell ref="L336:M336"/>
    <mergeCell ref="P336:Q336"/>
    <mergeCell ref="B337:E337"/>
    <mergeCell ref="L337:M337"/>
    <mergeCell ref="P337:Q337"/>
    <mergeCell ref="B342:E342"/>
    <mergeCell ref="L342:M342"/>
    <mergeCell ref="P342:Q342"/>
    <mergeCell ref="B340:E340"/>
    <mergeCell ref="L340:M340"/>
    <mergeCell ref="P340:Q340"/>
    <mergeCell ref="B341:E341"/>
    <mergeCell ref="L341:M341"/>
    <mergeCell ref="P341:Q341"/>
    <mergeCell ref="R345:S345"/>
    <mergeCell ref="B346:E346"/>
    <mergeCell ref="L346:M346"/>
    <mergeCell ref="B345:E345"/>
    <mergeCell ref="R346:S346"/>
    <mergeCell ref="R344:S344"/>
    <mergeCell ref="L344:M344"/>
    <mergeCell ref="P344:Q344"/>
    <mergeCell ref="P346:Q346"/>
    <mergeCell ref="P345:Q345"/>
    <mergeCell ref="B352:E352"/>
    <mergeCell ref="L352:M352"/>
    <mergeCell ref="P352:Q352"/>
    <mergeCell ref="B374:J374"/>
    <mergeCell ref="B398:J398"/>
    <mergeCell ref="B348:E348"/>
    <mergeCell ref="L348:M348"/>
    <mergeCell ref="P348:Q348"/>
    <mergeCell ref="B353:E353"/>
    <mergeCell ref="L353:M353"/>
    <mergeCell ref="B347:Q347"/>
    <mergeCell ref="B349:E349"/>
    <mergeCell ref="L349:M349"/>
    <mergeCell ref="P349:Q349"/>
    <mergeCell ref="B351:E351"/>
    <mergeCell ref="L351:M351"/>
    <mergeCell ref="P351:Q351"/>
    <mergeCell ref="B350:AA350"/>
    <mergeCell ref="R349:S349"/>
    <mergeCell ref="T348:U348"/>
    <mergeCell ref="P353:Q353"/>
    <mergeCell ref="B354:E354"/>
    <mergeCell ref="L354:M354"/>
    <mergeCell ref="P354:Q354"/>
    <mergeCell ref="B356:E356"/>
    <mergeCell ref="L356:M356"/>
    <mergeCell ref="P356:Q356"/>
    <mergeCell ref="B355:AA355"/>
    <mergeCell ref="L357:M357"/>
    <mergeCell ref="P357:Q357"/>
    <mergeCell ref="B358:Q358"/>
    <mergeCell ref="B357:E357"/>
    <mergeCell ref="B360:E360"/>
    <mergeCell ref="L360:M360"/>
    <mergeCell ref="P360:Q360"/>
    <mergeCell ref="B359:E359"/>
    <mergeCell ref="L359:M359"/>
    <mergeCell ref="P359:Q359"/>
    <mergeCell ref="B361:E361"/>
    <mergeCell ref="L361:M361"/>
    <mergeCell ref="P361:Q361"/>
    <mergeCell ref="B362:E362"/>
    <mergeCell ref="L362:M362"/>
    <mergeCell ref="P362:Q362"/>
    <mergeCell ref="B363:E363"/>
    <mergeCell ref="L363:M363"/>
    <mergeCell ref="P363:Q363"/>
    <mergeCell ref="B364:E364"/>
    <mergeCell ref="L364:M364"/>
    <mergeCell ref="P364:Q364"/>
    <mergeCell ref="B365:E365"/>
    <mergeCell ref="L365:M365"/>
    <mergeCell ref="P365:Q365"/>
    <mergeCell ref="P366:Q366"/>
    <mergeCell ref="B366:E366"/>
    <mergeCell ref="L366:M366"/>
    <mergeCell ref="B373:J373"/>
    <mergeCell ref="L371:M371"/>
    <mergeCell ref="B370:J370"/>
    <mergeCell ref="B371:J371"/>
    <mergeCell ref="B367:Q367"/>
    <mergeCell ref="P369:Q369"/>
    <mergeCell ref="P368:Q368"/>
    <mergeCell ref="B368:E368"/>
    <mergeCell ref="L368:M368"/>
    <mergeCell ref="B372:J372"/>
    <mergeCell ref="B378:J378"/>
    <mergeCell ref="L394:M394"/>
    <mergeCell ref="L395:M395"/>
    <mergeCell ref="L373:M373"/>
    <mergeCell ref="B396:J396"/>
    <mergeCell ref="B382:J382"/>
    <mergeCell ref="B383:J383"/>
    <mergeCell ref="B384:J384"/>
    <mergeCell ref="B394:J394"/>
    <mergeCell ref="L387:M387"/>
    <mergeCell ref="L404:M404"/>
    <mergeCell ref="P404:Q404"/>
    <mergeCell ref="P398:Q398"/>
    <mergeCell ref="B401:E401"/>
    <mergeCell ref="L401:M401"/>
    <mergeCell ref="B400:E400"/>
    <mergeCell ref="L400:M400"/>
    <mergeCell ref="L398:M398"/>
    <mergeCell ref="B389:J389"/>
    <mergeCell ref="B390:J390"/>
    <mergeCell ref="B391:J391"/>
    <mergeCell ref="B392:J392"/>
    <mergeCell ref="B388:J388"/>
    <mergeCell ref="L390:M390"/>
    <mergeCell ref="L392:M392"/>
    <mergeCell ref="L391:M391"/>
    <mergeCell ref="B387:E387"/>
    <mergeCell ref="B369:E369"/>
    <mergeCell ref="L369:M369"/>
    <mergeCell ref="L384:M384"/>
    <mergeCell ref="L383:M383"/>
    <mergeCell ref="L381:M381"/>
    <mergeCell ref="L382:M382"/>
    <mergeCell ref="B381:J381"/>
    <mergeCell ref="B379:J379"/>
    <mergeCell ref="L372:M372"/>
    <mergeCell ref="P379:Q379"/>
    <mergeCell ref="P375:Q375"/>
    <mergeCell ref="L378:M378"/>
    <mergeCell ref="L375:M375"/>
    <mergeCell ref="P378:Q378"/>
    <mergeCell ref="P376:Q376"/>
    <mergeCell ref="P377:Q377"/>
    <mergeCell ref="L376:M376"/>
    <mergeCell ref="L377:M377"/>
    <mergeCell ref="P370:Q370"/>
    <mergeCell ref="P371:Q371"/>
    <mergeCell ref="L388:M388"/>
    <mergeCell ref="L389:M389"/>
    <mergeCell ref="P380:Q380"/>
    <mergeCell ref="L379:M379"/>
    <mergeCell ref="L374:M374"/>
    <mergeCell ref="P372:Q372"/>
    <mergeCell ref="P373:Q373"/>
    <mergeCell ref="P374:Q374"/>
    <mergeCell ref="R384:S384"/>
    <mergeCell ref="R382:S382"/>
    <mergeCell ref="B380:J380"/>
    <mergeCell ref="L380:M380"/>
    <mergeCell ref="L397:M397"/>
    <mergeCell ref="T409:U409"/>
    <mergeCell ref="P382:Q382"/>
    <mergeCell ref="P383:Q383"/>
    <mergeCell ref="P381:Q381"/>
    <mergeCell ref="B393:E393"/>
    <mergeCell ref="P387:Q387"/>
    <mergeCell ref="P388:Q388"/>
    <mergeCell ref="P397:Q397"/>
    <mergeCell ref="P401:Q401"/>
    <mergeCell ref="P393:Q393"/>
    <mergeCell ref="P394:Q394"/>
    <mergeCell ref="R409:S409"/>
    <mergeCell ref="R379:S379"/>
    <mergeCell ref="R380:S380"/>
    <mergeCell ref="R381:S381"/>
    <mergeCell ref="R373:S373"/>
    <mergeCell ref="R374:S374"/>
    <mergeCell ref="R375:S375"/>
    <mergeCell ref="R376:S376"/>
    <mergeCell ref="R377:S377"/>
    <mergeCell ref="R401:S401"/>
    <mergeCell ref="R369:S369"/>
    <mergeCell ref="R370:S370"/>
    <mergeCell ref="R371:S371"/>
    <mergeCell ref="R372:S372"/>
    <mergeCell ref="P396:Q396"/>
    <mergeCell ref="P392:Q392"/>
    <mergeCell ref="P391:Q391"/>
    <mergeCell ref="R383:S383"/>
    <mergeCell ref="P384:Q384"/>
    <mergeCell ref="R378:S378"/>
    <mergeCell ref="R394:S394"/>
    <mergeCell ref="R393:S393"/>
    <mergeCell ref="R392:S392"/>
    <mergeCell ref="R400:S400"/>
    <mergeCell ref="R398:S398"/>
    <mergeCell ref="R397:S397"/>
    <mergeCell ref="R395:S395"/>
    <mergeCell ref="R396:S396"/>
    <mergeCell ref="B407:E407"/>
    <mergeCell ref="L407:M407"/>
    <mergeCell ref="P407:Q407"/>
    <mergeCell ref="R404:S404"/>
    <mergeCell ref="R405:S405"/>
    <mergeCell ref="R407:S407"/>
    <mergeCell ref="B405:E405"/>
    <mergeCell ref="L405:M405"/>
    <mergeCell ref="P405:Q405"/>
    <mergeCell ref="B404:E404"/>
    <mergeCell ref="B408:E408"/>
    <mergeCell ref="L408:M408"/>
    <mergeCell ref="B413:E413"/>
    <mergeCell ref="L413:M413"/>
    <mergeCell ref="L409:M409"/>
    <mergeCell ref="P409:Q409"/>
    <mergeCell ref="B409:E409"/>
    <mergeCell ref="B415:E415"/>
    <mergeCell ref="B418:J418"/>
    <mergeCell ref="L417:M417"/>
    <mergeCell ref="L418:M418"/>
    <mergeCell ref="B417:J417"/>
    <mergeCell ref="P413:Q413"/>
    <mergeCell ref="B414:E414"/>
    <mergeCell ref="L414:M414"/>
    <mergeCell ref="P414:Q414"/>
    <mergeCell ref="P418:Q418"/>
    <mergeCell ref="R418:S418"/>
    <mergeCell ref="T418:U418"/>
    <mergeCell ref="R414:S414"/>
    <mergeCell ref="R415:S415"/>
    <mergeCell ref="P417:Q417"/>
    <mergeCell ref="R417:S417"/>
    <mergeCell ref="T417:U417"/>
    <mergeCell ref="T414:U414"/>
    <mergeCell ref="T415:U415"/>
    <mergeCell ref="B416:AA416"/>
    <mergeCell ref="T390:U390"/>
    <mergeCell ref="B403:AA403"/>
    <mergeCell ref="L415:M415"/>
    <mergeCell ref="P415:Q415"/>
    <mergeCell ref="R413:S413"/>
    <mergeCell ref="R408:S408"/>
    <mergeCell ref="P408:Q408"/>
    <mergeCell ref="B411:E411"/>
    <mergeCell ref="L411:M411"/>
    <mergeCell ref="P411:Q411"/>
    <mergeCell ref="R368:S368"/>
    <mergeCell ref="P400:Q400"/>
    <mergeCell ref="R387:S387"/>
    <mergeCell ref="R388:S388"/>
    <mergeCell ref="P389:Q389"/>
    <mergeCell ref="R391:S391"/>
    <mergeCell ref="P390:Q390"/>
    <mergeCell ref="R389:S389"/>
    <mergeCell ref="R390:S390"/>
    <mergeCell ref="P395:Q395"/>
    <mergeCell ref="M10:T10"/>
    <mergeCell ref="B22:X22"/>
    <mergeCell ref="B100:J100"/>
    <mergeCell ref="B101:J101"/>
    <mergeCell ref="T81:U81"/>
    <mergeCell ref="T49:U49"/>
    <mergeCell ref="R49:S49"/>
    <mergeCell ref="T50:U50"/>
    <mergeCell ref="T53:U53"/>
    <mergeCell ref="B84:E84"/>
    <mergeCell ref="M9:T9"/>
    <mergeCell ref="B111:J111"/>
    <mergeCell ref="B112:J112"/>
    <mergeCell ref="B110:J110"/>
    <mergeCell ref="L110:O110"/>
    <mergeCell ref="P81:Q81"/>
    <mergeCell ref="T84:U84"/>
    <mergeCell ref="B109:J109"/>
    <mergeCell ref="T98:U98"/>
    <mergeCell ref="L92:M92"/>
    <mergeCell ref="C24:Y24"/>
    <mergeCell ref="P71:Q71"/>
    <mergeCell ref="B80:E80"/>
    <mergeCell ref="P80:Q80"/>
    <mergeCell ref="R80:S80"/>
    <mergeCell ref="B69:E69"/>
    <mergeCell ref="T80:U80"/>
    <mergeCell ref="T69:U69"/>
    <mergeCell ref="P63:Q63"/>
    <mergeCell ref="B54:X54"/>
    <mergeCell ref="T71:U71"/>
    <mergeCell ref="B71:E71"/>
    <mergeCell ref="P93:Q93"/>
    <mergeCell ref="P89:Q89"/>
    <mergeCell ref="R92:S92"/>
    <mergeCell ref="B82:E82"/>
    <mergeCell ref="B83:E83"/>
    <mergeCell ref="P83:Q83"/>
    <mergeCell ref="P82:Q82"/>
    <mergeCell ref="R83:S83"/>
    <mergeCell ref="L103:O103"/>
    <mergeCell ref="L101:O101"/>
    <mergeCell ref="L100:O100"/>
    <mergeCell ref="L104:O104"/>
    <mergeCell ref="P100:Q100"/>
    <mergeCell ref="P101:Q101"/>
    <mergeCell ref="P102:Q102"/>
    <mergeCell ref="P103:Q103"/>
    <mergeCell ref="P104:Q104"/>
    <mergeCell ref="T101:U101"/>
    <mergeCell ref="T102:U102"/>
    <mergeCell ref="T103:U103"/>
    <mergeCell ref="T104:U104"/>
    <mergeCell ref="R101:S101"/>
    <mergeCell ref="R149:S149"/>
    <mergeCell ref="R102:S102"/>
    <mergeCell ref="R103:S103"/>
    <mergeCell ref="R104:S104"/>
    <mergeCell ref="R116:S116"/>
    <mergeCell ref="R108:S108"/>
    <mergeCell ref="T111:U111"/>
    <mergeCell ref="T149:U149"/>
    <mergeCell ref="T150:U150"/>
    <mergeCell ref="T151:U151"/>
    <mergeCell ref="T123:U123"/>
    <mergeCell ref="T124:U124"/>
    <mergeCell ref="T125:U125"/>
    <mergeCell ref="T126:U126"/>
    <mergeCell ref="T142:U142"/>
    <mergeCell ref="T119:U119"/>
    <mergeCell ref="L246:M246"/>
    <mergeCell ref="P246:Q246"/>
    <mergeCell ref="L311:M311"/>
    <mergeCell ref="P311:Q311"/>
    <mergeCell ref="P267:Q267"/>
    <mergeCell ref="L260:M260"/>
    <mergeCell ref="P260:Q260"/>
    <mergeCell ref="P255:Q255"/>
    <mergeCell ref="P306:Q306"/>
    <mergeCell ref="B286:J286"/>
    <mergeCell ref="B287:J287"/>
    <mergeCell ref="B285:E285"/>
    <mergeCell ref="B281:E281"/>
    <mergeCell ref="B279:E279"/>
    <mergeCell ref="B226:AA226"/>
    <mergeCell ref="P232:Q232"/>
    <mergeCell ref="B244:AA244"/>
    <mergeCell ref="L270:M270"/>
    <mergeCell ref="P270:Q270"/>
    <mergeCell ref="P305:Q305"/>
    <mergeCell ref="T83:U83"/>
    <mergeCell ref="E19:K19"/>
    <mergeCell ref="B335:AA335"/>
    <mergeCell ref="B13:C13"/>
    <mergeCell ref="B16:C16"/>
    <mergeCell ref="B19:C19"/>
    <mergeCell ref="B14:C14"/>
    <mergeCell ref="B17:C17"/>
    <mergeCell ref="B20:C20"/>
    <mergeCell ref="L306:M306"/>
    <mergeCell ref="B243:E243"/>
    <mergeCell ref="B252:E252"/>
    <mergeCell ref="K17:R17"/>
    <mergeCell ref="E20:K20"/>
    <mergeCell ref="Z13:AA13"/>
    <mergeCell ref="Z16:AA16"/>
    <mergeCell ref="Z19:AA19"/>
    <mergeCell ref="Z14:AA14"/>
    <mergeCell ref="Z17:AA17"/>
    <mergeCell ref="L252:M252"/>
    <mergeCell ref="B210:AA210"/>
    <mergeCell ref="K14:R14"/>
    <mergeCell ref="Z20:AA20"/>
    <mergeCell ref="B269:AA269"/>
    <mergeCell ref="L243:M243"/>
    <mergeCell ref="P243:Q243"/>
    <mergeCell ref="R243:S243"/>
    <mergeCell ref="T243:U243"/>
    <mergeCell ref="B193:J193"/>
  </mergeCells>
  <phoneticPr fontId="16" type="noConversion"/>
  <pageMargins left="0.19685039370078741" right="0.19685039370078741" top="0.19685039370078741" bottom="0.19685039370078741" header="0.31496062992125984" footer="0.31496062992125984"/>
  <pageSetup paperSize="9" scale="66" orientation="landscape" verticalDpi="0" r:id="rId1"/>
  <rowBreaks count="4" manualBreakCount="4">
    <brk id="43" min="2" max="26" man="1"/>
    <brk id="68" max="26" man="1"/>
    <brk id="250" max="26" man="1"/>
    <brk id="410" max="2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1216030</vt:lpstr>
      <vt:lpstr>'1216030'!Область_друку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2020-02-17T09:59:46Z</cp:lastPrinted>
  <dcterms:created xsi:type="dcterms:W3CDTF">2019-01-14T08:15:45Z</dcterms:created>
  <dcterms:modified xsi:type="dcterms:W3CDTF">2020-02-17T09:59:56Z</dcterms:modified>
</cp:coreProperties>
</file>