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811\Паспорти УКІ\"/>
    </mc:Choice>
  </mc:AlternateContent>
  <bookViews>
    <workbookView xWindow="0" yWindow="0" windowWidth="28800" windowHeight="11835"/>
  </bookViews>
  <sheets>
    <sheet name="1417670" sheetId="2" r:id="rId1"/>
  </sheets>
  <definedNames>
    <definedName name="_xlnm.Print_Area" localSheetId="0">'1417670'!$A$1:$BM$422</definedName>
  </definedNames>
  <calcPr calcId="152511"/>
</workbook>
</file>

<file path=xl/calcChain.xml><?xml version="1.0" encoding="utf-8"?>
<calcChain xmlns="http://schemas.openxmlformats.org/spreadsheetml/2006/main">
  <c r="AW410" i="2" l="1"/>
  <c r="BE410" i="2" s="1"/>
  <c r="BE247" i="2"/>
  <c r="AW243" i="2"/>
  <c r="BE243" i="2" s="1"/>
  <c r="AW365" i="2"/>
  <c r="BE365" i="2" s="1"/>
  <c r="AW386" i="2"/>
  <c r="BE386" i="2" s="1"/>
  <c r="BE246" i="2"/>
  <c r="AW250" i="2"/>
  <c r="AW257" i="2"/>
  <c r="BE257" i="2" s="1"/>
  <c r="AS112" i="2"/>
  <c r="AW272" i="2"/>
  <c r="BE272" i="2"/>
  <c r="AS121" i="2"/>
  <c r="AW244" i="2"/>
  <c r="AS179" i="2"/>
  <c r="BT257" i="2"/>
  <c r="BT256" i="2"/>
  <c r="BT255" i="2"/>
  <c r="BT254" i="2"/>
  <c r="BT253" i="2"/>
  <c r="BT252" i="2"/>
  <c r="BT251" i="2"/>
  <c r="BT250" i="2"/>
  <c r="BT249" i="2"/>
  <c r="BT248" i="2"/>
  <c r="BT247" i="2"/>
  <c r="BT246" i="2"/>
  <c r="BT245" i="2"/>
  <c r="BT244" i="2"/>
  <c r="BT243" i="2"/>
  <c r="BT242" i="2"/>
  <c r="BT241" i="2"/>
  <c r="BT240" i="2"/>
  <c r="BT239" i="2"/>
  <c r="BT238" i="2"/>
  <c r="BT237" i="2"/>
  <c r="BT236" i="2"/>
  <c r="BT235" i="2"/>
  <c r="BT234" i="2"/>
  <c r="AS68" i="2"/>
  <c r="AS61" i="2"/>
  <c r="AS58" i="2"/>
  <c r="BA58" i="2" s="1"/>
  <c r="BA179" i="2"/>
  <c r="AS158" i="2"/>
  <c r="BA158" i="2"/>
  <c r="AS156" i="2"/>
  <c r="BA156" i="2" s="1"/>
  <c r="AS148" i="2"/>
  <c r="AS145" i="2" s="1"/>
  <c r="BA145" i="2" s="1"/>
  <c r="AW290" i="2"/>
  <c r="AS143" i="2"/>
  <c r="BA143" i="2" s="1"/>
  <c r="AS136" i="2"/>
  <c r="BA136" i="2"/>
  <c r="AS135" i="2"/>
  <c r="AS123" i="2"/>
  <c r="AW271" i="2"/>
  <c r="BE271" i="2"/>
  <c r="AS116" i="2"/>
  <c r="BA116" i="2"/>
  <c r="AS119" i="2"/>
  <c r="BA119" i="2" s="1"/>
  <c r="AS118" i="2"/>
  <c r="AW226" i="2"/>
  <c r="AW224" i="2"/>
  <c r="BE224" i="2" s="1"/>
  <c r="BE226" i="2"/>
  <c r="BA99" i="2"/>
  <c r="AS71" i="2"/>
  <c r="BA68" i="2"/>
  <c r="AS92" i="2"/>
  <c r="AS105" i="2"/>
  <c r="BA105" i="2" s="1"/>
  <c r="AS95" i="2"/>
  <c r="AS91" i="2"/>
  <c r="BA91" i="2"/>
  <c r="AS104" i="2"/>
  <c r="BA104" i="2"/>
  <c r="AS70" i="2"/>
  <c r="BA70" i="2"/>
  <c r="AS80" i="2"/>
  <c r="BA80" i="2" s="1"/>
  <c r="AS84" i="2"/>
  <c r="BA84" i="2"/>
  <c r="AS78" i="2"/>
  <c r="BE251" i="2"/>
  <c r="AS79" i="2"/>
  <c r="BA79" i="2"/>
  <c r="BA61" i="2"/>
  <c r="AS196" i="2"/>
  <c r="AS205" i="2"/>
  <c r="BA205" i="2" s="1"/>
  <c r="AS55" i="2"/>
  <c r="BA55" i="2" s="1"/>
  <c r="A59" i="2"/>
  <c r="AS59" i="2"/>
  <c r="BA59" i="2"/>
  <c r="A60" i="2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S60" i="2"/>
  <c r="BA60" i="2"/>
  <c r="AS62" i="2"/>
  <c r="BA62" i="2" s="1"/>
  <c r="AS63" i="2"/>
  <c r="BA63" i="2"/>
  <c r="AS64" i="2"/>
  <c r="BA64" i="2"/>
  <c r="AS65" i="2"/>
  <c r="BA65" i="2"/>
  <c r="AS66" i="2"/>
  <c r="BA66" i="2" s="1"/>
  <c r="AS67" i="2"/>
  <c r="BA67" i="2"/>
  <c r="AS69" i="2"/>
  <c r="BA69" i="2"/>
  <c r="BA72" i="2"/>
  <c r="BA73" i="2"/>
  <c r="BA74" i="2"/>
  <c r="BA75" i="2"/>
  <c r="AS76" i="2"/>
  <c r="BA76" i="2"/>
  <c r="BA77" i="2"/>
  <c r="BA81" i="2"/>
  <c r="BA82" i="2"/>
  <c r="BA83" i="2"/>
  <c r="BA85" i="2"/>
  <c r="BA87" i="2"/>
  <c r="A88" i="2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S88" i="2"/>
  <c r="AW220" i="2" s="1"/>
  <c r="AS89" i="2"/>
  <c r="BA89" i="2" s="1"/>
  <c r="AS90" i="2"/>
  <c r="BA90" i="2" s="1"/>
  <c r="BA92" i="2"/>
  <c r="BA93" i="2"/>
  <c r="AS94" i="2"/>
  <c r="BA94" i="2" s="1"/>
  <c r="BA95" i="2"/>
  <c r="BA96" i="2"/>
  <c r="AS97" i="2"/>
  <c r="BA97" i="2" s="1"/>
  <c r="BA98" i="2"/>
  <c r="AS101" i="2"/>
  <c r="A102" i="2"/>
  <c r="A103" i="2" s="1"/>
  <c r="A104" i="2" s="1"/>
  <c r="A105" i="2" s="1"/>
  <c r="AS102" i="2"/>
  <c r="BA102" i="2" s="1"/>
  <c r="AS103" i="2"/>
  <c r="AS100" i="2" s="1"/>
  <c r="BA100" i="2" s="1"/>
  <c r="AS106" i="2"/>
  <c r="BA106" i="2" s="1"/>
  <c r="AS109" i="2"/>
  <c r="AW266" i="2" s="1"/>
  <c r="A110" i="2"/>
  <c r="AS110" i="2"/>
  <c r="BA110" i="2" s="1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S111" i="2"/>
  <c r="BA111" i="2" s="1"/>
  <c r="BA112" i="2"/>
  <c r="AS113" i="2"/>
  <c r="BA113" i="2" s="1"/>
  <c r="AS114" i="2"/>
  <c r="BA114" i="2" s="1"/>
  <c r="AS115" i="2"/>
  <c r="BA115" i="2" s="1"/>
  <c r="AS117" i="2"/>
  <c r="BA117" i="2"/>
  <c r="BA118" i="2"/>
  <c r="BA120" i="2"/>
  <c r="BA121" i="2"/>
  <c r="BA123" i="2"/>
  <c r="A124" i="2"/>
  <c r="A125" i="2" s="1"/>
  <c r="A126" i="2" s="1"/>
  <c r="A127" i="2" s="1"/>
  <c r="A128" i="2" s="1"/>
  <c r="BA124" i="2"/>
  <c r="AS125" i="2"/>
  <c r="BA125" i="2"/>
  <c r="AS126" i="2"/>
  <c r="BA126" i="2" s="1"/>
  <c r="AS127" i="2"/>
  <c r="BA127" i="2"/>
  <c r="BA128" i="2"/>
  <c r="AS130" i="2"/>
  <c r="BA130" i="2" s="1"/>
  <c r="AS131" i="2"/>
  <c r="BA131" i="2"/>
  <c r="AS134" i="2"/>
  <c r="BA134" i="2" s="1"/>
  <c r="A135" i="2"/>
  <c r="A136" i="2"/>
  <c r="A137" i="2" s="1"/>
  <c r="A138" i="2" s="1"/>
  <c r="A139" i="2" s="1"/>
  <c r="A140" i="2" s="1"/>
  <c r="A141" i="2" s="1"/>
  <c r="A142" i="2" s="1"/>
  <c r="A143" i="2" s="1"/>
  <c r="AS137" i="2"/>
  <c r="AS133" i="2" s="1"/>
  <c r="BA138" i="2"/>
  <c r="AS139" i="2"/>
  <c r="BA139" i="2"/>
  <c r="BA140" i="2"/>
  <c r="BA141" i="2"/>
  <c r="BA142" i="2"/>
  <c r="AS144" i="2"/>
  <c r="AW287" i="2" s="1"/>
  <c r="BA146" i="2"/>
  <c r="A147" i="2"/>
  <c r="BA147" i="2"/>
  <c r="A148" i="2"/>
  <c r="A149" i="2" s="1"/>
  <c r="BA149" i="2"/>
  <c r="BA151" i="2"/>
  <c r="A152" i="2"/>
  <c r="A153" i="2" s="1"/>
  <c r="A154" i="2" s="1"/>
  <c r="A155" i="2" s="1"/>
  <c r="A156" i="2" s="1"/>
  <c r="A157" i="2" s="1"/>
  <c r="A158" i="2" s="1"/>
  <c r="A159" i="2" s="1"/>
  <c r="BA152" i="2"/>
  <c r="BA153" i="2"/>
  <c r="AS154" i="2"/>
  <c r="BA154" i="2"/>
  <c r="BA155" i="2"/>
  <c r="BA157" i="2"/>
  <c r="BA159" i="2"/>
  <c r="BA161" i="2"/>
  <c r="A162" i="2"/>
  <c r="A163" i="2" s="1"/>
  <c r="A164" i="2" s="1"/>
  <c r="AS162" i="2"/>
  <c r="BA162" i="2" s="1"/>
  <c r="BA163" i="2"/>
  <c r="AS164" i="2"/>
  <c r="AW324" i="2" s="1"/>
  <c r="AS165" i="2"/>
  <c r="BA165" i="2" s="1"/>
  <c r="BA166" i="2"/>
  <c r="BA168" i="2"/>
  <c r="A169" i="2"/>
  <c r="AS169" i="2"/>
  <c r="BA169" i="2"/>
  <c r="A170" i="2"/>
  <c r="A171" i="2" s="1"/>
  <c r="A172" i="2" s="1"/>
  <c r="BA170" i="2"/>
  <c r="AS171" i="2"/>
  <c r="BA171" i="2" s="1"/>
  <c r="AS172" i="2"/>
  <c r="BA172" i="2"/>
  <c r="AS174" i="2"/>
  <c r="BA174" i="2" s="1"/>
  <c r="A175" i="2"/>
  <c r="A176" i="2"/>
  <c r="BA175" i="2"/>
  <c r="BA176" i="2"/>
  <c r="AS177" i="2"/>
  <c r="BA177" i="2"/>
  <c r="A180" i="2"/>
  <c r="AS180" i="2"/>
  <c r="BA180" i="2"/>
  <c r="A181" i="2"/>
  <c r="A182" i="2" s="1"/>
  <c r="A183" i="2" s="1"/>
  <c r="AS181" i="2"/>
  <c r="BA181" i="2" s="1"/>
  <c r="BA182" i="2"/>
  <c r="AS183" i="2"/>
  <c r="BA183" i="2"/>
  <c r="AS184" i="2"/>
  <c r="BA184" i="2" s="1"/>
  <c r="AS186" i="2"/>
  <c r="AS185" i="2"/>
  <c r="BA185" i="2"/>
  <c r="AS187" i="2"/>
  <c r="AS206" i="2" s="1"/>
  <c r="BA188" i="2"/>
  <c r="BT189" i="2"/>
  <c r="AW217" i="2"/>
  <c r="BE217" i="2" s="1"/>
  <c r="BE219" i="2"/>
  <c r="AW222" i="2"/>
  <c r="BE222" i="2" s="1"/>
  <c r="AW225" i="2"/>
  <c r="BE225" i="2"/>
  <c r="AW227" i="2"/>
  <c r="BE227" i="2" s="1"/>
  <c r="BE235" i="2"/>
  <c r="AW236" i="2"/>
  <c r="BE236" i="2"/>
  <c r="AW238" i="2"/>
  <c r="BE238" i="2" s="1"/>
  <c r="AW239" i="2"/>
  <c r="BE239" i="2"/>
  <c r="AW240" i="2"/>
  <c r="BE240" i="2" s="1"/>
  <c r="AW241" i="2"/>
  <c r="BE241" i="2"/>
  <c r="AW242" i="2"/>
  <c r="BE242" i="2" s="1"/>
  <c r="BE244" i="2"/>
  <c r="AW245" i="2"/>
  <c r="BE245" i="2" s="1"/>
  <c r="AW248" i="2"/>
  <c r="BE248" i="2"/>
  <c r="BE249" i="2"/>
  <c r="BE250" i="2"/>
  <c r="BE253" i="2"/>
  <c r="AW254" i="2"/>
  <c r="BE254" i="2" s="1"/>
  <c r="AW255" i="2"/>
  <c r="BE255" i="2"/>
  <c r="AW256" i="2"/>
  <c r="BE256" i="2" s="1"/>
  <c r="BE259" i="2"/>
  <c r="AW267" i="2"/>
  <c r="BE267" i="2"/>
  <c r="AW269" i="2"/>
  <c r="BE269" i="2" s="1"/>
  <c r="AW273" i="2"/>
  <c r="AW277" i="2"/>
  <c r="BE277" i="2" s="1"/>
  <c r="BE290" i="2"/>
  <c r="BE291" i="2"/>
  <c r="AW292" i="2"/>
  <c r="BE292" i="2"/>
  <c r="AY298" i="2"/>
  <c r="BA298" i="2"/>
  <c r="BC298" i="2"/>
  <c r="AW306" i="2"/>
  <c r="AW312" i="2" s="1"/>
  <c r="BE312" i="2" s="1"/>
  <c r="AW308" i="2"/>
  <c r="BE308" i="2"/>
  <c r="BE309" i="2"/>
  <c r="AW321" i="2"/>
  <c r="BE321" i="2" s="1"/>
  <c r="AW322" i="2"/>
  <c r="BE322" i="2"/>
  <c r="AW323" i="2"/>
  <c r="BE323" i="2" s="1"/>
  <c r="BE326" i="2"/>
  <c r="AW327" i="2"/>
  <c r="BE327" i="2"/>
  <c r="AW328" i="2"/>
  <c r="BE328" i="2" s="1"/>
  <c r="BE329" i="2"/>
  <c r="AW331" i="2"/>
  <c r="BE331" i="2" s="1"/>
  <c r="AX336" i="2"/>
  <c r="AY336" i="2"/>
  <c r="AZ336" i="2"/>
  <c r="BA336" i="2"/>
  <c r="BB336" i="2"/>
  <c r="BC336" i="2"/>
  <c r="BD336" i="2"/>
  <c r="AW343" i="2"/>
  <c r="AW342" i="2"/>
  <c r="AW353" i="2" s="1"/>
  <c r="BE353" i="2" s="1"/>
  <c r="BE343" i="2"/>
  <c r="AW344" i="2"/>
  <c r="BE344" i="2" s="1"/>
  <c r="BE346" i="2"/>
  <c r="BE347" i="2"/>
  <c r="AW349" i="2"/>
  <c r="BE349" i="2"/>
  <c r="AW350" i="2"/>
  <c r="BE350" i="2" s="1"/>
  <c r="AW352" i="2"/>
  <c r="BE352" i="2" s="1"/>
  <c r="AY353" i="2"/>
  <c r="BA353" i="2"/>
  <c r="BC353" i="2"/>
  <c r="AW359" i="2"/>
  <c r="BE359" i="2"/>
  <c r="BE361" i="2"/>
  <c r="AY365" i="2"/>
  <c r="BA365" i="2"/>
  <c r="BC365" i="2"/>
  <c r="AW372" i="2"/>
  <c r="AW381" i="2"/>
  <c r="BE381" i="2"/>
  <c r="AW373" i="2"/>
  <c r="BE373" i="2" s="1"/>
  <c r="AW374" i="2"/>
  <c r="BE374" i="2"/>
  <c r="AW375" i="2"/>
  <c r="BE375" i="2"/>
  <c r="BE377" i="2"/>
  <c r="AW378" i="2"/>
  <c r="BE378" i="2" s="1"/>
  <c r="BE379" i="2"/>
  <c r="AW383" i="2"/>
  <c r="BE383" i="2"/>
  <c r="AW384" i="2"/>
  <c r="BE384" i="2"/>
  <c r="AX386" i="2"/>
  <c r="AY386" i="2"/>
  <c r="AZ386" i="2"/>
  <c r="BA386" i="2"/>
  <c r="BB386" i="2"/>
  <c r="BC386" i="2"/>
  <c r="BD386" i="2"/>
  <c r="AW392" i="2"/>
  <c r="AW398" i="2" s="1"/>
  <c r="BE398" i="2" s="1"/>
  <c r="BE392" i="2"/>
  <c r="BE394" i="2"/>
  <c r="AW396" i="2"/>
  <c r="BE396" i="2" s="1"/>
  <c r="AX398" i="2"/>
  <c r="AY398" i="2"/>
  <c r="AZ398" i="2"/>
  <c r="BA398" i="2"/>
  <c r="BB398" i="2"/>
  <c r="BC398" i="2"/>
  <c r="BD398" i="2"/>
  <c r="BE404" i="2"/>
  <c r="BE406" i="2"/>
  <c r="AW408" i="2"/>
  <c r="BE408" i="2" s="1"/>
  <c r="AX410" i="2"/>
  <c r="AY410" i="2"/>
  <c r="AZ410" i="2"/>
  <c r="BA410" i="2"/>
  <c r="BB410" i="2"/>
  <c r="BC410" i="2"/>
  <c r="BD410" i="2"/>
  <c r="A420" i="2"/>
  <c r="AW371" i="2"/>
  <c r="BE371" i="2"/>
  <c r="AW332" i="2"/>
  <c r="BE332" i="2"/>
  <c r="AS173" i="2"/>
  <c r="AS203" i="2" s="1"/>
  <c r="AS160" i="2"/>
  <c r="BA160" i="2" s="1"/>
  <c r="AS129" i="2"/>
  <c r="BA129" i="2" s="1"/>
  <c r="AW363" i="2"/>
  <c r="BE363" i="2"/>
  <c r="BA101" i="2"/>
  <c r="BE273" i="2"/>
  <c r="BA186" i="2"/>
  <c r="AS167" i="2"/>
  <c r="AS202" i="2" s="1"/>
  <c r="BA173" i="2"/>
  <c r="BA167" i="2"/>
  <c r="BA196" i="2"/>
  <c r="BV196" i="2"/>
  <c r="BE372" i="2"/>
  <c r="AW305" i="2"/>
  <c r="BE305" i="2" s="1"/>
  <c r="BA148" i="2"/>
  <c r="AW288" i="2"/>
  <c r="BE288" i="2" s="1"/>
  <c r="BA135" i="2"/>
  <c r="BA71" i="2"/>
  <c r="AW218" i="2"/>
  <c r="BA78" i="2"/>
  <c r="BE252" i="2"/>
  <c r="BE234" i="2"/>
  <c r="AW237" i="2"/>
  <c r="BE237" i="2"/>
  <c r="AW311" i="2"/>
  <c r="BE311" i="2" s="1"/>
  <c r="AW304" i="2"/>
  <c r="AW314" i="2" s="1"/>
  <c r="BE314" i="2" s="1"/>
  <c r="AW296" i="2"/>
  <c r="BE296" i="2" s="1"/>
  <c r="BE218" i="2"/>
  <c r="AW230" i="2"/>
  <c r="BT230" i="2" s="1"/>
  <c r="AW231" i="2" l="1"/>
  <c r="BE220" i="2"/>
  <c r="BV202" i="2"/>
  <c r="BA202" i="2"/>
  <c r="AW275" i="2"/>
  <c r="BE275" i="2" s="1"/>
  <c r="BE266" i="2"/>
  <c r="BA203" i="2"/>
  <c r="BV203" i="2"/>
  <c r="AW334" i="2"/>
  <c r="BE334" i="2" s="1"/>
  <c r="BE324" i="2"/>
  <c r="AW320" i="2"/>
  <c r="BA206" i="2"/>
  <c r="BV206" i="2"/>
  <c r="AW286" i="2"/>
  <c r="AS132" i="2"/>
  <c r="BA133" i="2"/>
  <c r="BE287" i="2"/>
  <c r="AW295" i="2"/>
  <c r="BE295" i="2" s="1"/>
  <c r="BE342" i="2"/>
  <c r="BA88" i="2"/>
  <c r="BE304" i="2"/>
  <c r="AS150" i="2"/>
  <c r="AW333" i="2"/>
  <c r="BE333" i="2" s="1"/>
  <c r="BE306" i="2"/>
  <c r="BA187" i="2"/>
  <c r="AS57" i="2"/>
  <c r="AW221" i="2"/>
  <c r="BA164" i="2"/>
  <c r="BA144" i="2"/>
  <c r="BA137" i="2"/>
  <c r="BA103" i="2"/>
  <c r="BV205" i="2"/>
  <c r="AS86" i="2"/>
  <c r="BA86" i="2" s="1"/>
  <c r="AS178" i="2"/>
  <c r="AS122" i="2"/>
  <c r="BA122" i="2" s="1"/>
  <c r="AW268" i="2"/>
  <c r="AW265" i="2" s="1"/>
  <c r="BE230" i="2"/>
  <c r="AW216" i="2"/>
  <c r="BA109" i="2"/>
  <c r="AW382" i="2"/>
  <c r="BE382" i="2" s="1"/>
  <c r="AS108" i="2"/>
  <c r="AW279" i="2" l="1"/>
  <c r="BE279" i="2" s="1"/>
  <c r="BE265" i="2"/>
  <c r="AS199" i="2"/>
  <c r="BA132" i="2"/>
  <c r="AS200" i="2"/>
  <c r="BA150" i="2"/>
  <c r="BE286" i="2"/>
  <c r="AW285" i="2"/>
  <c r="AW294" i="2"/>
  <c r="BE294" i="2" s="1"/>
  <c r="BE268" i="2"/>
  <c r="AW276" i="2"/>
  <c r="BE276" i="2" s="1"/>
  <c r="BE221" i="2"/>
  <c r="AW232" i="2"/>
  <c r="BE232" i="2" s="1"/>
  <c r="AS201" i="2"/>
  <c r="BA201" i="2" s="1"/>
  <c r="BE320" i="2"/>
  <c r="AW336" i="2"/>
  <c r="BE336" i="2" s="1"/>
  <c r="AS204" i="2"/>
  <c r="BA178" i="2"/>
  <c r="AS56" i="2"/>
  <c r="BA57" i="2"/>
  <c r="AW229" i="2"/>
  <c r="BE216" i="2"/>
  <c r="AW215" i="2"/>
  <c r="BA108" i="2"/>
  <c r="AS107" i="2"/>
  <c r="BT231" i="2"/>
  <c r="BE231" i="2"/>
  <c r="AS198" i="2" l="1"/>
  <c r="BA107" i="2"/>
  <c r="AW258" i="2"/>
  <c r="BE258" i="2" s="1"/>
  <c r="BE215" i="2"/>
  <c r="BE285" i="2"/>
  <c r="AW298" i="2"/>
  <c r="BE298" i="2" s="1"/>
  <c r="BT229" i="2"/>
  <c r="BE229" i="2"/>
  <c r="BA200" i="2"/>
  <c r="BV200" i="2"/>
  <c r="BV204" i="2"/>
  <c r="BA204" i="2"/>
  <c r="BA56" i="2"/>
  <c r="AS197" i="2"/>
  <c r="BV56" i="2"/>
  <c r="AS189" i="2"/>
  <c r="BV199" i="2"/>
  <c r="BA199" i="2"/>
  <c r="BA189" i="2" l="1"/>
  <c r="BV189" i="2"/>
  <c r="I23" i="2"/>
  <c r="U22" i="2" s="1"/>
  <c r="BV197" i="2"/>
  <c r="AS207" i="2"/>
  <c r="BA207" i="2" s="1"/>
  <c r="BA197" i="2"/>
  <c r="BV198" i="2"/>
  <c r="BA198" i="2"/>
</calcChain>
</file>

<file path=xl/sharedStrings.xml><?xml version="1.0" encoding="utf-8"?>
<sst xmlns="http://schemas.openxmlformats.org/spreadsheetml/2006/main" count="817" uniqueCount="329">
  <si>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</si>
  <si>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</si>
  <si>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</si>
  <si>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</si>
  <si>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</si>
  <si>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</si>
  <si>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</si>
  <si>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</si>
  <si>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</si>
  <si>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</si>
  <si>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</si>
  <si>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</si>
  <si>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</si>
  <si>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</si>
  <si>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</si>
  <si>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</si>
  <si>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</si>
  <si>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</si>
  <si>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</si>
  <si>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</si>
  <si>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</si>
  <si>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</si>
  <si>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</si>
  <si>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</si>
  <si>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</si>
  <si>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</si>
  <si>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</si>
  <si>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</si>
  <si>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</si>
  <si>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</si>
  <si>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</si>
  <si>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</si>
  <si>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</si>
  <si>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</si>
  <si>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</si>
  <si>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</si>
  <si>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</si>
  <si>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</si>
  <si>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</si>
  <si>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</si>
  <si>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</si>
  <si>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</si>
  <si>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</si>
  <si>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</si>
  <si>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</si>
  <si>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сталого функціонування комунальних підприємств та надання послуг населенню</t>
  </si>
  <si>
    <t>Внески до статутного капіталу міського комунального підприємства  "Хмельницькводоканал"</t>
  </si>
  <si>
    <t>УСЬОГО</t>
  </si>
  <si>
    <t>затрат</t>
  </si>
  <si>
    <t>грн.</t>
  </si>
  <si>
    <t>якості</t>
  </si>
  <si>
    <t>відс.</t>
  </si>
  <si>
    <t>Підтримка підприємств  комунальної форми власності</t>
  </si>
  <si>
    <t>Фінансове управління Хмельницької міської ради</t>
  </si>
  <si>
    <t>03356163</t>
  </si>
  <si>
    <t>Внески до статутного капіталу суб`єктів господарювання</t>
  </si>
  <si>
    <t>7670</t>
  </si>
  <si>
    <t>0490</t>
  </si>
  <si>
    <t>Внески до статутного капіталу ХКП "Спецкомунтранс" (Нове будівництво самопливного каналізаційного колектора Хмельницького полігону ТВП  за адресою м. Хмельницький проспект Миру,7)</t>
  </si>
  <si>
    <t>Управління комунальної інфраструктури Хмельницької міської ради</t>
  </si>
  <si>
    <t xml:space="preserve">співвідношення суми поповнення статутного капіталу до розміру статутного капіталу на початок року </t>
  </si>
  <si>
    <t>розрахунково</t>
  </si>
  <si>
    <t>гривень</t>
  </si>
  <si>
    <t>зведений кошторисний розрахунок</t>
  </si>
  <si>
    <t>ефективності</t>
  </si>
  <si>
    <t>продукту</t>
  </si>
  <si>
    <t>рішення сесії міської ради</t>
  </si>
  <si>
    <t>од.</t>
  </si>
  <si>
    <t>Наказ</t>
  </si>
  <si>
    <t>Внески до статутного капіталу міського комунального підприємства  "Хмельницьктеплокомуненерго"</t>
  </si>
  <si>
    <t>техніко-економічне обгрунтування</t>
  </si>
  <si>
    <t>лист-звернення</t>
  </si>
  <si>
    <t>ефнктивності</t>
  </si>
  <si>
    <t>бюджетної програми місцевого бюджету на 2023  рік</t>
  </si>
  <si>
    <t>Завдання 1. Поповнення статутного капіталу для функціонування міського комунального підприємства  "Хмельницькводоканал"</t>
  </si>
  <si>
    <t>Завдання 2. Поповнення статутного капіталу для функціонування міського комунального підприємства  "Хмельницьктеплокомуненерго"</t>
  </si>
  <si>
    <t>обсяг видатків на реконструкцію системи живлення  ВНС-10 (придбання силових кабелів)</t>
  </si>
  <si>
    <t xml:space="preserve">кількість насосних агрегатів, що планується придбати </t>
  </si>
  <si>
    <t>витрати на придбання 1 насосного агрегату</t>
  </si>
  <si>
    <t xml:space="preserve">відсоток передбачених коштів на реконструкцію ділянки водопроводу від вул. Кам`янецька по вул. Проскурівського підпілля до р. Плоска в м.Хмельницький до зведеного кошторису </t>
  </si>
  <si>
    <t>Завдання 2. Поповнення статутного капіталу для функціонування  міського комунального підприємства  "Хмельницьктеплокомуненерго"</t>
  </si>
  <si>
    <t xml:space="preserve">обсяг видатків на придбання частотно-регулюючих приводів </t>
  </si>
  <si>
    <t>обсяг видатків, в т. ч.:</t>
  </si>
  <si>
    <t>кількість об'єктів, які планується відремонтувати</t>
  </si>
  <si>
    <t>середні витрати на проведення капітального ремонту 1 об'єкту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</si>
  <si>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</si>
  <si>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</si>
  <si>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 xml:space="preserve">комерційна пропозиція </t>
  </si>
  <si>
    <t>м</t>
  </si>
  <si>
    <t xml:space="preserve">середні витрати на будівництво та реконструкцію ділянки водопроводу, самопливного каналізаційного колектора на 1 об'єкті </t>
  </si>
  <si>
    <t>Внески до статутного капіталу комунального підприємства по будівництву, ремонту та експлуатації доріг</t>
  </si>
  <si>
    <t>Внески до статутного капіталу комунального підприємства по зеленому будівництву і благоустрою міста</t>
  </si>
  <si>
    <t xml:space="preserve">Внески до статутного капіталу спеціалізованого комунального підприємства «Хмельницька міська ритуальна служба» </t>
  </si>
  <si>
    <t xml:space="preserve">Внески до статутного капіталу комунального підприємства «Акведук» </t>
  </si>
  <si>
    <t xml:space="preserve">Внески до статутного капіталу Хмельницького комунального підприємства "Спецкомунтранс" </t>
  </si>
  <si>
    <t xml:space="preserve">Внески до статутного капіталу Хмельницького комунального підприємства "Міськсвітло" </t>
  </si>
  <si>
    <t>обсяг видатків на погашення кредиторської заборгованості</t>
  </si>
  <si>
    <t>обсяг видатків на придбання спеціалізованої техніки</t>
  </si>
  <si>
    <t>кількість спеціалізованої техніки, що планується придбати</t>
  </si>
  <si>
    <t>обсяг видатків на придбання обладнання для господарської діяльності</t>
  </si>
  <si>
    <t>кількість обладнання для господарської діяльності, що планується придбати</t>
  </si>
  <si>
    <t xml:space="preserve">продукту </t>
  </si>
  <si>
    <t>витрати на придбання 1 од. спеціалізованої техніки</t>
  </si>
  <si>
    <t>Завдання 3. Поповнення статутного капіталу для функціонування комунального підприємства по будівництву, ремонту та експлуатації доріг</t>
  </si>
  <si>
    <t>грн</t>
  </si>
  <si>
    <t>Завдання 4. Поповнення статутного капіталу для функціонування комунального підприємства по зеленому будівництву і благоустрою міста</t>
  </si>
  <si>
    <t xml:space="preserve">Завдання 5. Поповнення статутного капіталу для функціонування спеціалізованого комунального підприємства «Хмельницька міська ритуальна служба» </t>
  </si>
  <si>
    <t xml:space="preserve">Завдання 6. Поповнення статутного капіталу для функціонування комунального підприємства «Акведук» </t>
  </si>
  <si>
    <t xml:space="preserve">Завдання 7. Поповнення статутного капіталу для функціонування комунального підприємства "Парки та сквери міста Хмельницького" </t>
  </si>
  <si>
    <t xml:space="preserve">Завдання 8. Поповнення статутного капіталу для функціонування Хмельницького комунального підприємства "Спецкомунтранс" </t>
  </si>
  <si>
    <t xml:space="preserve">Завдання 9. Поповнення статутного капіталу для функціонування Хмельницького комунального підприємства "Міськсвітло" </t>
  </si>
  <si>
    <t>кількість ПКД, що планується виготовити</t>
  </si>
  <si>
    <t>середні витрати на придбання 1 од. спеціалізованої техніки</t>
  </si>
  <si>
    <t>обсяг видатків на капітальний ремонт території Будинку траурних обрядів</t>
  </si>
  <si>
    <t xml:space="preserve">обсяг видатків на придбання вбиральні модульної </t>
  </si>
  <si>
    <t>середні витрати на придбання 1 од. обладнання для господарської діяльності</t>
  </si>
  <si>
    <t xml:space="preserve">витрати на придбання 1 вбиральні модульної </t>
  </si>
  <si>
    <t>Завдання 6. Поповнення статутного капіталу для функціонування комунального підприємства "Акведук" Хмельницької міської ради</t>
  </si>
  <si>
    <t>обсяг видатків на нове будівництво станції очищення господарсько-побутових стічних вод</t>
  </si>
  <si>
    <t>звелений кошторисний розрахунок</t>
  </si>
  <si>
    <t>витрати на проведення капітального ремонту 1 об'єкту</t>
  </si>
  <si>
    <t>комерційна пропозиція</t>
  </si>
  <si>
    <t xml:space="preserve">обсяг видатків на нове будівництво нежитлового приміщення </t>
  </si>
  <si>
    <t>кількість об'єктів, які планується побудувати</t>
  </si>
  <si>
    <t>Завдання 9. Поповнення статутного капіталу для функціонування Хмельницького комунального підприємства "Міськсвітло"</t>
  </si>
  <si>
    <t xml:space="preserve">Внески до статутного капіталу комунального підприємства "Парки і сквери міста Хмельницького" </t>
  </si>
  <si>
    <t xml:space="preserve">Завдання 7. Поповнення статутного капіталу для функціонування комунального підприємства "Парки і сквери міста Хмельницького" </t>
  </si>
  <si>
    <t>обсяг видатків на виконання робіт з будівництва, капітального ремонту та реконструкції ділянки водопроводу, самопливного каналізаційного колектора, мережі</t>
  </si>
  <si>
    <t>кількість об'єктів, на яких планується здійснити будівництво, капітальний ремонт та реконструкцію ділянки водопроводу, самопливного каналізаційного колектора, мережі</t>
  </si>
  <si>
    <t xml:space="preserve">кількість обладнання для господарської діяльності, що планується придбати </t>
  </si>
  <si>
    <t xml:space="preserve">відсоток передбачених коштів на реконструкцію ділянки водопроводу діаметром 500 мм по вул. Тернопільська в м. Хмельницький до зведеного кошторису </t>
  </si>
  <si>
    <t>кількість вбиралень громадських, що планується придбати</t>
  </si>
  <si>
    <t xml:space="preserve">відсоток передбачених коштів на 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 до зведеного кошторису </t>
  </si>
  <si>
    <t>витрати на будівництво 1 об'єкту</t>
  </si>
  <si>
    <t>2256400000</t>
  </si>
  <si>
    <t>витрати на придбання 1 од. обладнання для господарської діяльності</t>
  </si>
  <si>
    <t>Погашення кредиторської заборгованості за 2022 рік</t>
  </si>
  <si>
    <t>рівень погашення кредиторської заборгованості за 2022 рік</t>
  </si>
  <si>
    <t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</t>
  </si>
  <si>
    <t>Програма підтримки і розвитку комунального підприємства «Акведук» Хмельницької міської ради на 2023 – 2027 роки</t>
  </si>
  <si>
    <t>Програма підтримки і розвитку комунального підприємства «Парки і сквери міста Хмельницького» на 2023 – 2027 роки</t>
  </si>
  <si>
    <t>рази</t>
  </si>
  <si>
    <t xml:space="preserve">Завдання 10. Поповнення статутного капіталу для функціонування комунального підприємства "Елеватор" </t>
  </si>
  <si>
    <t xml:space="preserve">Внески до статутного капіталу комунального підприємства "Елеватор" </t>
  </si>
  <si>
    <t>обсяг видатків на придбання євроконтейнерів</t>
  </si>
  <si>
    <t>кількість євроконтейнерів, що планується придбати</t>
  </si>
  <si>
    <t>витрати на придбання 1 од. євроконтейнера</t>
  </si>
  <si>
    <t>Внески до статутного капіталу комунального підприємства КП "Парки та сквери міста Хмельницького" (Придбання вбиральні модульної)</t>
  </si>
  <si>
    <t>Внески до статутного капіталу Хмельницького комунального підприємства "Спецкомунтранс" (Реконструкція "Винос газопроводу високого тиску з тіла полігону твердих побутових відходів м. Хмельницького" (коригування))</t>
  </si>
  <si>
    <t>обсяг видатків на придбання обладнання та металоконструкцій для господарської діяльності</t>
  </si>
  <si>
    <t xml:space="preserve">обсяг видатків на виготовлення ПКД </t>
  </si>
  <si>
    <t>кількість обладнання та металоконструкцій для господарської діяльності, що планується придбати</t>
  </si>
  <si>
    <t>обсяг видатків на будівництво критого навісу (складу) за адресою: м. Хмельницький, вул. Симона Петлюри, 52</t>
  </si>
  <si>
    <t xml:space="preserve">витрати на будівництво критого навісу (складу) </t>
  </si>
  <si>
    <t xml:space="preserve">Внески до статутного капіталу спеціалізованого комунального підприємства «Хмельницька міська ритуальна служба» (Придбання металоконструкцій для господарської діяльності - модульні офіси )  </t>
  </si>
  <si>
    <t xml:space="preserve">обсяг видатків на розробку проекту  на нове будівництво  каналізаційного колектору </t>
  </si>
  <si>
    <t xml:space="preserve">витрати спрямовані на розробку1  проекту на нове будівництво самопливного каналізаційного колектору </t>
  </si>
  <si>
    <t>Програму підтримки і розвитку Хмельницького комунального підприємства «Міськсвітло» на 2023-2027 роки</t>
  </si>
  <si>
    <t>обсяг видатків на 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</t>
  </si>
  <si>
    <t>витрати на виготовлення 1 ПКД та проведення її експертизи</t>
  </si>
  <si>
    <t>1.1</t>
  </si>
  <si>
    <t xml:space="preserve">Виконання робіт з будівництва, капітального ремонту та реконструкції ділянки водопроводу, самопливного каналізаційного колектора, мережі (в т. ч. виготовлення ПКД) </t>
  </si>
  <si>
    <t>1.2</t>
  </si>
  <si>
    <t>Придбання обладнання для господарської діяльності</t>
  </si>
  <si>
    <t>Придбання спеціалізованої техніки</t>
  </si>
  <si>
    <t>1.3</t>
  </si>
  <si>
    <t>1.4.</t>
  </si>
  <si>
    <t>2.1</t>
  </si>
  <si>
    <t>Капітальний ремонт когенераційної установки із заміною щита керування та турбокомпресора, теплової мережі, будівництво кабельних ліній</t>
  </si>
  <si>
    <t>обсяг видатків на капітальний ремонт когенераційної установки із заміною щита керування та турбокомпресора, теплової мережі, будівництво кабельних ліній</t>
  </si>
  <si>
    <t>2.2</t>
  </si>
  <si>
    <t>2.3</t>
  </si>
  <si>
    <t>3.1</t>
  </si>
  <si>
    <t>3.2</t>
  </si>
  <si>
    <t>3.3</t>
  </si>
  <si>
    <t>Придбання обладнання та металоконструкцій для господарської діяльності</t>
  </si>
  <si>
    <t>обсяг видатків на реконструкцію системи живлення КОС-2 (придбання кабелю для підключення резервного живлення)</t>
  </si>
  <si>
    <t>середні витрати на придбання 1 од. обладнання для господарської діяльності, що планується придбати</t>
  </si>
  <si>
    <t>Реконструкція водопроводу від вул. Проскурівська по пров. Проскурівський, вул. Пилипчука до пров. Шевченка в м. Хмельницький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</si>
  <si>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</si>
  <si>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Будівництво ділянки водопроводу діам. 315 мм по вул. К. Степанкова в м. Хмельницький</t>
  </si>
  <si>
    <t>Реконструкція ділянки водопроводу від вул. 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</si>
  <si>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 П. Мирного) в м. Хмельницький</t>
  </si>
  <si>
    <t>Реконструкція ділянки водопроводу від ж.б. №4 до ж.б. №2 по вул. Шухевича в м. Хмельницький</t>
  </si>
  <si>
    <t>Реконструкція водопроводу по вул. Шестакова, від вул. Староміська до ж.б. № 46, 39 по вул. Шестакова в м. Хмельницький</t>
  </si>
  <si>
    <t>Реконструкція ділянки водопроводу діам. 110 мм по вул. Тернопільська між буд. № 30 - № 34 в м. Хмельницький</t>
  </si>
  <si>
    <t>Реконструкція ділянки водопроводу діам. 160 мм по вул. Прибузька між буд. №10 - №12 в м. Хмельницький</t>
  </si>
  <si>
    <t xml:space="preserve">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</si>
  <si>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>Реконструкція напірного каналізаційного колектора діаметром 225 мм від КНС-22, вул. Кам`янецька, 134/1Д в м. Хмельницький</t>
  </si>
  <si>
    <t>Реконструкція самопливного каналізаційного колектора від буд. №4А по  вул. Свободи до буд.№20/2 по вул. Зарічанській в м. Хмельницький</t>
  </si>
  <si>
    <t>Будівництво мережі водовідведення вул. Д.Нечая, вул. Блакитної, пров. Молодіжного в м. 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</si>
  <si>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</si>
  <si>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Капітальний ремонт КНС з благоустроєм території в мкр. "Лезневе" у м. Хмельницький</t>
  </si>
  <si>
    <t>Капітальний ремонт зовнішніх мереж каналізації по вул. Болбочана, 6а в м. Хмельницький</t>
  </si>
  <si>
    <t>Реконструкція ділянки каналізаційної мережі від ж.б. № 3 та № 3/1 по вул. Січових Стрільців з переходом даної вулиці в м. Хмельницькому</t>
  </si>
  <si>
    <t>Нове будівництво зовнішніх мереж водопроводу в с. Шаровечка, Хмельницького району, Хмельницької області (2 черга)</t>
  </si>
  <si>
    <t>Виготовлення проєктно-кошторисної документації на нове будівництво підвідного водогону до с. Іванківці Хмельницької  ОТГ Хмельницького району</t>
  </si>
  <si>
    <t>Реконструкція ділянки водопроводу по вул. Проскурівська, 66 в  м. Хмельницький</t>
  </si>
  <si>
    <t>Реконструкція ділянки водопроводу від вул. Партизанської до вул. Волочиської в м. Хмельницькому</t>
  </si>
  <si>
    <t>Реконструкція каналізаційної мережі по вул. С. Бандери,22 в м. Хмельницький</t>
  </si>
  <si>
    <t xml:space="preserve">Реконструкція колодязів із заміною люків на каналізаційних мережах у м. Хмельницькому </t>
  </si>
  <si>
    <t>Реконструкція колодязів із заміною люків на водопровідних мережах у м. Хмельницькому</t>
  </si>
  <si>
    <t xml:space="preserve">Будівництво вуличних мереж каналізації по пров. Північному в м. Хмельницький </t>
  </si>
  <si>
    <t>Реконструкція ділянки водопроводу по вул. Гоголя від вул. О.Теліги до ж. б. № 99 по вул. Гоголя в м. Хмельницькому</t>
  </si>
  <si>
    <t>Реконструкція системи живлення КОС-2 (придбання кабелю для підключення резервного живлення)</t>
  </si>
  <si>
    <t>Придбання насосних агрегатів</t>
  </si>
  <si>
    <t>Придбання перетворювача частоти</t>
  </si>
  <si>
    <t>Придбання силового трансформатора</t>
  </si>
  <si>
    <t>Придбання генераторів</t>
  </si>
  <si>
    <t xml:space="preserve">Придбання фреза (навісне обладнання до тракторної та екскаваторної техніки) </t>
  </si>
  <si>
    <t>Придбання насоса</t>
  </si>
  <si>
    <t>Придбання  дозуючого насосу</t>
  </si>
  <si>
    <t>Придбання дизель-генератора</t>
  </si>
  <si>
    <t>Придбання насосу з шафою керування</t>
  </si>
  <si>
    <t>Придбання перетворювачів частоти</t>
  </si>
  <si>
    <t>Придбання зварювального агрегату</t>
  </si>
  <si>
    <t>Придбання запірної арматури</t>
  </si>
  <si>
    <t>Придбання спеціалізованих автомобілів для аварійно-відновлювальних бригад</t>
  </si>
  <si>
    <t>Придбання каналопромивочної машини</t>
  </si>
  <si>
    <t>Придбання спеціалізованої пересувної електротехнічної лабораторії</t>
  </si>
  <si>
    <t>Придбання міні екскаватора</t>
  </si>
  <si>
    <t>Придбання автоцистерни</t>
  </si>
  <si>
    <t>Капітальний ремонт когенераційної установки із заміною щита керування та турбокомпресора за адресо: вул. Майборського, 5, м. Хмельницький</t>
  </si>
  <si>
    <t>Капітальний ремонт когенераційної установки із заміною щита керування та турбокомпресора за адресо: вул. Шухевича, 8/1-Г, м. Хмельницький</t>
  </si>
  <si>
    <t>Капітальний ремонт когенераційної установки із заміною щита керування та турбокомпресора за адресо: прс. Миру, 99/101, м. Хмельницький</t>
  </si>
  <si>
    <t>Придбання частотно-регулюючих приводів для підготовки об'єктів до опалювального сезону</t>
  </si>
  <si>
    <t>Капітальний ремонт теплової мережі за адресою: вул. Кам'янецька, 63, м. Хмельницький</t>
  </si>
  <si>
    <t>Капітальний ремонт теплової мережі за адресою: прс. Миру, 51/2, м. Хмельницький</t>
  </si>
  <si>
    <t>Капітальний ремонт теплової мережі за адресою: вул. Бандери, 8, м. Хмельницький</t>
  </si>
  <si>
    <t>Капітальний ремонт теплової мережі за адресою: вул. Інститутська, 20/2, м. Хмельницький</t>
  </si>
  <si>
    <t>Капітальний ремонт теплової мережі за адресою: вул. Ольжича, 1, м. Хмельницький</t>
  </si>
  <si>
    <t>Капітальний ремонт теплової мережі за адресою: вул. Трембовецької, 3, м. Хмельницький</t>
  </si>
  <si>
    <t>Капітальний ремонт теплової мережі за адресою: вул. Зарічанська, 6/5, м. Хмельницький</t>
  </si>
  <si>
    <t>Капітальний ремонт теплової мережі за адресою: вул. Молодіжна, 7, м. Хмельницький</t>
  </si>
  <si>
    <t>Будівництво кабельних ліній та влаштування обладнання для розподілу елекроенергії до та вище 1 кВ МКП "Хмельницьктеплокомуненерго" за адресою: вул. Шухевича, 8/1-Г - вул. Північна, 2, м. Хмельницький</t>
  </si>
  <si>
    <t>Придбання пластинчастих теплообмінників</t>
  </si>
  <si>
    <t>Придбання автоматичних систем хімводоочищення</t>
  </si>
  <si>
    <t>Придбання твердопаливних котлів</t>
  </si>
  <si>
    <t>Придбання газових котлів</t>
  </si>
  <si>
    <t>Придбання комп’ютерів для котелень</t>
  </si>
  <si>
    <t>Придбання жаротрубних водогрійних газових котлів</t>
  </si>
  <si>
    <t>Придбання вантажних автомобілів - самоскидів</t>
  </si>
  <si>
    <t>(Придбання автомобілів аварійних ремонтних майстерень</t>
  </si>
  <si>
    <t>Придбання спеціалізованої техніки -тандемний дорожній коток з задніми незалежними гумовими вальцями</t>
  </si>
  <si>
    <t>Придбання спеціалізованої техніки - трактори з навісним обладнанням</t>
  </si>
  <si>
    <t>Придбання спеціалізованої техніки - екскаватор-навантажувач з навісним обладнанням</t>
  </si>
  <si>
    <t>Придбання спеціалізованої техніки - вантажний автомобіль з дубль кабіною, бортовою платформою та краном маніпулятором</t>
  </si>
  <si>
    <t>Придбання спеціалізованої техніки -  автомобілі з дубль кабіною, бортовою платформою</t>
  </si>
  <si>
    <t>Придбання спеціалізованої техніки -  автомобілі самоскиди вантажопідйомністю понад 18,5 т з навісним обладнанням</t>
  </si>
  <si>
    <t>Придбання спеціалізованої техніки -  автомобілі самоскиди вантажопідйомністю від 4 до 6 т з навісним обладнанням</t>
  </si>
  <si>
    <t>Придбання спеціалізованої техніки -  автомобіль спеціалізований з дубль кабіною та фургоном для перевезення людей та обладнання</t>
  </si>
  <si>
    <t>Придбання спеціалізованої техніки -  причіп тракторний, вакуумний, дорожньо-прибиральниий, колісний</t>
  </si>
  <si>
    <t>Придбання спеціалізованої техніки  – причіп для перевезення спецтехніки</t>
  </si>
  <si>
    <t xml:space="preserve">Виготовлення проєктно-кошторисної документації та проведення її експертизи для здійснення капітального ремонту - улаштування закритих водостоків через вул. Геологів, проїзд Козловського в м. Хмельницькому </t>
  </si>
  <si>
    <t>Придбання обладнання для господарської діяльності – дизельного компресора</t>
  </si>
  <si>
    <t>Придбання металоконструкцій для господарської діяльності – мобільні побутові вагончики на шасі</t>
  </si>
  <si>
    <t>Придбання металоконструкцій для господарської діяльності – вагончики побутові</t>
  </si>
  <si>
    <t>Придбання обладнання для господарської діяльності  - мотопомпа для брудної води</t>
  </si>
  <si>
    <t>Придбання спеціалізованої техніки -  автомобіль спеціалізований для перевезення робітників</t>
  </si>
  <si>
    <t>Придбання спеціалізованої техніки -   газонокосарка</t>
  </si>
  <si>
    <t>Придбання спеціалізованої техніки -   тракторний самоскидний причіп</t>
  </si>
  <si>
    <t>Придбання спеціалізованої техніки -   подрібнювач (корчувач) пеньків</t>
  </si>
  <si>
    <t xml:space="preserve">Придбання спеціалізованої техніки -  автомобіль вантажний бортовий з тентом з подвійною кабіною </t>
  </si>
  <si>
    <t>Придбання спеціалізованої техніки - трактор</t>
  </si>
  <si>
    <t>Придбання спеціалізованої техніки - причіп спеціалізований</t>
  </si>
  <si>
    <t>Придбання обладнання для господарської діяльності - косарка маніпуляторна</t>
  </si>
  <si>
    <t>Будівництво критого навісу (складу) за адресою м. Хмельницький, вул. Симона Петлюри, 52</t>
  </si>
  <si>
    <t>Капітальний ремонт території Будинку траурних обрядів за адресою: м. Хмельницький вул. Князя Святослава Хороброго 5-А</t>
  </si>
  <si>
    <t xml:space="preserve">Придбання спеціалізованої техніки – міні-трактора </t>
  </si>
  <si>
    <t>Придбання обладнання для господарської діяльності – навісне обладнання до мінітрактора</t>
  </si>
  <si>
    <t>Придбання спеціалізованої техніки – вантажний фургон рефрижератор</t>
  </si>
  <si>
    <t>Нове будівництво станції очищення господарсько-побутових стічних вод продуктивністю БІО-S-150 30 м3/добу, в с. Пирогівці Хмельницького району, Хмельницької області</t>
  </si>
  <si>
    <t>Придбання обладнання для господарської діяльності - подрібнювач гілок</t>
  </si>
  <si>
    <t>Придбання обладнання для господарської діяльності - фронтальний навантажувач (навантажувач "голий", ковш щелепний, тросовий гідророзподілювач)</t>
  </si>
  <si>
    <t xml:space="preserve">Придбання обладнання для господарської діяльності - розкидач МВУ-4 </t>
  </si>
  <si>
    <t>Придбання обладнання для господарської діяльності - відвал сніговий</t>
  </si>
  <si>
    <t>Нове будівництво нежитлового приміщення за адресою: вул. Заводська, 165 в м. Хмельницькому (коригування)</t>
  </si>
  <si>
    <t>Придбання спеціалізованої техніки – компактора</t>
  </si>
  <si>
    <t>Нове будівництво самопливного каналізаційного колектору Хмельницького полігону ТПВ за адресою м. Хмельницький, проспект Миру, 7</t>
  </si>
  <si>
    <t xml:space="preserve">Придбання мобільних біотуалетів </t>
  </si>
  <si>
    <t>Придбання спеціалізованої техніки – сміттєвозів</t>
  </si>
  <si>
    <t>Придбання спеціалізованої техніки - причепна машина для прибирання пляжу</t>
  </si>
  <si>
    <t>Придбання спеціалізованої техніки - косарка - трактор (райдер)</t>
  </si>
  <si>
    <t>Придбання спеціалізованої техніки – автогідропідйомника телескопічного</t>
  </si>
  <si>
    <t>Придбання євроконтейнерів 1,1 куб. м</t>
  </si>
  <si>
    <t xml:space="preserve">   -1 од. насос</t>
  </si>
  <si>
    <t>Начальник фінансового управління</t>
  </si>
  <si>
    <t>Сергій ЯМЧУК</t>
  </si>
  <si>
    <t>Василь КАБАЛЬСЬКИЙ</t>
  </si>
  <si>
    <t xml:space="preserve">обсяг видатків на придбання мобільних біотуалетів </t>
  </si>
  <si>
    <t>кількість мобільних біотуалетів, що планується придбати</t>
  </si>
  <si>
    <t>середні витрати на придбання 1 од. мобільного біотуалету</t>
  </si>
  <si>
    <t>Придбання вбиральні модульної</t>
  </si>
  <si>
    <t>протяжність кабелів, які планується придбати</t>
  </si>
  <si>
    <t>середні витрати на придбання 1 м кабелю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</si>
  <si>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</si>
  <si>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</si>
  <si>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Програма підтримки та розвитку Хмельницького комунального підприємства «Спецкомунтранс» на 2023 – 2027 роки (із змінами)</t>
  </si>
  <si>
    <t>Програма підтримки та розвитку комунального підприємства «Елеватор» Хмельницької міської ради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</si>
  <si>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</si>
  <si>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>Реконструкція системи живлення ВНС-10 (придбання силових кабелів)</t>
  </si>
  <si>
    <t>Придбання модульних АЗС</t>
  </si>
  <si>
    <t xml:space="preserve">  +2 модульні АЗС</t>
  </si>
  <si>
    <t xml:space="preserve"> 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підтримки і розвитку міського комунального підприємства «Хмельницьктеплокомуненерго» на 2023 – 2027 роки, Програма підтримки і розвитку міського комунального підприємства «Хмельницькводоканал» на 2023-2027 роки, 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роки, 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роки, Програма підтримки і розвитку комунального підприємства «Акведук» Хмельницької міської ради на 2023 – 2027 роки, Програма підтримки і розвитку комунального підприємства «Парки і сквери міста Хмельницького» на 2023 – 2027 роки, Програма підтримки та розвитку Хмельницького комунального підприємства «Спецкомунтранс» на 2023 – 2027 роки, Програма підтримки та розвитку комунального підприємства «Елеватор» Хмельницької міської ради на 2023 – 2027 роки,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15.09.2023 року № 8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</si>
  <si>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Програма підтримки і розвитку спеціалізованого комунального підприємства «Хмельницька міська ритуальна служба» на 2023-2027 роки</t>
  </si>
  <si>
    <t>Завдання 10. Поповнення статутного капіталу для функціонування комунального підприємства "Елеватор"</t>
  </si>
  <si>
    <t xml:space="preserve">Заступник директора департаменту інфраструктури міста – начальник управління комунальної інфраструктури </t>
  </si>
  <si>
    <t xml:space="preserve">рівень готовності об'єкту - реконструкція водопроводу від вул. Проскурівська по пров. Проскурівський, вул. Пилипчука до пров. Шевченка в м. Хмельницький </t>
  </si>
  <si>
    <t xml:space="preserve">рівень готовності об'єкту -  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 </t>
  </si>
  <si>
    <t xml:space="preserve">рівень готовності об'єкту - будівництво ділянки водопроводу діаметром 315 мм по вул. К. Степанкова в м. Хмельницький </t>
  </si>
  <si>
    <t xml:space="preserve">рівень готовності об'єкту - реконструкція ділянки водопроводу по вул. Залізняка (перехід через вул. П. Мирного) в м. Хмельницький </t>
  </si>
  <si>
    <t xml:space="preserve">рівень готовності об'єкту - реконструкція ділянки водопроводу від ж.б. №4 до ж.б. №2 по вул. Шухевича в м. Хмельницький </t>
  </si>
  <si>
    <t xml:space="preserve">рівень готовності об'єкту - реконструкція водопроводу по вул. Шестакова, від вул. Староміська до ж.б. № 46, 39 по вул. Шестакова в м. Хмельницький </t>
  </si>
  <si>
    <t xml:space="preserve">рівень готовності об'єкту - реконструкція ділянки водопроводу діам. 110 мм по вул. Тернопільська між буд. № 30 - № 34 в м. Хмельницький </t>
  </si>
  <si>
    <t xml:space="preserve">рівень готовності об'єкту - реконструкція ділянки водопроводу діам. 160 мм по вул. Прибузька між буд. №10 - №12 в м. Хмельницький </t>
  </si>
  <si>
    <t xml:space="preserve">рівень готовності об'єкту - реконструкція самопливного каналізаційного колектора діам.800 мм від ж.б.№203 до колодязя №551а по вул. Проскурівського підпілля в м.Хмельницький </t>
  </si>
  <si>
    <t xml:space="preserve">рівень готовності об'єкту - реконструкція напірного каналізаційного колектора  діаметром 225 мм від КНС-22, вул. Кам'янецька, 134/1Д в м. Хмельницький </t>
  </si>
  <si>
    <t xml:space="preserve">рівень готовності об'єкту - будівництво мережі водовідведення вул. Д.Нечая, вул. Блакитної, пров. Молодіжного в м. Хмельницькому </t>
  </si>
  <si>
    <t xml:space="preserve">рівень готовності об'єкту - реконструкція ділянки каналізаційної мережі від ж.б. № 3 та № 3/1 по вул. Січових Стрільців з переходом даної вулиці в м. Хмельницькому </t>
  </si>
  <si>
    <t>рівень готовності об'єкту - нове будівництво зовнішніх мереж водопроводу в с. Шаровечка, Хмельницького району, Хмельницької області (2 черга)</t>
  </si>
  <si>
    <t xml:space="preserve">рівень готовності об'єкту - реконструкція ділянки водопроводу по вул. Проскурівська, 66 в  м. Хмельницький </t>
  </si>
  <si>
    <t>рівень готовності об'єкту -  реконструкція ділянки водопроводу від вул. Партизанської до вул. Волочиської в м. Хмельницькому</t>
  </si>
  <si>
    <t xml:space="preserve">рівень готовності об'єкту -  реконструкція каналізаційної мережі по вул. С. Бандери,22 в м. Хмельницький </t>
  </si>
  <si>
    <t xml:space="preserve">рівень готовності об'єкту - реконструкція колодязів із заміною люків на водопровідних мережах у м. Хмельницькому </t>
  </si>
  <si>
    <t>рівень готовності об'єкту - реконструкція колодязів із заміною люків на каналізаційних мережах у м. Хмельницькому</t>
  </si>
  <si>
    <t xml:space="preserve">рівень готовності об'єкту - будівництво вуличних мереж каналізації по пров. Північному в м.Хмельницький </t>
  </si>
  <si>
    <t xml:space="preserve">рівень готовності об'єкту - реконструкція ділянки водопроводу по вул. Гоголя від вул. О.Теліги до ж. б. № 99 по вул. Гоголя в м. Хмельницькому </t>
  </si>
  <si>
    <t xml:space="preserve">рівень готовності об'єкту - реконструкція самопливного каналізаційного колектора від буд. №4А по  вул. Свободи до буд.№20/2 по вул. Зарічанській в м. Хмельницький </t>
  </si>
  <si>
    <t xml:space="preserve">рівень готовності об'єкту - нове будівництво вуличних мереж водопостачання житлових будинків по вул. Глушенкова (мікрорайон Ружична) в м. Хмельницький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</si>
</sst>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21" fillId="0" borderId="0"/>
    <xf numFmtId="0" fontId="26" fillId="0" borderId="0"/>
    <xf numFmtId="0" fontId="21" fillId="0" borderId="0"/>
  </cellStyleXfs>
  <cellXfs count="248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27" fillId="0" borderId="0" xfId="0" applyFont="1"/>
    <xf numFmtId="4" fontId="27" fillId="0" borderId="0" xfId="0" applyNumberFormat="1" applyFont="1"/>
    <xf numFmtId="4" fontId="28" fillId="0" borderId="0" xfId="0" applyNumberFormat="1" applyFont="1"/>
    <xf numFmtId="0" fontId="28" fillId="0" borderId="0" xfId="0" applyFont="1"/>
    <xf numFmtId="4" fontId="3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Border="1"/>
    <xf numFmtId="3" fontId="30" fillId="0" borderId="0" xfId="0" applyNumberFormat="1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0" fontId="3" fillId="0" borderId="5" xfId="4" applyFont="1" applyBorder="1" applyAlignment="1">
      <alignment vertical="center" wrapText="1"/>
    </xf>
    <xf numFmtId="0" fontId="3" fillId="0" borderId="6" xfId="4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vertical="center" wrapText="1"/>
    </xf>
    <xf numFmtId="0" fontId="24" fillId="0" borderId="5" xfId="0" applyNumberFormat="1" applyFont="1" applyBorder="1" applyAlignment="1">
      <alignment vertical="center" wrapText="1"/>
    </xf>
    <xf numFmtId="0" fontId="24" fillId="0" borderId="6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4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4" fillId="0" borderId="6" xfId="4" applyFont="1" applyBorder="1" applyAlignment="1">
      <alignment vertical="center" wrapText="1"/>
    </xf>
    <xf numFmtId="49" fontId="3" fillId="0" borderId="4" xfId="1" applyNumberFormat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vertical="center" wrapText="1"/>
    </xf>
    <xf numFmtId="49" fontId="3" fillId="0" borderId="6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24" fillId="0" borderId="4" xfId="4" applyFont="1" applyBorder="1" applyAlignment="1">
      <alignment vertical="center" wrapText="1"/>
    </xf>
    <xf numFmtId="0" fontId="24" fillId="0" borderId="5" xfId="4" applyFont="1" applyBorder="1" applyAlignment="1">
      <alignment vertical="center" wrapText="1"/>
    </xf>
    <xf numFmtId="0" fontId="24" fillId="0" borderId="6" xfId="4" applyFont="1" applyBorder="1" applyAlignment="1">
      <alignment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 wrapText="1"/>
    </xf>
    <xf numFmtId="4" fontId="23" fillId="0" borderId="5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18" fillId="0" borderId="2" xfId="0" applyFont="1" applyBorder="1" applyAlignment="1">
      <alignment vertical="top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vertical="center" wrapText="1"/>
    </xf>
    <xf numFmtId="0" fontId="3" fillId="0" borderId="5" xfId="4" applyFont="1" applyFill="1" applyBorder="1" applyAlignment="1">
      <alignment vertical="center" wrapText="1"/>
    </xf>
    <xf numFmtId="0" fontId="3" fillId="0" borderId="6" xfId="4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vertical="top"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/>
    </xf>
    <xf numFmtId="0" fontId="3" fillId="3" borderId="4" xfId="4" applyFont="1" applyFill="1" applyBorder="1" applyAlignment="1">
      <alignment vertical="center" wrapText="1"/>
    </xf>
    <xf numFmtId="0" fontId="3" fillId="3" borderId="5" xfId="4" applyFont="1" applyFill="1" applyBorder="1" applyAlignment="1">
      <alignment vertical="center" wrapText="1"/>
    </xf>
    <xf numFmtId="0" fontId="3" fillId="3" borderId="6" xfId="4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</cellXfs>
  <cellStyles count="5">
    <cellStyle name="Звичайний" xfId="0" builtinId="0"/>
    <cellStyle name="Звичайний 2 2" xfId="1"/>
    <cellStyle name="Звичайний 21 2 3 2" xfId="2"/>
    <cellStyle name="Звичайний 21 2 3 2 3" xfId="3"/>
    <cellStyle name="Звичайний 21 2 3 2 3 2 2" xfId="4"/>
  </cellStyles>
  <dxfs count="1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22"/>
  <sheetViews>
    <sheetView tabSelected="1" view="pageBreakPreview" zoomScaleNormal="100" zoomScaleSheetLayoutView="100" workbookViewId="0">
      <selection activeCell="BV4" sqref="BV4"/>
    </sheetView>
  </sheetViews>
  <sheetFormatPr defaultRowHeight="12.75" x14ac:dyDescent="0.2"/>
  <cols>
    <col min="1" max="20" width="2.85546875" style="1" customWidth="1"/>
    <col min="21" max="21" width="4.7109375" style="1" customWidth="1"/>
    <col min="22" max="27" width="2.85546875" style="1" customWidth="1"/>
    <col min="28" max="28" width="3.5703125" style="1" customWidth="1"/>
    <col min="29" max="35" width="2.85546875" style="1" customWidth="1"/>
    <col min="36" max="36" width="3.7109375" style="1" customWidth="1"/>
    <col min="37" max="54" width="2.85546875" style="1" customWidth="1"/>
    <col min="55" max="55" width="3.5703125" style="1" customWidth="1"/>
    <col min="56" max="65" width="2.85546875" style="1" customWidth="1"/>
    <col min="66" max="67" width="3" style="1" customWidth="1"/>
    <col min="68" max="68" width="7.5703125" style="1" customWidth="1"/>
    <col min="69" max="69" width="3" style="1" customWidth="1"/>
    <col min="70" max="70" width="4.85546875" style="1" customWidth="1"/>
    <col min="71" max="71" width="3" style="1" customWidth="1"/>
    <col min="72" max="72" width="12.140625" style="1" customWidth="1"/>
    <col min="73" max="73" width="3" style="1" customWidth="1"/>
    <col min="74" max="74" width="12.425781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76" t="s">
        <v>18</v>
      </c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</row>
    <row r="2" spans="1:77" ht="15.9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7" ht="15" customHeight="1" x14ac:dyDescent="0.2">
      <c r="AO3" s="171" t="s">
        <v>68</v>
      </c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</row>
    <row r="4" spans="1:77" ht="32.1" customHeight="1" x14ac:dyDescent="0.25">
      <c r="AO4" s="178" t="s">
        <v>59</v>
      </c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</row>
    <row r="5" spans="1:77" x14ac:dyDescent="0.2">
      <c r="AO5" s="170" t="s">
        <v>6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77" ht="7.5" customHeight="1" x14ac:dyDescent="0.2"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</row>
    <row r="7" spans="1:77" ht="12.75" customHeight="1" x14ac:dyDescent="0.2">
      <c r="AO7" s="179">
        <v>45254</v>
      </c>
      <c r="AP7" s="180"/>
      <c r="AQ7" s="180"/>
      <c r="AR7" s="180"/>
      <c r="AS7" s="180"/>
      <c r="AT7" s="180"/>
      <c r="AU7" s="180"/>
      <c r="AV7" s="1" t="s">
        <v>44</v>
      </c>
      <c r="AW7" s="150">
        <v>335</v>
      </c>
      <c r="AX7" s="150"/>
      <c r="AY7" s="150"/>
      <c r="AZ7" s="150"/>
      <c r="BA7" s="150"/>
      <c r="BB7" s="150"/>
      <c r="BC7" s="150"/>
      <c r="BD7" s="150"/>
      <c r="BE7" s="150"/>
      <c r="BF7" s="150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">
      <c r="A10" s="165" t="s">
        <v>7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77" ht="15.75" customHeight="1" x14ac:dyDescent="0.2">
      <c r="A11" s="165" t="s">
        <v>73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.75" customHeight="1" x14ac:dyDescent="0.2">
      <c r="A13" s="16" t="s">
        <v>34</v>
      </c>
      <c r="B13" s="154">
        <v>1400000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44"/>
      <c r="N13" s="151" t="s">
        <v>59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45"/>
      <c r="AU13" s="154" t="s">
        <v>54</v>
      </c>
      <c r="AV13" s="155"/>
      <c r="AW13" s="155"/>
      <c r="AX13" s="155"/>
      <c r="AY13" s="155"/>
      <c r="AZ13" s="155"/>
      <c r="BA13" s="155"/>
      <c r="BB13" s="15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53" t="s">
        <v>37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40"/>
      <c r="N14" s="152" t="s">
        <v>43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40"/>
      <c r="AU14" s="153" t="s">
        <v>36</v>
      </c>
      <c r="AV14" s="153"/>
      <c r="AW14" s="153"/>
      <c r="AX14" s="153"/>
      <c r="AY14" s="153"/>
      <c r="AZ14" s="153"/>
      <c r="BA14" s="153"/>
      <c r="BB14" s="153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9.5" customHeight="1" x14ac:dyDescent="0.2">
      <c r="A16" s="26" t="s">
        <v>4</v>
      </c>
      <c r="B16" s="154">
        <v>1410000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44"/>
      <c r="N16" s="151" t="s">
        <v>59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45"/>
      <c r="AU16" s="154" t="s">
        <v>54</v>
      </c>
      <c r="AV16" s="155"/>
      <c r="AW16" s="155"/>
      <c r="AX16" s="155"/>
      <c r="AY16" s="155"/>
      <c r="AZ16" s="155"/>
      <c r="BA16" s="155"/>
      <c r="BB16" s="155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53" t="s">
        <v>37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40"/>
      <c r="N17" s="152" t="s">
        <v>42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40"/>
      <c r="AU17" s="153" t="s">
        <v>36</v>
      </c>
      <c r="AV17" s="153"/>
      <c r="AW17" s="153"/>
      <c r="AX17" s="153"/>
      <c r="AY17" s="153"/>
      <c r="AZ17" s="153"/>
      <c r="BA17" s="153"/>
      <c r="BB17" s="153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35</v>
      </c>
      <c r="B19" s="154">
        <v>1417670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35"/>
      <c r="N19" s="154" t="s">
        <v>56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34"/>
      <c r="AA19" s="154" t="s">
        <v>57</v>
      </c>
      <c r="AB19" s="155"/>
      <c r="AC19" s="155"/>
      <c r="AD19" s="155"/>
      <c r="AE19" s="155"/>
      <c r="AF19" s="155"/>
      <c r="AG19" s="155"/>
      <c r="AH19" s="155"/>
      <c r="AI19" s="155"/>
      <c r="AJ19" s="34"/>
      <c r="AK19" s="155" t="s">
        <v>55</v>
      </c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34"/>
      <c r="BE19" s="154" t="s">
        <v>134</v>
      </c>
      <c r="BF19" s="155"/>
      <c r="BG19" s="155"/>
      <c r="BH19" s="155"/>
      <c r="BI19" s="155"/>
      <c r="BJ19" s="155"/>
      <c r="BK19" s="155"/>
      <c r="BL19" s="155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53" t="s">
        <v>37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41"/>
      <c r="N20" s="153" t="s">
        <v>38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42"/>
      <c r="AA20" s="175" t="s">
        <v>39</v>
      </c>
      <c r="AB20" s="175"/>
      <c r="AC20" s="175"/>
      <c r="AD20" s="175"/>
      <c r="AE20" s="175"/>
      <c r="AF20" s="175"/>
      <c r="AG20" s="175"/>
      <c r="AH20" s="175"/>
      <c r="AI20" s="175"/>
      <c r="AJ20" s="42"/>
      <c r="AK20" s="173" t="s">
        <v>40</v>
      </c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42"/>
      <c r="BE20" s="153" t="s">
        <v>41</v>
      </c>
      <c r="BF20" s="153"/>
      <c r="BG20" s="153"/>
      <c r="BH20" s="153"/>
      <c r="BI20" s="153"/>
      <c r="BJ20" s="153"/>
      <c r="BK20" s="153"/>
      <c r="BL20" s="153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68" t="s">
        <v>32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7">
        <f>AS22+I23</f>
        <v>321573606.60000002</v>
      </c>
      <c r="V22" s="167"/>
      <c r="W22" s="167"/>
      <c r="X22" s="167"/>
      <c r="Y22" s="167"/>
      <c r="Z22" s="167"/>
      <c r="AA22" s="167"/>
      <c r="AB22" s="167"/>
      <c r="AC22" s="167"/>
      <c r="AD22" s="167"/>
      <c r="AE22" s="166" t="s">
        <v>33</v>
      </c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7">
        <v>0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72" t="s">
        <v>9</v>
      </c>
      <c r="BE22" s="172"/>
      <c r="BF22" s="172"/>
      <c r="BG22" s="172"/>
      <c r="BH22" s="172"/>
      <c r="BI22" s="172"/>
      <c r="BJ22" s="172"/>
      <c r="BK22" s="172"/>
      <c r="BL22" s="172"/>
    </row>
    <row r="23" spans="1:79" ht="24.95" customHeight="1" x14ac:dyDescent="0.2">
      <c r="A23" s="172" t="s">
        <v>8</v>
      </c>
      <c r="B23" s="172"/>
      <c r="C23" s="172"/>
      <c r="D23" s="172"/>
      <c r="E23" s="172"/>
      <c r="F23" s="172"/>
      <c r="G23" s="172"/>
      <c r="H23" s="172"/>
      <c r="I23" s="167">
        <f>AS189</f>
        <v>321573606.60000002</v>
      </c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72" t="s">
        <v>10</v>
      </c>
      <c r="U23" s="172"/>
      <c r="V23" s="172"/>
      <c r="W23" s="17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22" t="s">
        <v>20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79" ht="192" customHeight="1" x14ac:dyDescent="0.2">
      <c r="A26" s="174" t="s">
        <v>303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</row>
    <row r="27" spans="1:79" ht="6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9.5" customHeight="1" x14ac:dyDescent="0.2">
      <c r="A28" s="172" t="s">
        <v>19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</row>
    <row r="29" spans="1:79" ht="19.5" customHeight="1" x14ac:dyDescent="0.2">
      <c r="A29" s="88" t="s">
        <v>14</v>
      </c>
      <c r="B29" s="88"/>
      <c r="C29" s="88"/>
      <c r="D29" s="88"/>
      <c r="E29" s="88"/>
      <c r="F29" s="88"/>
      <c r="G29" s="78" t="s">
        <v>23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8" customHeight="1" x14ac:dyDescent="0.2">
      <c r="A30" s="88">
        <v>1</v>
      </c>
      <c r="B30" s="88"/>
      <c r="C30" s="88"/>
      <c r="D30" s="88"/>
      <c r="E30" s="88"/>
      <c r="F30" s="88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8" customHeight="1" x14ac:dyDescent="0.2">
      <c r="A31" s="88">
        <v>1</v>
      </c>
      <c r="B31" s="88"/>
      <c r="C31" s="88"/>
      <c r="D31" s="88"/>
      <c r="E31" s="88"/>
      <c r="F31" s="88"/>
      <c r="G31" s="182" t="s">
        <v>45</v>
      </c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4"/>
      <c r="CA31" s="1" t="s">
        <v>31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7.25" customHeight="1" x14ac:dyDescent="0.2">
      <c r="A33" s="172" t="s">
        <v>21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</row>
    <row r="34" spans="1:64" ht="18.75" customHeight="1" x14ac:dyDescent="0.2">
      <c r="A34" s="181" t="s">
        <v>52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</row>
    <row r="35" spans="1:64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9.5" customHeight="1" x14ac:dyDescent="0.2">
      <c r="A36" s="172" t="s">
        <v>22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</row>
    <row r="37" spans="1:64" ht="18" customHeight="1" x14ac:dyDescent="0.2">
      <c r="A37" s="88" t="s">
        <v>14</v>
      </c>
      <c r="B37" s="88"/>
      <c r="C37" s="88"/>
      <c r="D37" s="88"/>
      <c r="E37" s="88"/>
      <c r="F37" s="88"/>
      <c r="G37" s="78" t="s">
        <v>11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64" ht="18" customHeight="1" x14ac:dyDescent="0.2">
      <c r="A38" s="88">
        <v>1</v>
      </c>
      <c r="B38" s="88"/>
      <c r="C38" s="88"/>
      <c r="D38" s="88"/>
      <c r="E38" s="88"/>
      <c r="F38" s="88"/>
      <c r="G38" s="78">
        <v>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8" customHeight="1" x14ac:dyDescent="0.2">
      <c r="A39" s="88">
        <v>1</v>
      </c>
      <c r="B39" s="88"/>
      <c r="C39" s="88"/>
      <c r="D39" s="88"/>
      <c r="E39" s="88"/>
      <c r="F39" s="88"/>
      <c r="G39" s="162" t="s">
        <v>74</v>
      </c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ht="18" customHeight="1" x14ac:dyDescent="0.2">
      <c r="A40" s="88">
        <v>2</v>
      </c>
      <c r="B40" s="88"/>
      <c r="C40" s="88"/>
      <c r="D40" s="88"/>
      <c r="E40" s="88"/>
      <c r="F40" s="88"/>
      <c r="G40" s="162" t="s">
        <v>75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4"/>
    </row>
    <row r="41" spans="1:64" ht="18" customHeight="1" x14ac:dyDescent="0.2">
      <c r="A41" s="88">
        <v>3</v>
      </c>
      <c r="B41" s="88"/>
      <c r="C41" s="88"/>
      <c r="D41" s="88"/>
      <c r="E41" s="88"/>
      <c r="F41" s="88"/>
      <c r="G41" s="162" t="s">
        <v>103</v>
      </c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4"/>
    </row>
    <row r="42" spans="1:64" ht="18" customHeight="1" x14ac:dyDescent="0.2">
      <c r="A42" s="88">
        <v>4</v>
      </c>
      <c r="B42" s="88"/>
      <c r="C42" s="88"/>
      <c r="D42" s="88"/>
      <c r="E42" s="88"/>
      <c r="F42" s="88"/>
      <c r="G42" s="162" t="s">
        <v>105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ht="18" customHeight="1" x14ac:dyDescent="0.2">
      <c r="A43" s="88">
        <v>5</v>
      </c>
      <c r="B43" s="88"/>
      <c r="C43" s="88"/>
      <c r="D43" s="88"/>
      <c r="E43" s="88"/>
      <c r="F43" s="88"/>
      <c r="G43" s="162" t="s">
        <v>106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4"/>
    </row>
    <row r="44" spans="1:64" ht="18" customHeight="1" x14ac:dyDescent="0.2">
      <c r="A44" s="88">
        <v>6</v>
      </c>
      <c r="B44" s="88"/>
      <c r="C44" s="88"/>
      <c r="D44" s="88"/>
      <c r="E44" s="88"/>
      <c r="F44" s="88"/>
      <c r="G44" s="162" t="s">
        <v>107</v>
      </c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</row>
    <row r="45" spans="1:64" ht="18" customHeight="1" x14ac:dyDescent="0.2">
      <c r="A45" s="88">
        <v>7</v>
      </c>
      <c r="B45" s="88"/>
      <c r="C45" s="88"/>
      <c r="D45" s="88"/>
      <c r="E45" s="88"/>
      <c r="F45" s="88"/>
      <c r="G45" s="162" t="s">
        <v>108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4"/>
    </row>
    <row r="46" spans="1:64" ht="18" customHeight="1" x14ac:dyDescent="0.2">
      <c r="A46" s="88">
        <v>8</v>
      </c>
      <c r="B46" s="88"/>
      <c r="C46" s="88"/>
      <c r="D46" s="88"/>
      <c r="E46" s="88"/>
      <c r="F46" s="88"/>
      <c r="G46" s="162" t="s">
        <v>109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4"/>
    </row>
    <row r="47" spans="1:64" ht="18" customHeight="1" x14ac:dyDescent="0.2">
      <c r="A47" s="88">
        <v>9</v>
      </c>
      <c r="B47" s="88"/>
      <c r="C47" s="88"/>
      <c r="D47" s="88"/>
      <c r="E47" s="88"/>
      <c r="F47" s="88"/>
      <c r="G47" s="162" t="s">
        <v>110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4"/>
    </row>
    <row r="48" spans="1:64" ht="18" customHeight="1" x14ac:dyDescent="0.2">
      <c r="A48" s="88">
        <v>10</v>
      </c>
      <c r="B48" s="88"/>
      <c r="C48" s="88"/>
      <c r="D48" s="88"/>
      <c r="E48" s="88"/>
      <c r="F48" s="88"/>
      <c r="G48" s="162" t="s">
        <v>142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4"/>
    </row>
    <row r="49" spans="1:78" ht="5.2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78" ht="15.75" customHeight="1" x14ac:dyDescent="0.2">
      <c r="A50" s="172" t="s">
        <v>24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78" ht="15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169" t="s">
        <v>62</v>
      </c>
      <c r="AT51" s="169"/>
      <c r="AU51" s="169"/>
      <c r="AV51" s="169"/>
      <c r="AW51" s="169"/>
      <c r="AX51" s="169"/>
      <c r="AY51" s="169"/>
      <c r="AZ51" s="169"/>
      <c r="BA51" s="14"/>
      <c r="BB51" s="14"/>
      <c r="BC51" s="14"/>
      <c r="BD51" s="14"/>
      <c r="BE51" s="14"/>
      <c r="BF51" s="14"/>
      <c r="BG51" s="14"/>
      <c r="BH51" s="14"/>
      <c r="BI51" s="3"/>
      <c r="BJ51" s="3"/>
      <c r="BK51" s="3"/>
      <c r="BL51" s="3"/>
    </row>
    <row r="52" spans="1:78" ht="15.95" customHeight="1" x14ac:dyDescent="0.2">
      <c r="A52" s="88" t="s">
        <v>14</v>
      </c>
      <c r="B52" s="88"/>
      <c r="C52" s="88"/>
      <c r="D52" s="156" t="s">
        <v>12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8"/>
      <c r="AK52" s="88" t="s">
        <v>15</v>
      </c>
      <c r="AL52" s="88"/>
      <c r="AM52" s="88"/>
      <c r="AN52" s="88"/>
      <c r="AO52" s="88"/>
      <c r="AP52" s="88"/>
      <c r="AQ52" s="88"/>
      <c r="AR52" s="88"/>
      <c r="AS52" s="156" t="s">
        <v>16</v>
      </c>
      <c r="AT52" s="157"/>
      <c r="AU52" s="157"/>
      <c r="AV52" s="157"/>
      <c r="AW52" s="157"/>
      <c r="AX52" s="157"/>
      <c r="AY52" s="157"/>
      <c r="AZ52" s="158"/>
      <c r="BA52" s="156" t="s">
        <v>13</v>
      </c>
      <c r="BB52" s="157"/>
      <c r="BC52" s="157"/>
      <c r="BD52" s="157"/>
      <c r="BE52" s="157"/>
      <c r="BF52" s="157"/>
      <c r="BG52" s="157"/>
      <c r="BH52" s="158"/>
    </row>
    <row r="53" spans="1:78" ht="9" customHeight="1" x14ac:dyDescent="0.2">
      <c r="A53" s="88"/>
      <c r="B53" s="88"/>
      <c r="C53" s="88"/>
      <c r="D53" s="159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1"/>
      <c r="AK53" s="88"/>
      <c r="AL53" s="88"/>
      <c r="AM53" s="88"/>
      <c r="AN53" s="88"/>
      <c r="AO53" s="88"/>
      <c r="AP53" s="88"/>
      <c r="AQ53" s="88"/>
      <c r="AR53" s="88"/>
      <c r="AS53" s="159"/>
      <c r="AT53" s="160"/>
      <c r="AU53" s="160"/>
      <c r="AV53" s="160"/>
      <c r="AW53" s="160"/>
      <c r="AX53" s="160"/>
      <c r="AY53" s="160"/>
      <c r="AZ53" s="161"/>
      <c r="BA53" s="159"/>
      <c r="BB53" s="160"/>
      <c r="BC53" s="160"/>
      <c r="BD53" s="160"/>
      <c r="BE53" s="160"/>
      <c r="BF53" s="160"/>
      <c r="BG53" s="160"/>
      <c r="BH53" s="161"/>
    </row>
    <row r="54" spans="1:78" ht="15.75" x14ac:dyDescent="0.2">
      <c r="A54" s="88">
        <v>1</v>
      </c>
      <c r="B54" s="88"/>
      <c r="C54" s="88"/>
      <c r="D54" s="78">
        <v>2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  <c r="AK54" s="88">
        <v>3</v>
      </c>
      <c r="AL54" s="88"/>
      <c r="AM54" s="88"/>
      <c r="AN54" s="88"/>
      <c r="AO54" s="88"/>
      <c r="AP54" s="88"/>
      <c r="AQ54" s="88"/>
      <c r="AR54" s="88"/>
      <c r="AS54" s="78">
        <v>4</v>
      </c>
      <c r="AT54" s="79"/>
      <c r="AU54" s="79"/>
      <c r="AV54" s="79"/>
      <c r="AW54" s="79"/>
      <c r="AX54" s="79"/>
      <c r="AY54" s="79"/>
      <c r="AZ54" s="80"/>
      <c r="BA54" s="78">
        <v>5</v>
      </c>
      <c r="BB54" s="79"/>
      <c r="BC54" s="79"/>
      <c r="BD54" s="79"/>
      <c r="BE54" s="79"/>
      <c r="BF54" s="79"/>
      <c r="BG54" s="79"/>
      <c r="BH54" s="80"/>
    </row>
    <row r="55" spans="1:78" ht="34.5" hidden="1" customHeight="1" x14ac:dyDescent="0.2">
      <c r="A55" s="78"/>
      <c r="B55" s="79"/>
      <c r="C55" s="80"/>
      <c r="D55" s="81" t="s">
        <v>58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70"/>
      <c r="AD55" s="71"/>
      <c r="AE55" s="71"/>
      <c r="AF55" s="71"/>
      <c r="AG55" s="71"/>
      <c r="AH55" s="71"/>
      <c r="AI55" s="71"/>
      <c r="AJ55" s="72"/>
      <c r="AS55" s="70">
        <f>50000-50000</f>
        <v>0</v>
      </c>
      <c r="AT55" s="71"/>
      <c r="AU55" s="71"/>
      <c r="AV55" s="71"/>
      <c r="AW55" s="71"/>
      <c r="AX55" s="71"/>
      <c r="AY55" s="71"/>
      <c r="AZ55" s="72"/>
      <c r="BA55" s="70">
        <f t="shared" ref="BA55:BA106" si="0">AC55+AS55</f>
        <v>0</v>
      </c>
      <c r="BB55" s="71"/>
      <c r="BC55" s="71"/>
      <c r="BD55" s="71"/>
      <c r="BE55" s="71"/>
      <c r="BF55" s="71"/>
      <c r="BG55" s="71"/>
      <c r="BH55" s="72"/>
      <c r="BT55" s="47"/>
      <c r="BU55" s="47"/>
      <c r="BV55" s="47"/>
      <c r="BW55" s="47"/>
      <c r="BX55" s="47"/>
      <c r="BY55" s="47"/>
      <c r="BZ55" s="47"/>
    </row>
    <row r="56" spans="1:78" ht="36.75" customHeight="1" x14ac:dyDescent="0.2">
      <c r="A56" s="126">
        <v>1</v>
      </c>
      <c r="B56" s="126"/>
      <c r="C56" s="126"/>
      <c r="D56" s="229" t="s">
        <v>46</v>
      </c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1"/>
      <c r="AK56" s="69"/>
      <c r="AL56" s="69"/>
      <c r="AM56" s="69"/>
      <c r="AN56" s="69"/>
      <c r="AO56" s="69"/>
      <c r="AP56" s="69"/>
      <c r="AQ56" s="69"/>
      <c r="AR56" s="69"/>
      <c r="AS56" s="102">
        <f>AS57+AS86+AS100+AS106</f>
        <v>122361973.59999999</v>
      </c>
      <c r="AT56" s="103"/>
      <c r="AU56" s="103"/>
      <c r="AV56" s="103"/>
      <c r="AW56" s="103"/>
      <c r="AX56" s="103"/>
      <c r="AY56" s="103"/>
      <c r="AZ56" s="104"/>
      <c r="BA56" s="102">
        <f t="shared" si="0"/>
        <v>122361973.59999999</v>
      </c>
      <c r="BB56" s="103"/>
      <c r="BC56" s="103"/>
      <c r="BD56" s="103"/>
      <c r="BE56" s="103"/>
      <c r="BF56" s="103"/>
      <c r="BG56" s="103"/>
      <c r="BH56" s="104"/>
      <c r="BT56" s="47">
        <v>23297429</v>
      </c>
      <c r="BU56" s="47"/>
      <c r="BV56" s="48">
        <f>AS56-BT56</f>
        <v>99064544.599999994</v>
      </c>
      <c r="BW56" s="47"/>
      <c r="BX56" s="47"/>
      <c r="BY56" s="47"/>
      <c r="BZ56" s="47"/>
    </row>
    <row r="57" spans="1:78" ht="36.75" customHeight="1" x14ac:dyDescent="0.2">
      <c r="A57" s="96" t="s">
        <v>160</v>
      </c>
      <c r="B57" s="97"/>
      <c r="C57" s="98"/>
      <c r="D57" s="99" t="s">
        <v>161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1"/>
      <c r="AK57" s="69"/>
      <c r="AL57" s="69"/>
      <c r="AM57" s="69"/>
      <c r="AN57" s="69"/>
      <c r="AO57" s="69"/>
      <c r="AP57" s="69"/>
      <c r="AQ57" s="69"/>
      <c r="AR57" s="69"/>
      <c r="AS57" s="93">
        <f>SUM(AS58:AZ85)</f>
        <v>55570367</v>
      </c>
      <c r="AT57" s="94"/>
      <c r="AU57" s="94"/>
      <c r="AV57" s="94"/>
      <c r="AW57" s="94"/>
      <c r="AX57" s="94"/>
      <c r="AY57" s="94"/>
      <c r="AZ57" s="95"/>
      <c r="BA57" s="93">
        <f t="shared" si="0"/>
        <v>55570367</v>
      </c>
      <c r="BB57" s="94"/>
      <c r="BC57" s="94"/>
      <c r="BD57" s="94"/>
      <c r="BE57" s="94"/>
      <c r="BF57" s="94"/>
      <c r="BG57" s="94"/>
      <c r="BH57" s="95"/>
      <c r="BT57" s="47"/>
      <c r="BU57" s="47"/>
      <c r="BV57" s="48"/>
      <c r="BW57" s="47"/>
      <c r="BX57" s="47"/>
      <c r="BY57" s="47"/>
      <c r="BZ57" s="47"/>
    </row>
    <row r="58" spans="1:78" ht="35.25" customHeight="1" x14ac:dyDescent="0.2">
      <c r="A58" s="63">
        <v>1</v>
      </c>
      <c r="B58" s="64"/>
      <c r="C58" s="65"/>
      <c r="D58" s="81" t="s">
        <v>178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69"/>
      <c r="AL58" s="69"/>
      <c r="AM58" s="69"/>
      <c r="AN58" s="69"/>
      <c r="AO58" s="69"/>
      <c r="AP58" s="69"/>
      <c r="AQ58" s="69"/>
      <c r="AR58" s="69"/>
      <c r="AS58" s="70">
        <f>800000+4473361-1008242-718000</f>
        <v>3547119</v>
      </c>
      <c r="AT58" s="71"/>
      <c r="AU58" s="71"/>
      <c r="AV58" s="71"/>
      <c r="AW58" s="71"/>
      <c r="AX58" s="71"/>
      <c r="AY58" s="71"/>
      <c r="AZ58" s="72"/>
      <c r="BA58" s="70">
        <f t="shared" si="0"/>
        <v>3547119</v>
      </c>
      <c r="BB58" s="71"/>
      <c r="BC58" s="71"/>
      <c r="BD58" s="71"/>
      <c r="BE58" s="71"/>
      <c r="BF58" s="71"/>
      <c r="BG58" s="71"/>
      <c r="BH58" s="72"/>
      <c r="BT58" s="47"/>
      <c r="BU58" s="47"/>
      <c r="BV58" s="47"/>
      <c r="BW58" s="47"/>
      <c r="BX58" s="47"/>
      <c r="BY58" s="47"/>
      <c r="BZ58" s="47"/>
    </row>
    <row r="59" spans="1:78" ht="32.25" customHeight="1" x14ac:dyDescent="0.2">
      <c r="A59" s="63">
        <f t="shared" ref="A59:A85" si="1">A58+1</f>
        <v>2</v>
      </c>
      <c r="B59" s="64"/>
      <c r="C59" s="65"/>
      <c r="D59" s="66" t="s">
        <v>179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9"/>
      <c r="AL59" s="69"/>
      <c r="AM59" s="69"/>
      <c r="AN59" s="69"/>
      <c r="AO59" s="69"/>
      <c r="AP59" s="69"/>
      <c r="AQ59" s="69"/>
      <c r="AR59" s="69"/>
      <c r="AS59" s="70">
        <f>500000</f>
        <v>500000</v>
      </c>
      <c r="AT59" s="71"/>
      <c r="AU59" s="71"/>
      <c r="AV59" s="71"/>
      <c r="AW59" s="71"/>
      <c r="AX59" s="71"/>
      <c r="AY59" s="71"/>
      <c r="AZ59" s="72"/>
      <c r="BA59" s="70">
        <f t="shared" si="0"/>
        <v>500000</v>
      </c>
      <c r="BB59" s="71"/>
      <c r="BC59" s="71"/>
      <c r="BD59" s="71"/>
      <c r="BE59" s="71"/>
      <c r="BF59" s="71"/>
      <c r="BG59" s="71"/>
      <c r="BH59" s="72"/>
      <c r="BT59" s="47"/>
      <c r="BU59" s="47"/>
      <c r="BV59" s="47"/>
      <c r="BW59" s="47"/>
      <c r="BX59" s="47"/>
      <c r="BY59" s="47"/>
      <c r="BZ59" s="47"/>
    </row>
    <row r="60" spans="1:78" ht="20.25" customHeight="1" x14ac:dyDescent="0.2">
      <c r="A60" s="63">
        <f t="shared" si="1"/>
        <v>3</v>
      </c>
      <c r="B60" s="64"/>
      <c r="C60" s="65"/>
      <c r="D60" s="66" t="s">
        <v>180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9"/>
      <c r="AL60" s="69"/>
      <c r="AM60" s="69"/>
      <c r="AN60" s="69"/>
      <c r="AO60" s="69"/>
      <c r="AP60" s="69"/>
      <c r="AQ60" s="69"/>
      <c r="AR60" s="69"/>
      <c r="AS60" s="70">
        <f>800000+6172411+229474</f>
        <v>7201885</v>
      </c>
      <c r="AT60" s="71"/>
      <c r="AU60" s="71"/>
      <c r="AV60" s="71"/>
      <c r="AW60" s="71"/>
      <c r="AX60" s="71"/>
      <c r="AY60" s="71"/>
      <c r="AZ60" s="72"/>
      <c r="BA60" s="70">
        <f t="shared" si="0"/>
        <v>7201885</v>
      </c>
      <c r="BB60" s="71"/>
      <c r="BC60" s="71"/>
      <c r="BD60" s="71"/>
      <c r="BE60" s="71"/>
      <c r="BF60" s="71"/>
      <c r="BG60" s="71"/>
      <c r="BH60" s="72"/>
      <c r="BT60" s="47"/>
      <c r="BU60" s="47"/>
      <c r="BV60" s="47"/>
      <c r="BW60" s="47"/>
      <c r="BX60" s="47"/>
      <c r="BY60" s="47"/>
      <c r="BZ60" s="47"/>
    </row>
    <row r="61" spans="1:78" ht="35.25" customHeight="1" x14ac:dyDescent="0.2">
      <c r="A61" s="63">
        <f t="shared" si="1"/>
        <v>4</v>
      </c>
      <c r="B61" s="64"/>
      <c r="C61" s="65"/>
      <c r="D61" s="66" t="s">
        <v>181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9"/>
      <c r="AL61" s="69"/>
      <c r="AM61" s="69"/>
      <c r="AN61" s="69"/>
      <c r="AO61" s="69"/>
      <c r="AP61" s="69"/>
      <c r="AQ61" s="69"/>
      <c r="AR61" s="69"/>
      <c r="AS61" s="70">
        <f>800000+8479628-752674-8526954</f>
        <v>0</v>
      </c>
      <c r="AT61" s="71"/>
      <c r="AU61" s="71"/>
      <c r="AV61" s="71"/>
      <c r="AW61" s="71"/>
      <c r="AX61" s="71"/>
      <c r="AY61" s="71"/>
      <c r="AZ61" s="72"/>
      <c r="BA61" s="70">
        <f t="shared" si="0"/>
        <v>0</v>
      </c>
      <c r="BB61" s="71"/>
      <c r="BC61" s="71"/>
      <c r="BD61" s="71"/>
      <c r="BE61" s="71"/>
      <c r="BF61" s="71"/>
      <c r="BG61" s="71"/>
      <c r="BH61" s="72"/>
      <c r="BT61" s="47"/>
      <c r="BU61" s="47"/>
      <c r="BV61" s="47"/>
      <c r="BW61" s="47"/>
      <c r="BX61" s="47"/>
      <c r="BY61" s="47"/>
      <c r="BZ61" s="47"/>
    </row>
    <row r="62" spans="1:78" ht="34.5" customHeight="1" x14ac:dyDescent="0.2">
      <c r="A62" s="63">
        <f t="shared" si="1"/>
        <v>5</v>
      </c>
      <c r="B62" s="64"/>
      <c r="C62" s="65"/>
      <c r="D62" s="66" t="s">
        <v>182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9"/>
      <c r="AL62" s="69"/>
      <c r="AM62" s="69"/>
      <c r="AN62" s="69"/>
      <c r="AO62" s="69"/>
      <c r="AP62" s="69"/>
      <c r="AQ62" s="69"/>
      <c r="AR62" s="69"/>
      <c r="AS62" s="70">
        <f>216700+1197697-21643</f>
        <v>1392754</v>
      </c>
      <c r="AT62" s="71"/>
      <c r="AU62" s="71"/>
      <c r="AV62" s="71"/>
      <c r="AW62" s="71"/>
      <c r="AX62" s="71"/>
      <c r="AY62" s="71"/>
      <c r="AZ62" s="72"/>
      <c r="BA62" s="70">
        <f t="shared" si="0"/>
        <v>1392754</v>
      </c>
      <c r="BB62" s="71"/>
      <c r="BC62" s="71"/>
      <c r="BD62" s="71"/>
      <c r="BE62" s="71"/>
      <c r="BF62" s="71"/>
      <c r="BG62" s="71"/>
      <c r="BH62" s="72"/>
      <c r="BT62" s="47"/>
      <c r="BU62" s="47"/>
      <c r="BV62" s="47"/>
      <c r="BW62" s="47"/>
      <c r="BX62" s="47"/>
      <c r="BY62" s="47"/>
      <c r="BZ62" s="47"/>
    </row>
    <row r="63" spans="1:78" ht="18.75" customHeight="1" x14ac:dyDescent="0.2">
      <c r="A63" s="63">
        <f t="shared" si="1"/>
        <v>6</v>
      </c>
      <c r="B63" s="64"/>
      <c r="C63" s="65"/>
      <c r="D63" s="66" t="s">
        <v>183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9"/>
      <c r="AL63" s="69"/>
      <c r="AM63" s="69"/>
      <c r="AN63" s="69"/>
      <c r="AO63" s="69"/>
      <c r="AP63" s="69"/>
      <c r="AQ63" s="69"/>
      <c r="AR63" s="69"/>
      <c r="AS63" s="70">
        <f>500000+602662-18878</f>
        <v>1083784</v>
      </c>
      <c r="AT63" s="71"/>
      <c r="AU63" s="71"/>
      <c r="AV63" s="71"/>
      <c r="AW63" s="71"/>
      <c r="AX63" s="71"/>
      <c r="AY63" s="71"/>
      <c r="AZ63" s="72"/>
      <c r="BA63" s="70">
        <f t="shared" si="0"/>
        <v>1083784</v>
      </c>
      <c r="BB63" s="71"/>
      <c r="BC63" s="71"/>
      <c r="BD63" s="71"/>
      <c r="BE63" s="71"/>
      <c r="BF63" s="71"/>
      <c r="BG63" s="71"/>
      <c r="BH63" s="72"/>
      <c r="BT63" s="47"/>
      <c r="BU63" s="47"/>
      <c r="BV63" s="47"/>
      <c r="BW63" s="47"/>
      <c r="BX63" s="47"/>
      <c r="BY63" s="47"/>
      <c r="BZ63" s="47"/>
    </row>
    <row r="64" spans="1:78" ht="34.5" customHeight="1" x14ac:dyDescent="0.2">
      <c r="A64" s="63">
        <f t="shared" si="1"/>
        <v>7</v>
      </c>
      <c r="B64" s="64"/>
      <c r="C64" s="65"/>
      <c r="D64" s="66" t="s">
        <v>184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9"/>
      <c r="AL64" s="69"/>
      <c r="AM64" s="69"/>
      <c r="AN64" s="69"/>
      <c r="AO64" s="69"/>
      <c r="AP64" s="69"/>
      <c r="AQ64" s="69"/>
      <c r="AR64" s="69"/>
      <c r="AS64" s="70">
        <f>800000+1495880-23778</f>
        <v>2272102</v>
      </c>
      <c r="AT64" s="71"/>
      <c r="AU64" s="71"/>
      <c r="AV64" s="71"/>
      <c r="AW64" s="71"/>
      <c r="AX64" s="71"/>
      <c r="AY64" s="71"/>
      <c r="AZ64" s="72"/>
      <c r="BA64" s="70">
        <f t="shared" si="0"/>
        <v>2272102</v>
      </c>
      <c r="BB64" s="71"/>
      <c r="BC64" s="71"/>
      <c r="BD64" s="71"/>
      <c r="BE64" s="71"/>
      <c r="BF64" s="71"/>
      <c r="BG64" s="71"/>
      <c r="BH64" s="72"/>
      <c r="BT64" s="47"/>
      <c r="BU64" s="47"/>
      <c r="BV64" s="47"/>
      <c r="BW64" s="47"/>
      <c r="BX64" s="47"/>
      <c r="BY64" s="47"/>
      <c r="BZ64" s="47"/>
    </row>
    <row r="65" spans="1:78" ht="32.25" customHeight="1" x14ac:dyDescent="0.2">
      <c r="A65" s="63">
        <f t="shared" si="1"/>
        <v>8</v>
      </c>
      <c r="B65" s="64"/>
      <c r="C65" s="65"/>
      <c r="D65" s="66" t="s">
        <v>185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9"/>
      <c r="AL65" s="69"/>
      <c r="AM65" s="69"/>
      <c r="AN65" s="69"/>
      <c r="AO65" s="69"/>
      <c r="AP65" s="69"/>
      <c r="AQ65" s="69"/>
      <c r="AR65" s="69"/>
      <c r="AS65" s="70">
        <f>119860+10795</f>
        <v>130655</v>
      </c>
      <c r="AT65" s="71"/>
      <c r="AU65" s="71"/>
      <c r="AV65" s="71"/>
      <c r="AW65" s="71"/>
      <c r="AX65" s="71"/>
      <c r="AY65" s="71"/>
      <c r="AZ65" s="72"/>
      <c r="BA65" s="70">
        <f t="shared" si="0"/>
        <v>130655</v>
      </c>
      <c r="BB65" s="71"/>
      <c r="BC65" s="71"/>
      <c r="BD65" s="71"/>
      <c r="BE65" s="71"/>
      <c r="BF65" s="71"/>
      <c r="BG65" s="71"/>
      <c r="BH65" s="72"/>
      <c r="BT65" s="47"/>
      <c r="BU65" s="47"/>
      <c r="BV65" s="47"/>
      <c r="BW65" s="47"/>
      <c r="BX65" s="47"/>
      <c r="BY65" s="47"/>
      <c r="BZ65" s="47"/>
    </row>
    <row r="66" spans="1:78" ht="37.5" customHeight="1" x14ac:dyDescent="0.2">
      <c r="A66" s="63">
        <f t="shared" si="1"/>
        <v>9</v>
      </c>
      <c r="B66" s="64"/>
      <c r="C66" s="65"/>
      <c r="D66" s="66" t="s">
        <v>186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9"/>
      <c r="AL66" s="69"/>
      <c r="AM66" s="69"/>
      <c r="AN66" s="69"/>
      <c r="AO66" s="69"/>
      <c r="AP66" s="69"/>
      <c r="AQ66" s="69"/>
      <c r="AR66" s="69"/>
      <c r="AS66" s="70">
        <f>213380+80886</f>
        <v>294266</v>
      </c>
      <c r="AT66" s="71"/>
      <c r="AU66" s="71"/>
      <c r="AV66" s="71"/>
      <c r="AW66" s="71"/>
      <c r="AX66" s="71"/>
      <c r="AY66" s="71"/>
      <c r="AZ66" s="72"/>
      <c r="BA66" s="70">
        <f t="shared" si="0"/>
        <v>294266</v>
      </c>
      <c r="BB66" s="71"/>
      <c r="BC66" s="71"/>
      <c r="BD66" s="71"/>
      <c r="BE66" s="71"/>
      <c r="BF66" s="71"/>
      <c r="BG66" s="71"/>
      <c r="BH66" s="72"/>
      <c r="BT66" s="47"/>
      <c r="BU66" s="47"/>
      <c r="BV66" s="47"/>
      <c r="BW66" s="47"/>
      <c r="BX66" s="47"/>
      <c r="BY66" s="47"/>
      <c r="BZ66" s="47"/>
    </row>
    <row r="67" spans="1:78" ht="35.25" customHeight="1" x14ac:dyDescent="0.2">
      <c r="A67" s="63">
        <f t="shared" si="1"/>
        <v>10</v>
      </c>
      <c r="B67" s="64"/>
      <c r="C67" s="65"/>
      <c r="D67" s="66" t="s">
        <v>187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9"/>
      <c r="AL67" s="69"/>
      <c r="AM67" s="69"/>
      <c r="AN67" s="69"/>
      <c r="AO67" s="69"/>
      <c r="AP67" s="69"/>
      <c r="AQ67" s="69"/>
      <c r="AR67" s="69"/>
      <c r="AS67" s="70">
        <f>1425470+16518680-5125520</f>
        <v>12818630</v>
      </c>
      <c r="AT67" s="71"/>
      <c r="AU67" s="71"/>
      <c r="AV67" s="71"/>
      <c r="AW67" s="71"/>
      <c r="AX67" s="71"/>
      <c r="AY67" s="71"/>
      <c r="AZ67" s="72"/>
      <c r="BA67" s="70">
        <f t="shared" si="0"/>
        <v>12818630</v>
      </c>
      <c r="BB67" s="71"/>
      <c r="BC67" s="71"/>
      <c r="BD67" s="71"/>
      <c r="BE67" s="71"/>
      <c r="BF67" s="71"/>
      <c r="BG67" s="71"/>
      <c r="BH67" s="72"/>
      <c r="BT67" s="47"/>
      <c r="BU67" s="47"/>
      <c r="BV67" s="47"/>
      <c r="BW67" s="47"/>
      <c r="BX67" s="47"/>
      <c r="BY67" s="47"/>
      <c r="BZ67" s="47"/>
    </row>
    <row r="68" spans="1:78" ht="33" customHeight="1" x14ac:dyDescent="0.2">
      <c r="A68" s="63">
        <f t="shared" si="1"/>
        <v>11</v>
      </c>
      <c r="B68" s="64"/>
      <c r="C68" s="65"/>
      <c r="D68" s="66" t="s">
        <v>188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9"/>
      <c r="AL68" s="69"/>
      <c r="AM68" s="69"/>
      <c r="AN68" s="69"/>
      <c r="AO68" s="69"/>
      <c r="AP68" s="69"/>
      <c r="AQ68" s="69"/>
      <c r="AR68" s="69"/>
      <c r="AS68" s="70">
        <f>800000+2820845+1446334</f>
        <v>5067179</v>
      </c>
      <c r="AT68" s="71"/>
      <c r="AU68" s="71"/>
      <c r="AV68" s="71"/>
      <c r="AW68" s="71"/>
      <c r="AX68" s="71"/>
      <c r="AY68" s="71"/>
      <c r="AZ68" s="72"/>
      <c r="BA68" s="70">
        <f t="shared" si="0"/>
        <v>5067179</v>
      </c>
      <c r="BB68" s="71"/>
      <c r="BC68" s="71"/>
      <c r="BD68" s="71"/>
      <c r="BE68" s="71"/>
      <c r="BF68" s="71"/>
      <c r="BG68" s="71"/>
      <c r="BH68" s="72"/>
      <c r="BT68" s="47"/>
      <c r="BU68" s="47"/>
      <c r="BV68" s="47"/>
      <c r="BW68" s="47"/>
      <c r="BX68" s="47"/>
      <c r="BY68" s="47"/>
      <c r="BZ68" s="47"/>
    </row>
    <row r="69" spans="1:78" ht="36" customHeight="1" x14ac:dyDescent="0.2">
      <c r="A69" s="63">
        <f t="shared" si="1"/>
        <v>12</v>
      </c>
      <c r="B69" s="64"/>
      <c r="C69" s="65"/>
      <c r="D69" s="66" t="s">
        <v>189</v>
      </c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9"/>
      <c r="AL69" s="69"/>
      <c r="AM69" s="69"/>
      <c r="AN69" s="69"/>
      <c r="AO69" s="69"/>
      <c r="AP69" s="69"/>
      <c r="AQ69" s="69"/>
      <c r="AR69" s="69"/>
      <c r="AS69" s="70">
        <f>800000+263241-25030</f>
        <v>1038211</v>
      </c>
      <c r="AT69" s="71"/>
      <c r="AU69" s="71"/>
      <c r="AV69" s="71"/>
      <c r="AW69" s="71"/>
      <c r="AX69" s="71"/>
      <c r="AY69" s="71"/>
      <c r="AZ69" s="72"/>
      <c r="BA69" s="70">
        <f t="shared" si="0"/>
        <v>1038211</v>
      </c>
      <c r="BB69" s="71"/>
      <c r="BC69" s="71"/>
      <c r="BD69" s="71"/>
      <c r="BE69" s="71"/>
      <c r="BF69" s="71"/>
      <c r="BG69" s="71"/>
      <c r="BH69" s="72"/>
      <c r="BT69" s="47"/>
      <c r="BU69" s="47"/>
      <c r="BV69" s="47"/>
      <c r="BW69" s="47"/>
      <c r="BX69" s="47"/>
      <c r="BY69" s="47"/>
      <c r="BZ69" s="47"/>
    </row>
    <row r="70" spans="1:78" ht="19.5" customHeight="1" x14ac:dyDescent="0.2">
      <c r="A70" s="63">
        <f t="shared" si="1"/>
        <v>13</v>
      </c>
      <c r="B70" s="64"/>
      <c r="C70" s="65"/>
      <c r="D70" s="66" t="s">
        <v>300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9"/>
      <c r="AL70" s="69"/>
      <c r="AM70" s="69"/>
      <c r="AN70" s="69"/>
      <c r="AO70" s="69"/>
      <c r="AP70" s="69"/>
      <c r="AQ70" s="69"/>
      <c r="AR70" s="69"/>
      <c r="AS70" s="70">
        <f>1868300-416310-107990</f>
        <v>1344000</v>
      </c>
      <c r="AT70" s="71"/>
      <c r="AU70" s="71"/>
      <c r="AV70" s="71"/>
      <c r="AW70" s="71"/>
      <c r="AX70" s="71"/>
      <c r="AY70" s="71"/>
      <c r="AZ70" s="72"/>
      <c r="BA70" s="70">
        <f t="shared" si="0"/>
        <v>1344000</v>
      </c>
      <c r="BB70" s="71"/>
      <c r="BC70" s="71"/>
      <c r="BD70" s="71"/>
      <c r="BE70" s="71"/>
      <c r="BF70" s="71"/>
      <c r="BG70" s="71"/>
      <c r="BH70" s="72"/>
      <c r="BT70" s="47"/>
      <c r="BU70" s="47"/>
      <c r="BV70" s="47"/>
      <c r="BW70" s="47"/>
      <c r="BX70" s="47"/>
      <c r="BY70" s="47"/>
      <c r="BZ70" s="47"/>
    </row>
    <row r="71" spans="1:78" ht="33" customHeight="1" x14ac:dyDescent="0.2">
      <c r="A71" s="63">
        <f t="shared" si="1"/>
        <v>14</v>
      </c>
      <c r="B71" s="64"/>
      <c r="C71" s="65"/>
      <c r="D71" s="75" t="s">
        <v>190</v>
      </c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69"/>
      <c r="AL71" s="69"/>
      <c r="AM71" s="69"/>
      <c r="AN71" s="69"/>
      <c r="AO71" s="69"/>
      <c r="AP71" s="69"/>
      <c r="AQ71" s="69"/>
      <c r="AR71" s="69"/>
      <c r="AS71" s="70">
        <f>778960+210000</f>
        <v>988960</v>
      </c>
      <c r="AT71" s="71"/>
      <c r="AU71" s="71"/>
      <c r="AV71" s="71"/>
      <c r="AW71" s="71"/>
      <c r="AX71" s="71"/>
      <c r="AY71" s="71"/>
      <c r="AZ71" s="72"/>
      <c r="BA71" s="70">
        <f t="shared" si="0"/>
        <v>988960</v>
      </c>
      <c r="BB71" s="71"/>
      <c r="BC71" s="71"/>
      <c r="BD71" s="71"/>
      <c r="BE71" s="71"/>
      <c r="BF71" s="71"/>
      <c r="BG71" s="71"/>
      <c r="BH71" s="72"/>
      <c r="BT71" s="47"/>
      <c r="BU71" s="47"/>
      <c r="BV71" s="47"/>
      <c r="BW71" s="47"/>
      <c r="BX71" s="47"/>
      <c r="BY71" s="47"/>
      <c r="BZ71" s="47"/>
    </row>
    <row r="72" spans="1:78" ht="34.5" customHeight="1" x14ac:dyDescent="0.2">
      <c r="A72" s="63">
        <f t="shared" si="1"/>
        <v>15</v>
      </c>
      <c r="B72" s="64"/>
      <c r="C72" s="65"/>
      <c r="D72" s="75" t="s">
        <v>191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69"/>
      <c r="AL72" s="69"/>
      <c r="AM72" s="69"/>
      <c r="AN72" s="69"/>
      <c r="AO72" s="69"/>
      <c r="AP72" s="69"/>
      <c r="AQ72" s="69"/>
      <c r="AR72" s="69"/>
      <c r="AS72" s="70">
        <v>106978</v>
      </c>
      <c r="AT72" s="71"/>
      <c r="AU72" s="71"/>
      <c r="AV72" s="71"/>
      <c r="AW72" s="71"/>
      <c r="AX72" s="71"/>
      <c r="AY72" s="71"/>
      <c r="AZ72" s="72"/>
      <c r="BA72" s="70">
        <f t="shared" si="0"/>
        <v>106978</v>
      </c>
      <c r="BB72" s="71"/>
      <c r="BC72" s="71"/>
      <c r="BD72" s="71"/>
      <c r="BE72" s="71"/>
      <c r="BF72" s="71"/>
      <c r="BG72" s="71"/>
      <c r="BH72" s="72"/>
      <c r="BT72" s="47"/>
      <c r="BU72" s="47"/>
      <c r="BV72" s="47"/>
      <c r="BW72" s="47"/>
      <c r="BX72" s="47"/>
      <c r="BY72" s="47"/>
      <c r="BZ72" s="47"/>
    </row>
    <row r="73" spans="1:78" ht="22.5" customHeight="1" x14ac:dyDescent="0.2">
      <c r="A73" s="63">
        <f t="shared" si="1"/>
        <v>16</v>
      </c>
      <c r="B73" s="64"/>
      <c r="C73" s="65"/>
      <c r="D73" s="75" t="s">
        <v>192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69"/>
      <c r="AL73" s="69"/>
      <c r="AM73" s="69"/>
      <c r="AN73" s="69"/>
      <c r="AO73" s="69"/>
      <c r="AP73" s="69"/>
      <c r="AQ73" s="69"/>
      <c r="AR73" s="69"/>
      <c r="AS73" s="70">
        <v>553405</v>
      </c>
      <c r="AT73" s="71"/>
      <c r="AU73" s="71"/>
      <c r="AV73" s="71"/>
      <c r="AW73" s="71"/>
      <c r="AX73" s="71"/>
      <c r="AY73" s="71"/>
      <c r="AZ73" s="72"/>
      <c r="BA73" s="70">
        <f t="shared" si="0"/>
        <v>553405</v>
      </c>
      <c r="BB73" s="71"/>
      <c r="BC73" s="71"/>
      <c r="BD73" s="71"/>
      <c r="BE73" s="71"/>
      <c r="BF73" s="71"/>
      <c r="BG73" s="71"/>
      <c r="BH73" s="72"/>
      <c r="BT73" s="47"/>
      <c r="BU73" s="47"/>
      <c r="BV73" s="47"/>
      <c r="BW73" s="47"/>
      <c r="BX73" s="47"/>
      <c r="BY73" s="47"/>
      <c r="BZ73" s="47"/>
    </row>
    <row r="74" spans="1:78" ht="21.75" customHeight="1" x14ac:dyDescent="0.2">
      <c r="A74" s="63">
        <f t="shared" si="1"/>
        <v>17</v>
      </c>
      <c r="B74" s="64"/>
      <c r="C74" s="65"/>
      <c r="D74" s="75" t="s">
        <v>193</v>
      </c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69"/>
      <c r="AL74" s="69"/>
      <c r="AM74" s="69"/>
      <c r="AN74" s="69"/>
      <c r="AO74" s="69"/>
      <c r="AP74" s="69"/>
      <c r="AQ74" s="69"/>
      <c r="AR74" s="69"/>
      <c r="AS74" s="70">
        <v>164458</v>
      </c>
      <c r="AT74" s="71"/>
      <c r="AU74" s="71"/>
      <c r="AV74" s="71"/>
      <c r="AW74" s="71"/>
      <c r="AX74" s="71"/>
      <c r="AY74" s="71"/>
      <c r="AZ74" s="72"/>
      <c r="BA74" s="70">
        <f t="shared" si="0"/>
        <v>164458</v>
      </c>
      <c r="BB74" s="71"/>
      <c r="BC74" s="71"/>
      <c r="BD74" s="71"/>
      <c r="BE74" s="71"/>
      <c r="BF74" s="71"/>
      <c r="BG74" s="71"/>
      <c r="BH74" s="72"/>
      <c r="BT74" s="47"/>
      <c r="BU74" s="47"/>
      <c r="BV74" s="47"/>
      <c r="BW74" s="47"/>
      <c r="BX74" s="47"/>
      <c r="BY74" s="47"/>
      <c r="BZ74" s="47"/>
    </row>
    <row r="75" spans="1:78" ht="33.75" customHeight="1" x14ac:dyDescent="0.2">
      <c r="A75" s="63">
        <f t="shared" si="1"/>
        <v>18</v>
      </c>
      <c r="B75" s="64"/>
      <c r="C75" s="65"/>
      <c r="D75" s="66" t="s">
        <v>194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9"/>
      <c r="AL75" s="69"/>
      <c r="AM75" s="69"/>
      <c r="AN75" s="69"/>
      <c r="AO75" s="69"/>
      <c r="AP75" s="69"/>
      <c r="AQ75" s="69"/>
      <c r="AR75" s="69"/>
      <c r="AS75" s="70">
        <v>2915336</v>
      </c>
      <c r="AT75" s="71"/>
      <c r="AU75" s="71"/>
      <c r="AV75" s="71"/>
      <c r="AW75" s="71"/>
      <c r="AX75" s="71"/>
      <c r="AY75" s="71"/>
      <c r="AZ75" s="72"/>
      <c r="BA75" s="70">
        <f t="shared" si="0"/>
        <v>2915336</v>
      </c>
      <c r="BB75" s="71"/>
      <c r="BC75" s="71"/>
      <c r="BD75" s="71"/>
      <c r="BE75" s="71"/>
      <c r="BF75" s="71"/>
      <c r="BG75" s="71"/>
      <c r="BH75" s="72"/>
      <c r="BT75" s="47"/>
      <c r="BU75" s="47"/>
      <c r="BV75" s="47"/>
      <c r="BW75" s="47"/>
      <c r="BX75" s="47"/>
      <c r="BY75" s="47"/>
      <c r="BZ75" s="47"/>
    </row>
    <row r="76" spans="1:78" ht="33" customHeight="1" x14ac:dyDescent="0.2">
      <c r="A76" s="63">
        <f t="shared" si="1"/>
        <v>19</v>
      </c>
      <c r="B76" s="64"/>
      <c r="C76" s="65"/>
      <c r="D76" s="66" t="s">
        <v>195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9"/>
      <c r="AL76" s="69"/>
      <c r="AM76" s="69"/>
      <c r="AN76" s="69"/>
      <c r="AO76" s="69"/>
      <c r="AP76" s="69"/>
      <c r="AQ76" s="69"/>
      <c r="AR76" s="69"/>
      <c r="AS76" s="70">
        <f>5891152+214573</f>
        <v>6105725</v>
      </c>
      <c r="AT76" s="71"/>
      <c r="AU76" s="71"/>
      <c r="AV76" s="71"/>
      <c r="AW76" s="71"/>
      <c r="AX76" s="71"/>
      <c r="AY76" s="71"/>
      <c r="AZ76" s="72"/>
      <c r="BA76" s="70">
        <f t="shared" si="0"/>
        <v>6105725</v>
      </c>
      <c r="BB76" s="71"/>
      <c r="BC76" s="71"/>
      <c r="BD76" s="71"/>
      <c r="BE76" s="71"/>
      <c r="BF76" s="71"/>
      <c r="BG76" s="71"/>
      <c r="BH76" s="72"/>
      <c r="BT76" s="47"/>
      <c r="BU76" s="47"/>
      <c r="BV76" s="47"/>
      <c r="BW76" s="47"/>
      <c r="BX76" s="47"/>
      <c r="BY76" s="47"/>
      <c r="BZ76" s="47"/>
    </row>
    <row r="77" spans="1:78" ht="36" customHeight="1" x14ac:dyDescent="0.2">
      <c r="A77" s="63">
        <f t="shared" si="1"/>
        <v>20</v>
      </c>
      <c r="B77" s="64"/>
      <c r="C77" s="65"/>
      <c r="D77" s="119" t="s">
        <v>196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1"/>
      <c r="AK77" s="69"/>
      <c r="AL77" s="69"/>
      <c r="AM77" s="69"/>
      <c r="AN77" s="69"/>
      <c r="AO77" s="69"/>
      <c r="AP77" s="69"/>
      <c r="AQ77" s="69"/>
      <c r="AR77" s="69"/>
      <c r="AS77" s="70">
        <v>248400</v>
      </c>
      <c r="AT77" s="71"/>
      <c r="AU77" s="71"/>
      <c r="AV77" s="71"/>
      <c r="AW77" s="71"/>
      <c r="AX77" s="71"/>
      <c r="AY77" s="71"/>
      <c r="AZ77" s="72"/>
      <c r="BA77" s="70">
        <f t="shared" si="0"/>
        <v>248400</v>
      </c>
      <c r="BB77" s="71"/>
      <c r="BC77" s="71"/>
      <c r="BD77" s="71"/>
      <c r="BE77" s="71"/>
      <c r="BF77" s="71"/>
      <c r="BG77" s="71"/>
      <c r="BH77" s="72"/>
      <c r="BT77" s="47"/>
      <c r="BU77" s="47"/>
      <c r="BV77" s="47"/>
      <c r="BW77" s="47"/>
      <c r="BX77" s="47"/>
      <c r="BY77" s="47"/>
      <c r="BZ77" s="47"/>
    </row>
    <row r="78" spans="1:78" ht="18.75" customHeight="1" x14ac:dyDescent="0.2">
      <c r="A78" s="63">
        <f t="shared" si="1"/>
        <v>21</v>
      </c>
      <c r="B78" s="64"/>
      <c r="C78" s="65"/>
      <c r="D78" s="75" t="s">
        <v>197</v>
      </c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69"/>
      <c r="AL78" s="69"/>
      <c r="AM78" s="69"/>
      <c r="AN78" s="69"/>
      <c r="AO78" s="69"/>
      <c r="AP78" s="69"/>
      <c r="AQ78" s="69"/>
      <c r="AR78" s="69"/>
      <c r="AS78" s="70">
        <f>428388-12412</f>
        <v>415976</v>
      </c>
      <c r="AT78" s="71"/>
      <c r="AU78" s="71"/>
      <c r="AV78" s="71"/>
      <c r="AW78" s="71"/>
      <c r="AX78" s="71"/>
      <c r="AY78" s="71"/>
      <c r="AZ78" s="72"/>
      <c r="BA78" s="70">
        <f t="shared" si="0"/>
        <v>415976</v>
      </c>
      <c r="BB78" s="71"/>
      <c r="BC78" s="71"/>
      <c r="BD78" s="71"/>
      <c r="BE78" s="71"/>
      <c r="BF78" s="71"/>
      <c r="BG78" s="71"/>
      <c r="BH78" s="72"/>
      <c r="BT78" s="47"/>
      <c r="BU78" s="47"/>
      <c r="BV78" s="47"/>
      <c r="BW78" s="47"/>
      <c r="BX78" s="47"/>
      <c r="BY78" s="47"/>
      <c r="BZ78" s="47"/>
    </row>
    <row r="79" spans="1:78" ht="33" customHeight="1" x14ac:dyDescent="0.2">
      <c r="A79" s="63">
        <f t="shared" si="1"/>
        <v>22</v>
      </c>
      <c r="B79" s="64"/>
      <c r="C79" s="65"/>
      <c r="D79" s="75" t="s">
        <v>198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69"/>
      <c r="AL79" s="69"/>
      <c r="AM79" s="69"/>
      <c r="AN79" s="69"/>
      <c r="AO79" s="69"/>
      <c r="AP79" s="69"/>
      <c r="AQ79" s="69"/>
      <c r="AR79" s="69"/>
      <c r="AS79" s="70">
        <f>3122498-325803</f>
        <v>2796695</v>
      </c>
      <c r="AT79" s="71"/>
      <c r="AU79" s="71"/>
      <c r="AV79" s="71"/>
      <c r="AW79" s="71"/>
      <c r="AX79" s="71"/>
      <c r="AY79" s="71"/>
      <c r="AZ79" s="72"/>
      <c r="BA79" s="70">
        <f t="shared" si="0"/>
        <v>2796695</v>
      </c>
      <c r="BB79" s="71"/>
      <c r="BC79" s="71"/>
      <c r="BD79" s="71"/>
      <c r="BE79" s="71"/>
      <c r="BF79" s="71"/>
      <c r="BG79" s="71"/>
      <c r="BH79" s="72"/>
      <c r="BT79" s="47"/>
      <c r="BU79" s="47"/>
      <c r="BV79" s="47"/>
      <c r="BW79" s="47"/>
      <c r="BX79" s="47"/>
      <c r="BY79" s="47"/>
      <c r="BZ79" s="47"/>
    </row>
    <row r="80" spans="1:78" ht="18.95" customHeight="1" x14ac:dyDescent="0.2">
      <c r="A80" s="63">
        <f t="shared" si="1"/>
        <v>23</v>
      </c>
      <c r="B80" s="64"/>
      <c r="C80" s="65"/>
      <c r="D80" s="81" t="s">
        <v>199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3"/>
      <c r="AK80" s="69"/>
      <c r="AL80" s="69"/>
      <c r="AM80" s="69"/>
      <c r="AN80" s="69"/>
      <c r="AO80" s="69"/>
      <c r="AP80" s="69"/>
      <c r="AQ80" s="69"/>
      <c r="AR80" s="69"/>
      <c r="AS80" s="70">
        <f>738847-43844</f>
        <v>695003</v>
      </c>
      <c r="AT80" s="71"/>
      <c r="AU80" s="71"/>
      <c r="AV80" s="71"/>
      <c r="AW80" s="71"/>
      <c r="AX80" s="71"/>
      <c r="AY80" s="71"/>
      <c r="AZ80" s="72"/>
      <c r="BA80" s="70">
        <f t="shared" si="0"/>
        <v>695003</v>
      </c>
      <c r="BB80" s="71"/>
      <c r="BC80" s="71"/>
      <c r="BD80" s="71"/>
      <c r="BE80" s="71"/>
      <c r="BF80" s="71"/>
      <c r="BG80" s="71"/>
      <c r="BH80" s="72"/>
      <c r="BT80" s="47"/>
      <c r="BU80" s="47"/>
      <c r="BV80" s="47"/>
      <c r="BW80" s="47"/>
      <c r="BX80" s="47"/>
      <c r="BY80" s="47"/>
      <c r="BZ80" s="47"/>
    </row>
    <row r="81" spans="1:80" ht="18.95" customHeight="1" x14ac:dyDescent="0.2">
      <c r="A81" s="63">
        <f t="shared" si="1"/>
        <v>24</v>
      </c>
      <c r="B81" s="64"/>
      <c r="C81" s="65"/>
      <c r="D81" s="81" t="s">
        <v>200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3"/>
      <c r="AK81" s="69"/>
      <c r="AL81" s="69"/>
      <c r="AM81" s="69"/>
      <c r="AN81" s="69"/>
      <c r="AO81" s="69"/>
      <c r="AP81" s="69"/>
      <c r="AQ81" s="69"/>
      <c r="AR81" s="69"/>
      <c r="AS81" s="70">
        <v>993698</v>
      </c>
      <c r="AT81" s="71"/>
      <c r="AU81" s="71"/>
      <c r="AV81" s="71"/>
      <c r="AW81" s="71"/>
      <c r="AX81" s="71"/>
      <c r="AY81" s="71"/>
      <c r="AZ81" s="72"/>
      <c r="BA81" s="70">
        <f t="shared" si="0"/>
        <v>993698</v>
      </c>
      <c r="BB81" s="71"/>
      <c r="BC81" s="71"/>
      <c r="BD81" s="71"/>
      <c r="BE81" s="71"/>
      <c r="BF81" s="71"/>
      <c r="BG81" s="71"/>
      <c r="BH81" s="72"/>
      <c r="BT81" s="47"/>
      <c r="BU81" s="47"/>
      <c r="BV81" s="47"/>
      <c r="BW81" s="47"/>
      <c r="BX81" s="47"/>
      <c r="BY81" s="47"/>
      <c r="BZ81" s="47"/>
    </row>
    <row r="82" spans="1:80" ht="18.95" customHeight="1" x14ac:dyDescent="0.2">
      <c r="A82" s="63">
        <f t="shared" si="1"/>
        <v>25</v>
      </c>
      <c r="B82" s="64"/>
      <c r="C82" s="65"/>
      <c r="D82" s="81" t="s">
        <v>201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3"/>
      <c r="AK82" s="69"/>
      <c r="AL82" s="69"/>
      <c r="AM82" s="69"/>
      <c r="AN82" s="69"/>
      <c r="AO82" s="69"/>
      <c r="AP82" s="69"/>
      <c r="AQ82" s="69"/>
      <c r="AR82" s="69"/>
      <c r="AS82" s="70">
        <v>993022</v>
      </c>
      <c r="AT82" s="71"/>
      <c r="AU82" s="71"/>
      <c r="AV82" s="71"/>
      <c r="AW82" s="71"/>
      <c r="AX82" s="71"/>
      <c r="AY82" s="71"/>
      <c r="AZ82" s="72"/>
      <c r="BA82" s="70">
        <f t="shared" si="0"/>
        <v>993022</v>
      </c>
      <c r="BB82" s="71"/>
      <c r="BC82" s="71"/>
      <c r="BD82" s="71"/>
      <c r="BE82" s="71"/>
      <c r="BF82" s="71"/>
      <c r="BG82" s="71"/>
      <c r="BH82" s="72"/>
      <c r="BT82" s="47"/>
      <c r="BU82" s="47"/>
      <c r="BV82" s="47"/>
      <c r="BW82" s="47"/>
      <c r="BX82" s="47"/>
      <c r="BY82" s="47"/>
      <c r="BZ82" s="47"/>
    </row>
    <row r="83" spans="1:80" ht="18.95" customHeight="1" x14ac:dyDescent="0.2">
      <c r="A83" s="63">
        <f t="shared" si="1"/>
        <v>26</v>
      </c>
      <c r="B83" s="64"/>
      <c r="C83" s="65"/>
      <c r="D83" s="75" t="s">
        <v>202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69"/>
      <c r="AL83" s="69"/>
      <c r="AM83" s="69"/>
      <c r="AN83" s="69"/>
      <c r="AO83" s="69"/>
      <c r="AP83" s="69"/>
      <c r="AQ83" s="69"/>
      <c r="AR83" s="69"/>
      <c r="AS83" s="70">
        <v>499889</v>
      </c>
      <c r="AT83" s="71"/>
      <c r="AU83" s="71"/>
      <c r="AV83" s="71"/>
      <c r="AW83" s="71"/>
      <c r="AX83" s="71"/>
      <c r="AY83" s="71"/>
      <c r="AZ83" s="72"/>
      <c r="BA83" s="70">
        <f t="shared" si="0"/>
        <v>499889</v>
      </c>
      <c r="BB83" s="71"/>
      <c r="BC83" s="71"/>
      <c r="BD83" s="71"/>
      <c r="BE83" s="71"/>
      <c r="BF83" s="71"/>
      <c r="BG83" s="71"/>
      <c r="BH83" s="72"/>
      <c r="BT83" s="47"/>
      <c r="BU83" s="47"/>
      <c r="BV83" s="47"/>
      <c r="BW83" s="47"/>
      <c r="BX83" s="47"/>
      <c r="BY83" s="47"/>
      <c r="BZ83" s="47"/>
    </row>
    <row r="84" spans="1:80" ht="33" customHeight="1" x14ac:dyDescent="0.2">
      <c r="A84" s="63">
        <f t="shared" si="1"/>
        <v>27</v>
      </c>
      <c r="B84" s="64"/>
      <c r="C84" s="65"/>
      <c r="D84" s="75" t="s">
        <v>203</v>
      </c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69"/>
      <c r="AL84" s="69"/>
      <c r="AM84" s="69"/>
      <c r="AN84" s="69"/>
      <c r="AO84" s="69"/>
      <c r="AP84" s="69"/>
      <c r="AQ84" s="69"/>
      <c r="AR84" s="69"/>
      <c r="AS84" s="70">
        <f>923291-17624</f>
        <v>905667</v>
      </c>
      <c r="AT84" s="71"/>
      <c r="AU84" s="71"/>
      <c r="AV84" s="71"/>
      <c r="AW84" s="71"/>
      <c r="AX84" s="71"/>
      <c r="AY84" s="71"/>
      <c r="AZ84" s="72"/>
      <c r="BA84" s="70">
        <f t="shared" si="0"/>
        <v>905667</v>
      </c>
      <c r="BB84" s="71"/>
      <c r="BC84" s="71"/>
      <c r="BD84" s="71"/>
      <c r="BE84" s="71"/>
      <c r="BF84" s="71"/>
      <c r="BG84" s="71"/>
      <c r="BH84" s="72"/>
      <c r="BT84" s="47"/>
      <c r="BU84" s="47"/>
      <c r="BV84" s="47"/>
      <c r="BW84" s="47"/>
      <c r="BX84" s="47"/>
      <c r="BY84" s="47"/>
      <c r="BZ84" s="47"/>
    </row>
    <row r="85" spans="1:80" ht="33" customHeight="1" x14ac:dyDescent="0.2">
      <c r="A85" s="63">
        <f t="shared" si="1"/>
        <v>28</v>
      </c>
      <c r="B85" s="64"/>
      <c r="C85" s="65"/>
      <c r="D85" s="75" t="s">
        <v>204</v>
      </c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69"/>
      <c r="AL85" s="69"/>
      <c r="AM85" s="69"/>
      <c r="AN85" s="69"/>
      <c r="AO85" s="69"/>
      <c r="AP85" s="69"/>
      <c r="AQ85" s="69"/>
      <c r="AR85" s="69"/>
      <c r="AS85" s="70">
        <v>496570</v>
      </c>
      <c r="AT85" s="71"/>
      <c r="AU85" s="71"/>
      <c r="AV85" s="71"/>
      <c r="AW85" s="71"/>
      <c r="AX85" s="71"/>
      <c r="AY85" s="71"/>
      <c r="AZ85" s="72"/>
      <c r="BA85" s="70">
        <f>AC85+AS85</f>
        <v>496570</v>
      </c>
      <c r="BB85" s="71"/>
      <c r="BC85" s="71"/>
      <c r="BD85" s="71"/>
      <c r="BE85" s="71"/>
      <c r="BF85" s="71"/>
      <c r="BG85" s="71"/>
      <c r="BH85" s="72"/>
      <c r="BT85" s="47"/>
      <c r="BU85" s="47"/>
      <c r="BV85" s="47"/>
      <c r="BW85" s="47"/>
      <c r="BX85" s="47"/>
      <c r="BY85" s="47"/>
      <c r="BZ85" s="47"/>
    </row>
    <row r="86" spans="1:80" ht="18.600000000000001" customHeight="1" x14ac:dyDescent="0.2">
      <c r="A86" s="96" t="s">
        <v>162</v>
      </c>
      <c r="B86" s="97"/>
      <c r="C86" s="98"/>
      <c r="D86" s="99" t="s">
        <v>163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  <c r="AK86" s="69"/>
      <c r="AL86" s="69"/>
      <c r="AM86" s="69"/>
      <c r="AN86" s="69"/>
      <c r="AO86" s="69"/>
      <c r="AP86" s="69"/>
      <c r="AQ86" s="69"/>
      <c r="AR86" s="69"/>
      <c r="AS86" s="93">
        <f>SUM(AS87:AZ99)</f>
        <v>33301347</v>
      </c>
      <c r="AT86" s="94"/>
      <c r="AU86" s="94"/>
      <c r="AV86" s="94"/>
      <c r="AW86" s="94"/>
      <c r="AX86" s="94"/>
      <c r="AY86" s="94"/>
      <c r="AZ86" s="95"/>
      <c r="BA86" s="93">
        <f t="shared" si="0"/>
        <v>33301347</v>
      </c>
      <c r="BB86" s="94"/>
      <c r="BC86" s="94"/>
      <c r="BD86" s="94"/>
      <c r="BE86" s="94"/>
      <c r="BF86" s="94"/>
      <c r="BG86" s="94"/>
      <c r="BH86" s="95"/>
      <c r="BT86" s="47"/>
      <c r="BU86" s="47"/>
      <c r="BV86" s="47"/>
      <c r="BW86" s="47"/>
      <c r="BX86" s="47"/>
      <c r="BY86" s="47"/>
      <c r="BZ86" s="47"/>
    </row>
    <row r="87" spans="1:80" ht="18.95" customHeight="1" x14ac:dyDescent="0.2">
      <c r="A87" s="63">
        <v>1</v>
      </c>
      <c r="B87" s="64"/>
      <c r="C87" s="65"/>
      <c r="D87" s="66" t="s">
        <v>205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9"/>
      <c r="AL87" s="69"/>
      <c r="AM87" s="69"/>
      <c r="AN87" s="69"/>
      <c r="AO87" s="69"/>
      <c r="AP87" s="69"/>
      <c r="AQ87" s="69"/>
      <c r="AR87" s="69"/>
      <c r="AS87" s="70">
        <v>6742090</v>
      </c>
      <c r="AT87" s="71"/>
      <c r="AU87" s="71"/>
      <c r="AV87" s="71"/>
      <c r="AW87" s="71"/>
      <c r="AX87" s="71"/>
      <c r="AY87" s="71"/>
      <c r="AZ87" s="72"/>
      <c r="BA87" s="70">
        <f t="shared" si="0"/>
        <v>6742090</v>
      </c>
      <c r="BB87" s="71"/>
      <c r="BC87" s="71"/>
      <c r="BD87" s="71"/>
      <c r="BE87" s="71"/>
      <c r="BF87" s="71"/>
      <c r="BG87" s="71"/>
      <c r="BH87" s="72"/>
      <c r="BQ87" s="47"/>
      <c r="BR87" s="47">
        <v>2</v>
      </c>
      <c r="BS87" s="47"/>
      <c r="BT87" s="47"/>
      <c r="BU87" s="47"/>
      <c r="BV87" s="47"/>
      <c r="BW87" s="47"/>
      <c r="BX87" s="47"/>
      <c r="BY87" s="47"/>
      <c r="BZ87" s="47"/>
      <c r="CA87" s="47"/>
      <c r="CB87" s="47"/>
    </row>
    <row r="88" spans="1:80" ht="18.95" customHeight="1" x14ac:dyDescent="0.2">
      <c r="A88" s="63">
        <f t="shared" ref="A88:A99" si="2">A87+1</f>
        <v>2</v>
      </c>
      <c r="B88" s="64"/>
      <c r="C88" s="65"/>
      <c r="D88" s="66" t="s">
        <v>206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9"/>
      <c r="AL88" s="69"/>
      <c r="AM88" s="69"/>
      <c r="AN88" s="69"/>
      <c r="AO88" s="69"/>
      <c r="AP88" s="69"/>
      <c r="AQ88" s="69"/>
      <c r="AR88" s="69"/>
      <c r="AS88" s="70">
        <f>1422500-42500</f>
        <v>1380000</v>
      </c>
      <c r="AT88" s="71"/>
      <c r="AU88" s="71"/>
      <c r="AV88" s="71"/>
      <c r="AW88" s="71"/>
      <c r="AX88" s="71"/>
      <c r="AY88" s="71"/>
      <c r="AZ88" s="72"/>
      <c r="BA88" s="70">
        <f t="shared" si="0"/>
        <v>1380000</v>
      </c>
      <c r="BB88" s="71"/>
      <c r="BC88" s="71"/>
      <c r="BD88" s="71"/>
      <c r="BE88" s="71"/>
      <c r="BF88" s="71"/>
      <c r="BG88" s="71"/>
      <c r="BH88" s="72"/>
      <c r="BQ88" s="47"/>
      <c r="BR88" s="47">
        <v>1</v>
      </c>
      <c r="BS88" s="47"/>
      <c r="BT88" s="47"/>
      <c r="BU88" s="47"/>
      <c r="BV88" s="47"/>
      <c r="BW88" s="47"/>
      <c r="BX88" s="47"/>
      <c r="BY88" s="47"/>
      <c r="BZ88" s="47"/>
      <c r="CA88" s="47"/>
      <c r="CB88" s="47"/>
    </row>
    <row r="89" spans="1:80" ht="18.95" customHeight="1" x14ac:dyDescent="0.2">
      <c r="A89" s="63">
        <f t="shared" si="2"/>
        <v>3</v>
      </c>
      <c r="B89" s="64"/>
      <c r="C89" s="65"/>
      <c r="D89" s="66" t="s">
        <v>207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9"/>
      <c r="AL89" s="69"/>
      <c r="AM89" s="69"/>
      <c r="AN89" s="69"/>
      <c r="AO89" s="69"/>
      <c r="AP89" s="69"/>
      <c r="AQ89" s="69"/>
      <c r="AR89" s="69"/>
      <c r="AS89" s="70">
        <f>298700-22700</f>
        <v>276000</v>
      </c>
      <c r="AT89" s="71"/>
      <c r="AU89" s="71"/>
      <c r="AV89" s="71"/>
      <c r="AW89" s="71"/>
      <c r="AX89" s="71"/>
      <c r="AY89" s="71"/>
      <c r="AZ89" s="72"/>
      <c r="BA89" s="70">
        <f t="shared" si="0"/>
        <v>276000</v>
      </c>
      <c r="BB89" s="71"/>
      <c r="BC89" s="71"/>
      <c r="BD89" s="71"/>
      <c r="BE89" s="71"/>
      <c r="BF89" s="71"/>
      <c r="BG89" s="71"/>
      <c r="BH89" s="72"/>
      <c r="BQ89" s="47"/>
      <c r="BR89" s="47">
        <v>1</v>
      </c>
      <c r="BS89" s="47"/>
      <c r="BT89" s="47"/>
      <c r="BU89" s="47"/>
      <c r="BV89" s="47"/>
      <c r="BW89" s="47"/>
      <c r="BX89" s="47"/>
      <c r="BY89" s="47"/>
      <c r="BZ89" s="47"/>
      <c r="CA89" s="47"/>
      <c r="CB89" s="47"/>
    </row>
    <row r="90" spans="1:80" ht="18.95" customHeight="1" x14ac:dyDescent="0.2">
      <c r="A90" s="63">
        <f t="shared" si="2"/>
        <v>4</v>
      </c>
      <c r="B90" s="64"/>
      <c r="C90" s="65"/>
      <c r="D90" s="66" t="s">
        <v>208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9"/>
      <c r="AL90" s="69"/>
      <c r="AM90" s="69"/>
      <c r="AN90" s="69"/>
      <c r="AO90" s="69"/>
      <c r="AP90" s="69"/>
      <c r="AQ90" s="69"/>
      <c r="AR90" s="69"/>
      <c r="AS90" s="70">
        <f>5880000-1025810+3567415</f>
        <v>8421605</v>
      </c>
      <c r="AT90" s="71"/>
      <c r="AU90" s="71"/>
      <c r="AV90" s="71"/>
      <c r="AW90" s="71"/>
      <c r="AX90" s="71"/>
      <c r="AY90" s="71"/>
      <c r="AZ90" s="72"/>
      <c r="BA90" s="70">
        <f t="shared" si="0"/>
        <v>8421605</v>
      </c>
      <c r="BB90" s="71"/>
      <c r="BC90" s="71"/>
      <c r="BD90" s="71"/>
      <c r="BE90" s="71"/>
      <c r="BF90" s="71"/>
      <c r="BG90" s="71"/>
      <c r="BH90" s="72"/>
      <c r="BQ90" s="47"/>
      <c r="BR90" s="47">
        <v>2</v>
      </c>
      <c r="BS90" s="47"/>
      <c r="BT90" s="47"/>
      <c r="BU90" s="47"/>
      <c r="BV90" s="47"/>
      <c r="BW90" s="47"/>
      <c r="BX90" s="47"/>
      <c r="BY90" s="47"/>
      <c r="BZ90" s="47"/>
      <c r="CA90" s="47"/>
      <c r="CB90" s="47"/>
    </row>
    <row r="91" spans="1:80" ht="18.95" customHeight="1" x14ac:dyDescent="0.2">
      <c r="A91" s="63">
        <f t="shared" si="2"/>
        <v>5</v>
      </c>
      <c r="B91" s="64"/>
      <c r="C91" s="65"/>
      <c r="D91" s="66" t="s">
        <v>209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9"/>
      <c r="AL91" s="69"/>
      <c r="AM91" s="69"/>
      <c r="AN91" s="69"/>
      <c r="AO91" s="69"/>
      <c r="AP91" s="69"/>
      <c r="AQ91" s="69"/>
      <c r="AR91" s="69"/>
      <c r="AS91" s="70">
        <f>1845000-95000</f>
        <v>1750000</v>
      </c>
      <c r="AT91" s="71"/>
      <c r="AU91" s="71"/>
      <c r="AV91" s="71"/>
      <c r="AW91" s="71"/>
      <c r="AX91" s="71"/>
      <c r="AY91" s="71"/>
      <c r="AZ91" s="72"/>
      <c r="BA91" s="70">
        <f t="shared" si="0"/>
        <v>1750000</v>
      </c>
      <c r="BB91" s="71"/>
      <c r="BC91" s="71"/>
      <c r="BD91" s="71"/>
      <c r="BE91" s="71"/>
      <c r="BF91" s="71"/>
      <c r="BG91" s="71"/>
      <c r="BH91" s="72"/>
      <c r="BQ91" s="47"/>
      <c r="BR91" s="47">
        <v>1</v>
      </c>
      <c r="BS91" s="47"/>
      <c r="BT91" s="47"/>
      <c r="BU91" s="47"/>
      <c r="BV91" s="47"/>
      <c r="BW91" s="47"/>
      <c r="BX91" s="47"/>
      <c r="BY91" s="47"/>
      <c r="BZ91" s="47"/>
      <c r="CA91" s="47"/>
      <c r="CB91" s="47"/>
    </row>
    <row r="92" spans="1:80" ht="18.95" customHeight="1" x14ac:dyDescent="0.2">
      <c r="A92" s="63">
        <f t="shared" si="2"/>
        <v>6</v>
      </c>
      <c r="B92" s="64"/>
      <c r="C92" s="65"/>
      <c r="D92" s="66" t="s">
        <v>210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9"/>
      <c r="AL92" s="69"/>
      <c r="AM92" s="69"/>
      <c r="AN92" s="69"/>
      <c r="AO92" s="69"/>
      <c r="AP92" s="69"/>
      <c r="AQ92" s="69"/>
      <c r="AR92" s="69"/>
      <c r="AS92" s="70">
        <f>11187000-8159543-3027457</f>
        <v>0</v>
      </c>
      <c r="AT92" s="71"/>
      <c r="AU92" s="71"/>
      <c r="AV92" s="71"/>
      <c r="AW92" s="71"/>
      <c r="AX92" s="71"/>
      <c r="AY92" s="71"/>
      <c r="AZ92" s="72"/>
      <c r="BA92" s="70">
        <f t="shared" si="0"/>
        <v>0</v>
      </c>
      <c r="BB92" s="71"/>
      <c r="BC92" s="71"/>
      <c r="BD92" s="71"/>
      <c r="BE92" s="71"/>
      <c r="BF92" s="71"/>
      <c r="BG92" s="71"/>
      <c r="BH92" s="72"/>
      <c r="BQ92" s="47"/>
      <c r="BR92" s="47">
        <v>1</v>
      </c>
      <c r="BS92" s="47"/>
      <c r="BT92" s="47"/>
      <c r="BU92" s="47"/>
      <c r="BV92" s="47"/>
      <c r="BW92" s="47"/>
      <c r="BX92" s="47"/>
      <c r="BY92" s="47"/>
      <c r="BZ92" s="47"/>
      <c r="CA92" s="47"/>
      <c r="CB92" s="47"/>
    </row>
    <row r="93" spans="1:80" ht="18.95" customHeight="1" x14ac:dyDescent="0.2">
      <c r="A93" s="63">
        <f t="shared" si="2"/>
        <v>7</v>
      </c>
      <c r="B93" s="64"/>
      <c r="C93" s="65"/>
      <c r="D93" s="75" t="s">
        <v>211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69"/>
      <c r="AL93" s="69"/>
      <c r="AM93" s="69"/>
      <c r="AN93" s="69"/>
      <c r="AO93" s="69"/>
      <c r="AP93" s="69"/>
      <c r="AQ93" s="69"/>
      <c r="AR93" s="69"/>
      <c r="AS93" s="70">
        <v>258000</v>
      </c>
      <c r="AT93" s="71"/>
      <c r="AU93" s="71"/>
      <c r="AV93" s="71"/>
      <c r="AW93" s="71"/>
      <c r="AX93" s="71"/>
      <c r="AY93" s="71"/>
      <c r="AZ93" s="72"/>
      <c r="BA93" s="70">
        <f t="shared" si="0"/>
        <v>258000</v>
      </c>
      <c r="BB93" s="71"/>
      <c r="BC93" s="71"/>
      <c r="BD93" s="71"/>
      <c r="BE93" s="71"/>
      <c r="BF93" s="71"/>
      <c r="BG93" s="71"/>
      <c r="BH93" s="72"/>
      <c r="BQ93" s="47"/>
      <c r="BR93" s="47">
        <v>1</v>
      </c>
      <c r="BS93" s="47"/>
      <c r="BT93" s="47"/>
      <c r="BU93" s="47"/>
      <c r="BV93" s="47"/>
      <c r="BW93" s="47"/>
      <c r="BX93" s="47"/>
      <c r="BY93" s="47"/>
      <c r="BZ93" s="47"/>
      <c r="CA93" s="47"/>
      <c r="CB93" s="47"/>
    </row>
    <row r="94" spans="1:80" ht="18.95" customHeight="1" x14ac:dyDescent="0.2">
      <c r="A94" s="63">
        <f t="shared" si="2"/>
        <v>8</v>
      </c>
      <c r="B94" s="64"/>
      <c r="C94" s="65"/>
      <c r="D94" s="81" t="s">
        <v>212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3"/>
      <c r="AK94" s="69"/>
      <c r="AL94" s="69"/>
      <c r="AM94" s="69"/>
      <c r="AN94" s="69"/>
      <c r="AO94" s="69"/>
      <c r="AP94" s="69"/>
      <c r="AQ94" s="69"/>
      <c r="AR94" s="69"/>
      <c r="AS94" s="70">
        <f>9114454</f>
        <v>9114454</v>
      </c>
      <c r="AT94" s="71"/>
      <c r="AU94" s="71"/>
      <c r="AV94" s="71"/>
      <c r="AW94" s="71"/>
      <c r="AX94" s="71"/>
      <c r="AY94" s="71"/>
      <c r="AZ94" s="72"/>
      <c r="BA94" s="70">
        <f t="shared" si="0"/>
        <v>9114454</v>
      </c>
      <c r="BB94" s="71"/>
      <c r="BC94" s="71"/>
      <c r="BD94" s="71"/>
      <c r="BE94" s="71"/>
      <c r="BF94" s="71"/>
      <c r="BG94" s="71"/>
      <c r="BH94" s="72"/>
      <c r="BQ94" s="47"/>
      <c r="BR94" s="47">
        <v>1</v>
      </c>
      <c r="BS94" s="47"/>
      <c r="BT94" s="47"/>
      <c r="BU94" s="47"/>
      <c r="BV94" s="47"/>
      <c r="BW94" s="47"/>
      <c r="BX94" s="47"/>
      <c r="BY94" s="47"/>
      <c r="BZ94" s="47"/>
      <c r="CA94" s="47"/>
      <c r="CB94" s="47"/>
    </row>
    <row r="95" spans="1:80" ht="18.95" customHeight="1" x14ac:dyDescent="0.2">
      <c r="A95" s="63">
        <f t="shared" si="2"/>
        <v>9</v>
      </c>
      <c r="B95" s="64"/>
      <c r="C95" s="65"/>
      <c r="D95" s="75" t="s">
        <v>213</v>
      </c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69"/>
      <c r="AL95" s="69"/>
      <c r="AM95" s="69"/>
      <c r="AN95" s="69"/>
      <c r="AO95" s="69"/>
      <c r="AP95" s="69"/>
      <c r="AQ95" s="69"/>
      <c r="AR95" s="69"/>
      <c r="AS95" s="70">
        <f>769554-55914</f>
        <v>713640</v>
      </c>
      <c r="AT95" s="71"/>
      <c r="AU95" s="71"/>
      <c r="AV95" s="71"/>
      <c r="AW95" s="71"/>
      <c r="AX95" s="71"/>
      <c r="AY95" s="71"/>
      <c r="AZ95" s="72"/>
      <c r="BA95" s="70">
        <f t="shared" si="0"/>
        <v>713640</v>
      </c>
      <c r="BB95" s="71"/>
      <c r="BC95" s="71"/>
      <c r="BD95" s="71"/>
      <c r="BE95" s="71"/>
      <c r="BF95" s="71"/>
      <c r="BG95" s="71"/>
      <c r="BH95" s="72"/>
      <c r="BQ95" s="47"/>
      <c r="BR95" s="47">
        <v>1</v>
      </c>
      <c r="BS95" s="47"/>
      <c r="BT95" s="47"/>
      <c r="BU95" s="47"/>
      <c r="BV95" s="47"/>
      <c r="BW95" s="47"/>
      <c r="BX95" s="47"/>
      <c r="BY95" s="47"/>
      <c r="BZ95" s="47"/>
      <c r="CA95" s="47"/>
      <c r="CB95" s="47"/>
    </row>
    <row r="96" spans="1:80" ht="18.95" customHeight="1" x14ac:dyDescent="0.2">
      <c r="A96" s="63">
        <f t="shared" si="2"/>
        <v>10</v>
      </c>
      <c r="B96" s="64"/>
      <c r="C96" s="65"/>
      <c r="D96" s="75" t="s">
        <v>214</v>
      </c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69"/>
      <c r="AL96" s="69"/>
      <c r="AM96" s="69"/>
      <c r="AN96" s="69"/>
      <c r="AO96" s="69"/>
      <c r="AP96" s="69"/>
      <c r="AQ96" s="69"/>
      <c r="AR96" s="69"/>
      <c r="AS96" s="70">
        <v>1624234</v>
      </c>
      <c r="AT96" s="71"/>
      <c r="AU96" s="71"/>
      <c r="AV96" s="71"/>
      <c r="AW96" s="71"/>
      <c r="AX96" s="71"/>
      <c r="AY96" s="71"/>
      <c r="AZ96" s="72"/>
      <c r="BA96" s="70">
        <f>AC96+AS96</f>
        <v>1624234</v>
      </c>
      <c r="BB96" s="71"/>
      <c r="BC96" s="71"/>
      <c r="BD96" s="71"/>
      <c r="BE96" s="71"/>
      <c r="BF96" s="71"/>
      <c r="BG96" s="71"/>
      <c r="BH96" s="72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0" ht="18.95" customHeight="1" x14ac:dyDescent="0.2">
      <c r="A97" s="63">
        <f t="shared" si="2"/>
        <v>11</v>
      </c>
      <c r="B97" s="64"/>
      <c r="C97" s="65"/>
      <c r="D97" s="66" t="s">
        <v>215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9"/>
      <c r="AL97" s="69"/>
      <c r="AM97" s="69"/>
      <c r="AN97" s="69"/>
      <c r="AO97" s="69"/>
      <c r="AP97" s="69"/>
      <c r="AQ97" s="69"/>
      <c r="AR97" s="69"/>
      <c r="AS97" s="70">
        <f>1165972</f>
        <v>1165972</v>
      </c>
      <c r="AT97" s="71"/>
      <c r="AU97" s="71"/>
      <c r="AV97" s="71"/>
      <c r="AW97" s="71"/>
      <c r="AX97" s="71"/>
      <c r="AY97" s="71"/>
      <c r="AZ97" s="72"/>
      <c r="BA97" s="70">
        <f>AC97+AS97</f>
        <v>1165972</v>
      </c>
      <c r="BB97" s="71"/>
      <c r="BC97" s="71"/>
      <c r="BD97" s="71"/>
      <c r="BE97" s="71"/>
      <c r="BF97" s="71"/>
      <c r="BG97" s="71"/>
      <c r="BH97" s="72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</row>
    <row r="98" spans="1:80" ht="18.95" customHeight="1" x14ac:dyDescent="0.2">
      <c r="A98" s="63">
        <f t="shared" si="2"/>
        <v>12</v>
      </c>
      <c r="B98" s="64"/>
      <c r="C98" s="65"/>
      <c r="D98" s="66" t="s">
        <v>216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9"/>
      <c r="AL98" s="69"/>
      <c r="AM98" s="69"/>
      <c r="AN98" s="69"/>
      <c r="AO98" s="69"/>
      <c r="AP98" s="69"/>
      <c r="AQ98" s="69"/>
      <c r="AR98" s="69"/>
      <c r="AS98" s="70">
        <v>1305352</v>
      </c>
      <c r="AT98" s="71"/>
      <c r="AU98" s="71"/>
      <c r="AV98" s="71"/>
      <c r="AW98" s="71"/>
      <c r="AX98" s="71"/>
      <c r="AY98" s="71"/>
      <c r="AZ98" s="72"/>
      <c r="BA98" s="70">
        <f>AC98+AS98</f>
        <v>1305352</v>
      </c>
      <c r="BB98" s="71"/>
      <c r="BC98" s="71"/>
      <c r="BD98" s="71"/>
      <c r="BE98" s="71"/>
      <c r="BF98" s="71"/>
      <c r="BG98" s="71"/>
      <c r="BH98" s="72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</row>
    <row r="99" spans="1:80" ht="18.95" customHeight="1" x14ac:dyDescent="0.2">
      <c r="A99" s="63">
        <f t="shared" si="2"/>
        <v>13</v>
      </c>
      <c r="B99" s="64"/>
      <c r="C99" s="65"/>
      <c r="D99" s="66" t="s">
        <v>301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9"/>
      <c r="AL99" s="69"/>
      <c r="AM99" s="69"/>
      <c r="AN99" s="69"/>
      <c r="AO99" s="69"/>
      <c r="AP99" s="69"/>
      <c r="AQ99" s="69"/>
      <c r="AR99" s="69"/>
      <c r="AS99" s="70">
        <v>550000</v>
      </c>
      <c r="AT99" s="71"/>
      <c r="AU99" s="71"/>
      <c r="AV99" s="71"/>
      <c r="AW99" s="71"/>
      <c r="AX99" s="71"/>
      <c r="AY99" s="71"/>
      <c r="AZ99" s="72"/>
      <c r="BA99" s="70">
        <f>AC99+AS99</f>
        <v>550000</v>
      </c>
      <c r="BB99" s="71"/>
      <c r="BC99" s="71"/>
      <c r="BD99" s="71"/>
      <c r="BE99" s="71"/>
      <c r="BF99" s="71"/>
      <c r="BG99" s="71"/>
      <c r="BH99" s="72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</row>
    <row r="100" spans="1:80" ht="19.149999999999999" customHeight="1" x14ac:dyDescent="0.2">
      <c r="A100" s="96" t="s">
        <v>165</v>
      </c>
      <c r="B100" s="97"/>
      <c r="C100" s="98"/>
      <c r="D100" s="99" t="s">
        <v>164</v>
      </c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1"/>
      <c r="AK100" s="69"/>
      <c r="AL100" s="69"/>
      <c r="AM100" s="69"/>
      <c r="AN100" s="69"/>
      <c r="AO100" s="69"/>
      <c r="AP100" s="69"/>
      <c r="AQ100" s="69"/>
      <c r="AR100" s="69"/>
      <c r="AS100" s="93">
        <f>SUM(AS101:AZ105)</f>
        <v>30532200</v>
      </c>
      <c r="AT100" s="94"/>
      <c r="AU100" s="94"/>
      <c r="AV100" s="94"/>
      <c r="AW100" s="94"/>
      <c r="AX100" s="94"/>
      <c r="AY100" s="94"/>
      <c r="AZ100" s="95"/>
      <c r="BA100" s="93">
        <f t="shared" si="0"/>
        <v>30532200</v>
      </c>
      <c r="BB100" s="94"/>
      <c r="BC100" s="94"/>
      <c r="BD100" s="94"/>
      <c r="BE100" s="94"/>
      <c r="BF100" s="94"/>
      <c r="BG100" s="94"/>
      <c r="BH100" s="95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</row>
    <row r="101" spans="1:80" ht="18.95" customHeight="1" x14ac:dyDescent="0.2">
      <c r="A101" s="63">
        <v>1</v>
      </c>
      <c r="B101" s="64"/>
      <c r="C101" s="65"/>
      <c r="D101" s="66" t="s">
        <v>221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9"/>
      <c r="AL101" s="69"/>
      <c r="AM101" s="69"/>
      <c r="AN101" s="69"/>
      <c r="AO101" s="69"/>
      <c r="AP101" s="69"/>
      <c r="AQ101" s="69"/>
      <c r="AR101" s="69"/>
      <c r="AS101" s="70">
        <f>5100000-228000</f>
        <v>4872000</v>
      </c>
      <c r="AT101" s="71"/>
      <c r="AU101" s="71"/>
      <c r="AV101" s="71"/>
      <c r="AW101" s="71"/>
      <c r="AX101" s="71"/>
      <c r="AY101" s="71"/>
      <c r="AZ101" s="72"/>
      <c r="BA101" s="70">
        <f t="shared" si="0"/>
        <v>4872000</v>
      </c>
      <c r="BB101" s="71"/>
      <c r="BC101" s="71"/>
      <c r="BD101" s="71"/>
      <c r="BE101" s="71"/>
      <c r="BF101" s="71"/>
      <c r="BG101" s="71"/>
      <c r="BH101" s="72"/>
      <c r="BQ101" s="47">
        <v>1</v>
      </c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</row>
    <row r="102" spans="1:80" ht="18.95" customHeight="1" x14ac:dyDescent="0.2">
      <c r="A102" s="63">
        <f>A101+1</f>
        <v>2</v>
      </c>
      <c r="B102" s="64"/>
      <c r="C102" s="65"/>
      <c r="D102" s="66" t="s">
        <v>218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9"/>
      <c r="AL102" s="69"/>
      <c r="AM102" s="69"/>
      <c r="AN102" s="69"/>
      <c r="AO102" s="69"/>
      <c r="AP102" s="69"/>
      <c r="AQ102" s="69"/>
      <c r="AR102" s="69"/>
      <c r="AS102" s="70">
        <f>12300000-1999800</f>
        <v>10300200</v>
      </c>
      <c r="AT102" s="71"/>
      <c r="AU102" s="71"/>
      <c r="AV102" s="71"/>
      <c r="AW102" s="71"/>
      <c r="AX102" s="71"/>
      <c r="AY102" s="71"/>
      <c r="AZ102" s="72"/>
      <c r="BA102" s="70">
        <f t="shared" si="0"/>
        <v>10300200</v>
      </c>
      <c r="BB102" s="71"/>
      <c r="BC102" s="71"/>
      <c r="BD102" s="71"/>
      <c r="BE102" s="71"/>
      <c r="BF102" s="71"/>
      <c r="BG102" s="71"/>
      <c r="BH102" s="72"/>
      <c r="BQ102" s="47">
        <v>1</v>
      </c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</row>
    <row r="103" spans="1:80" ht="18.95" customHeight="1" x14ac:dyDescent="0.2">
      <c r="A103" s="63">
        <f>A102+1</f>
        <v>3</v>
      </c>
      <c r="B103" s="64"/>
      <c r="C103" s="65"/>
      <c r="D103" s="66" t="s">
        <v>217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9"/>
      <c r="AL103" s="69"/>
      <c r="AM103" s="69"/>
      <c r="AN103" s="69"/>
      <c r="AO103" s="69"/>
      <c r="AP103" s="69"/>
      <c r="AQ103" s="69"/>
      <c r="AR103" s="69"/>
      <c r="AS103" s="70">
        <f>10455000-285000</f>
        <v>10170000</v>
      </c>
      <c r="AT103" s="71"/>
      <c r="AU103" s="71"/>
      <c r="AV103" s="71"/>
      <c r="AW103" s="71"/>
      <c r="AX103" s="71"/>
      <c r="AY103" s="71"/>
      <c r="AZ103" s="72"/>
      <c r="BA103" s="70">
        <f t="shared" si="0"/>
        <v>10170000</v>
      </c>
      <c r="BB103" s="71"/>
      <c r="BC103" s="71"/>
      <c r="BD103" s="71"/>
      <c r="BE103" s="71"/>
      <c r="BF103" s="71"/>
      <c r="BG103" s="71"/>
      <c r="BH103" s="72"/>
      <c r="BQ103" s="47">
        <v>3</v>
      </c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</row>
    <row r="104" spans="1:80" ht="18.95" customHeight="1" x14ac:dyDescent="0.2">
      <c r="A104" s="63">
        <f>A103+1</f>
        <v>4</v>
      </c>
      <c r="B104" s="64"/>
      <c r="C104" s="65"/>
      <c r="D104" s="66" t="s">
        <v>219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69"/>
      <c r="AL104" s="69"/>
      <c r="AM104" s="69"/>
      <c r="AN104" s="69"/>
      <c r="AO104" s="69"/>
      <c r="AP104" s="69"/>
      <c r="AQ104" s="69"/>
      <c r="AR104" s="69"/>
      <c r="AS104" s="70">
        <f>4480000-1180000-560000</f>
        <v>2740000</v>
      </c>
      <c r="AT104" s="71"/>
      <c r="AU104" s="71"/>
      <c r="AV104" s="71"/>
      <c r="AW104" s="71"/>
      <c r="AX104" s="71"/>
      <c r="AY104" s="71"/>
      <c r="AZ104" s="72"/>
      <c r="BA104" s="70">
        <f t="shared" si="0"/>
        <v>2740000</v>
      </c>
      <c r="BB104" s="71"/>
      <c r="BC104" s="71"/>
      <c r="BD104" s="71"/>
      <c r="BE104" s="71"/>
      <c r="BF104" s="71"/>
      <c r="BG104" s="71"/>
      <c r="BH104" s="72"/>
      <c r="BQ104" s="47">
        <v>1</v>
      </c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</row>
    <row r="105" spans="1:80" ht="18.95" customHeight="1" x14ac:dyDescent="0.2">
      <c r="A105" s="63">
        <f>A104+1</f>
        <v>5</v>
      </c>
      <c r="B105" s="64"/>
      <c r="C105" s="65"/>
      <c r="D105" s="66" t="s">
        <v>220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69"/>
      <c r="AL105" s="69"/>
      <c r="AM105" s="69"/>
      <c r="AN105" s="69"/>
      <c r="AO105" s="69"/>
      <c r="AP105" s="69"/>
      <c r="AQ105" s="69"/>
      <c r="AR105" s="69"/>
      <c r="AS105" s="70">
        <f>2900000-450000</f>
        <v>2450000</v>
      </c>
      <c r="AT105" s="71"/>
      <c r="AU105" s="71"/>
      <c r="AV105" s="71"/>
      <c r="AW105" s="71"/>
      <c r="AX105" s="71"/>
      <c r="AY105" s="71"/>
      <c r="AZ105" s="72"/>
      <c r="BA105" s="70">
        <f t="shared" si="0"/>
        <v>2450000</v>
      </c>
      <c r="BB105" s="71"/>
      <c r="BC105" s="71"/>
      <c r="BD105" s="71"/>
      <c r="BE105" s="71"/>
      <c r="BF105" s="71"/>
      <c r="BG105" s="71"/>
      <c r="BH105" s="72"/>
      <c r="BQ105" s="47">
        <v>1</v>
      </c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</row>
    <row r="106" spans="1:80" ht="21" customHeight="1" x14ac:dyDescent="0.25">
      <c r="A106" s="123" t="s">
        <v>166</v>
      </c>
      <c r="B106" s="124"/>
      <c r="C106" s="125"/>
      <c r="D106" s="99" t="s">
        <v>136</v>
      </c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1"/>
      <c r="AK106" s="243"/>
      <c r="AL106" s="243"/>
      <c r="AM106" s="243"/>
      <c r="AN106" s="243"/>
      <c r="AO106" s="243"/>
      <c r="AP106" s="243"/>
      <c r="AQ106" s="243"/>
      <c r="AR106" s="243"/>
      <c r="AS106" s="93">
        <f>362316.88+1165856.81+1215634.87+214251.04</f>
        <v>2958059.6</v>
      </c>
      <c r="AT106" s="94"/>
      <c r="AU106" s="94"/>
      <c r="AV106" s="94"/>
      <c r="AW106" s="94"/>
      <c r="AX106" s="94"/>
      <c r="AY106" s="94"/>
      <c r="AZ106" s="95"/>
      <c r="BA106" s="93">
        <f t="shared" si="0"/>
        <v>2958059.6</v>
      </c>
      <c r="BB106" s="94"/>
      <c r="BC106" s="94"/>
      <c r="BD106" s="94"/>
      <c r="BE106" s="94"/>
      <c r="BF106" s="94"/>
      <c r="BG106" s="94"/>
      <c r="BH106" s="95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</row>
    <row r="107" spans="1:80" ht="36" customHeight="1" x14ac:dyDescent="0.2">
      <c r="A107" s="109">
        <v>2</v>
      </c>
      <c r="B107" s="110"/>
      <c r="C107" s="111"/>
      <c r="D107" s="229" t="s">
        <v>69</v>
      </c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1"/>
      <c r="AK107" s="69"/>
      <c r="AL107" s="69"/>
      <c r="AM107" s="69"/>
      <c r="AN107" s="69"/>
      <c r="AO107" s="69"/>
      <c r="AP107" s="69"/>
      <c r="AQ107" s="69"/>
      <c r="AR107" s="69"/>
      <c r="AS107" s="102">
        <f>AS108+AS122+AS129</f>
        <v>81260262</v>
      </c>
      <c r="AT107" s="103"/>
      <c r="AU107" s="103"/>
      <c r="AV107" s="103"/>
      <c r="AW107" s="103"/>
      <c r="AX107" s="103"/>
      <c r="AY107" s="103"/>
      <c r="AZ107" s="104"/>
      <c r="BA107" s="102">
        <f t="shared" ref="BA107:BA131" si="3">AC107+AS107</f>
        <v>81260262</v>
      </c>
      <c r="BB107" s="103"/>
      <c r="BC107" s="103"/>
      <c r="BD107" s="103"/>
      <c r="BE107" s="103"/>
      <c r="BF107" s="103"/>
      <c r="BG107" s="103"/>
      <c r="BH107" s="104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</row>
    <row r="108" spans="1:80" ht="36" customHeight="1" x14ac:dyDescent="0.2">
      <c r="A108" s="96" t="s">
        <v>167</v>
      </c>
      <c r="B108" s="97"/>
      <c r="C108" s="98"/>
      <c r="D108" s="99" t="s">
        <v>168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1"/>
      <c r="AK108" s="69"/>
      <c r="AL108" s="69"/>
      <c r="AM108" s="69"/>
      <c r="AN108" s="69"/>
      <c r="AO108" s="69"/>
      <c r="AP108" s="69"/>
      <c r="AQ108" s="69"/>
      <c r="AR108" s="69"/>
      <c r="AS108" s="102">
        <f>SUM(AS109:AZ121)</f>
        <v>26927523</v>
      </c>
      <c r="AT108" s="103"/>
      <c r="AU108" s="103"/>
      <c r="AV108" s="103"/>
      <c r="AW108" s="103"/>
      <c r="AX108" s="103"/>
      <c r="AY108" s="103"/>
      <c r="AZ108" s="104"/>
      <c r="BA108" s="102">
        <f>AC108+AS108</f>
        <v>26927523</v>
      </c>
      <c r="BB108" s="103"/>
      <c r="BC108" s="103"/>
      <c r="BD108" s="103"/>
      <c r="BE108" s="103"/>
      <c r="BF108" s="103"/>
      <c r="BG108" s="103"/>
      <c r="BH108" s="104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</row>
    <row r="109" spans="1:80" ht="36" customHeight="1" x14ac:dyDescent="0.2">
      <c r="A109" s="63">
        <v>1</v>
      </c>
      <c r="B109" s="64"/>
      <c r="C109" s="65"/>
      <c r="D109" s="81" t="s">
        <v>222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3"/>
      <c r="AK109" s="69"/>
      <c r="AL109" s="69"/>
      <c r="AM109" s="69"/>
      <c r="AN109" s="69"/>
      <c r="AO109" s="69"/>
      <c r="AP109" s="69"/>
      <c r="AQ109" s="69"/>
      <c r="AR109" s="69"/>
      <c r="AS109" s="70">
        <f>1500000-88000</f>
        <v>1412000</v>
      </c>
      <c r="AT109" s="71"/>
      <c r="AU109" s="71"/>
      <c r="AV109" s="71"/>
      <c r="AW109" s="71"/>
      <c r="AX109" s="71"/>
      <c r="AY109" s="71"/>
      <c r="AZ109" s="72"/>
      <c r="BA109" s="70">
        <f t="shared" si="3"/>
        <v>1412000</v>
      </c>
      <c r="BB109" s="71"/>
      <c r="BC109" s="71"/>
      <c r="BD109" s="71"/>
      <c r="BE109" s="71"/>
      <c r="BF109" s="71"/>
      <c r="BG109" s="71"/>
      <c r="BH109" s="72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</row>
    <row r="110" spans="1:80" ht="35.25" customHeight="1" x14ac:dyDescent="0.2">
      <c r="A110" s="63">
        <f>A109+1</f>
        <v>2</v>
      </c>
      <c r="B110" s="64"/>
      <c r="C110" s="65"/>
      <c r="D110" s="81" t="s">
        <v>223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3"/>
      <c r="AK110" s="69"/>
      <c r="AL110" s="69"/>
      <c r="AM110" s="69"/>
      <c r="AN110" s="69"/>
      <c r="AO110" s="69"/>
      <c r="AP110" s="69"/>
      <c r="AQ110" s="69"/>
      <c r="AR110" s="69"/>
      <c r="AS110" s="70">
        <f>1500000-88000</f>
        <v>1412000</v>
      </c>
      <c r="AT110" s="71"/>
      <c r="AU110" s="71"/>
      <c r="AV110" s="71"/>
      <c r="AW110" s="71"/>
      <c r="AX110" s="71"/>
      <c r="AY110" s="71"/>
      <c r="AZ110" s="72"/>
      <c r="BA110" s="70">
        <f t="shared" si="3"/>
        <v>1412000</v>
      </c>
      <c r="BB110" s="71"/>
      <c r="BC110" s="71"/>
      <c r="BD110" s="71"/>
      <c r="BE110" s="71"/>
      <c r="BF110" s="71"/>
      <c r="BG110" s="71"/>
      <c r="BH110" s="72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</row>
    <row r="111" spans="1:80" ht="35.25" customHeight="1" x14ac:dyDescent="0.2">
      <c r="A111" s="63">
        <f t="shared" ref="A111:A128" si="4">A110+1</f>
        <v>3</v>
      </c>
      <c r="B111" s="64"/>
      <c r="C111" s="65"/>
      <c r="D111" s="81" t="s">
        <v>224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3"/>
      <c r="AK111" s="69"/>
      <c r="AL111" s="69"/>
      <c r="AM111" s="69"/>
      <c r="AN111" s="69"/>
      <c r="AO111" s="69"/>
      <c r="AP111" s="69"/>
      <c r="AQ111" s="69"/>
      <c r="AR111" s="69"/>
      <c r="AS111" s="70">
        <f>1500000-69000</f>
        <v>1431000</v>
      </c>
      <c r="AT111" s="71"/>
      <c r="AU111" s="71"/>
      <c r="AV111" s="71"/>
      <c r="AW111" s="71"/>
      <c r="AX111" s="71"/>
      <c r="AY111" s="71"/>
      <c r="AZ111" s="72"/>
      <c r="BA111" s="70">
        <f t="shared" si="3"/>
        <v>1431000</v>
      </c>
      <c r="BB111" s="71"/>
      <c r="BC111" s="71"/>
      <c r="BD111" s="71"/>
      <c r="BE111" s="71"/>
      <c r="BF111" s="71"/>
      <c r="BG111" s="71"/>
      <c r="BH111" s="72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</row>
    <row r="112" spans="1:80" ht="18.95" customHeight="1" x14ac:dyDescent="0.2">
      <c r="A112" s="63">
        <f t="shared" si="4"/>
        <v>4</v>
      </c>
      <c r="B112" s="64"/>
      <c r="C112" s="65"/>
      <c r="D112" s="75" t="s">
        <v>225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69"/>
      <c r="AL112" s="69"/>
      <c r="AM112" s="69"/>
      <c r="AN112" s="69"/>
      <c r="AO112" s="69"/>
      <c r="AP112" s="69"/>
      <c r="AQ112" s="69"/>
      <c r="AR112" s="69"/>
      <c r="AS112" s="70">
        <f>5500000-108530</f>
        <v>5391470</v>
      </c>
      <c r="AT112" s="71"/>
      <c r="AU112" s="71"/>
      <c r="AV112" s="71"/>
      <c r="AW112" s="71"/>
      <c r="AX112" s="71"/>
      <c r="AY112" s="71"/>
      <c r="AZ112" s="72"/>
      <c r="BA112" s="70">
        <f t="shared" si="3"/>
        <v>5391470</v>
      </c>
      <c r="BB112" s="71"/>
      <c r="BC112" s="71"/>
      <c r="BD112" s="71"/>
      <c r="BE112" s="71"/>
      <c r="BF112" s="71"/>
      <c r="BG112" s="71"/>
      <c r="BH112" s="72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</row>
    <row r="113" spans="1:80" ht="18.95" customHeight="1" x14ac:dyDescent="0.2">
      <c r="A113" s="63">
        <f t="shared" si="4"/>
        <v>5</v>
      </c>
      <c r="B113" s="64"/>
      <c r="C113" s="65"/>
      <c r="D113" s="210" t="s">
        <v>226</v>
      </c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2"/>
      <c r="AK113" s="69"/>
      <c r="AL113" s="69"/>
      <c r="AM113" s="69"/>
      <c r="AN113" s="69"/>
      <c r="AO113" s="69"/>
      <c r="AP113" s="69"/>
      <c r="AQ113" s="69"/>
      <c r="AR113" s="69"/>
      <c r="AS113" s="70">
        <f>1478132-21200</f>
        <v>1456932</v>
      </c>
      <c r="AT113" s="71"/>
      <c r="AU113" s="71"/>
      <c r="AV113" s="71"/>
      <c r="AW113" s="71"/>
      <c r="AX113" s="71"/>
      <c r="AY113" s="71"/>
      <c r="AZ113" s="72"/>
      <c r="BA113" s="70">
        <f t="shared" si="3"/>
        <v>1456932</v>
      </c>
      <c r="BB113" s="71"/>
      <c r="BC113" s="71"/>
      <c r="BD113" s="71"/>
      <c r="BE113" s="71"/>
      <c r="BF113" s="71"/>
      <c r="BG113" s="71"/>
      <c r="BH113" s="72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</row>
    <row r="114" spans="1:80" ht="18.95" customHeight="1" x14ac:dyDescent="0.2">
      <c r="A114" s="63">
        <f t="shared" si="4"/>
        <v>6</v>
      </c>
      <c r="B114" s="64"/>
      <c r="C114" s="65"/>
      <c r="D114" s="75" t="s">
        <v>227</v>
      </c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69"/>
      <c r="AL114" s="69"/>
      <c r="AM114" s="69"/>
      <c r="AN114" s="69"/>
      <c r="AO114" s="69"/>
      <c r="AP114" s="69"/>
      <c r="AQ114" s="69"/>
      <c r="AR114" s="69"/>
      <c r="AS114" s="70">
        <f>5300000-924200</f>
        <v>4375800</v>
      </c>
      <c r="AT114" s="71"/>
      <c r="AU114" s="71"/>
      <c r="AV114" s="71"/>
      <c r="AW114" s="71"/>
      <c r="AX114" s="71"/>
      <c r="AY114" s="71"/>
      <c r="AZ114" s="72"/>
      <c r="BA114" s="70">
        <f t="shared" si="3"/>
        <v>4375800</v>
      </c>
      <c r="BB114" s="71"/>
      <c r="BC114" s="71"/>
      <c r="BD114" s="71"/>
      <c r="BE114" s="71"/>
      <c r="BF114" s="71"/>
      <c r="BG114" s="71"/>
      <c r="BH114" s="72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</row>
    <row r="115" spans="1:80" ht="18.95" customHeight="1" x14ac:dyDescent="0.2">
      <c r="A115" s="63">
        <f t="shared" si="4"/>
        <v>7</v>
      </c>
      <c r="B115" s="64"/>
      <c r="C115" s="65"/>
      <c r="D115" s="75" t="s">
        <v>228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69"/>
      <c r="AL115" s="69"/>
      <c r="AM115" s="69"/>
      <c r="AN115" s="69"/>
      <c r="AO115" s="69"/>
      <c r="AP115" s="69"/>
      <c r="AQ115" s="69"/>
      <c r="AR115" s="69"/>
      <c r="AS115" s="70">
        <f>3700000</f>
        <v>3700000</v>
      </c>
      <c r="AT115" s="71"/>
      <c r="AU115" s="71"/>
      <c r="AV115" s="71"/>
      <c r="AW115" s="71"/>
      <c r="AX115" s="71"/>
      <c r="AY115" s="71"/>
      <c r="AZ115" s="72"/>
      <c r="BA115" s="70">
        <f t="shared" si="3"/>
        <v>3700000</v>
      </c>
      <c r="BB115" s="71"/>
      <c r="BC115" s="71"/>
      <c r="BD115" s="71"/>
      <c r="BE115" s="71"/>
      <c r="BF115" s="71"/>
      <c r="BG115" s="71"/>
      <c r="BH115" s="72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</row>
    <row r="116" spans="1:80" ht="18.95" customHeight="1" x14ac:dyDescent="0.2">
      <c r="A116" s="63">
        <f t="shared" si="4"/>
        <v>8</v>
      </c>
      <c r="B116" s="64"/>
      <c r="C116" s="65"/>
      <c r="D116" s="75" t="s">
        <v>229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69"/>
      <c r="AL116" s="69"/>
      <c r="AM116" s="69"/>
      <c r="AN116" s="69"/>
      <c r="AO116" s="69"/>
      <c r="AP116" s="69"/>
      <c r="AQ116" s="69"/>
      <c r="AR116" s="69"/>
      <c r="AS116" s="70">
        <f>1166114-165800</f>
        <v>1000314</v>
      </c>
      <c r="AT116" s="71"/>
      <c r="AU116" s="71"/>
      <c r="AV116" s="71"/>
      <c r="AW116" s="71"/>
      <c r="AX116" s="71"/>
      <c r="AY116" s="71"/>
      <c r="AZ116" s="72"/>
      <c r="BA116" s="70">
        <f t="shared" si="3"/>
        <v>1000314</v>
      </c>
      <c r="BB116" s="71"/>
      <c r="BC116" s="71"/>
      <c r="BD116" s="71"/>
      <c r="BE116" s="71"/>
      <c r="BF116" s="71"/>
      <c r="BG116" s="71"/>
      <c r="BH116" s="72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</row>
    <row r="117" spans="1:80" ht="18.95" customHeight="1" x14ac:dyDescent="0.2">
      <c r="A117" s="63">
        <f t="shared" si="4"/>
        <v>9</v>
      </c>
      <c r="B117" s="64"/>
      <c r="C117" s="65"/>
      <c r="D117" s="75" t="s">
        <v>230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69"/>
      <c r="AL117" s="69"/>
      <c r="AM117" s="69"/>
      <c r="AN117" s="69"/>
      <c r="AO117" s="69"/>
      <c r="AP117" s="69"/>
      <c r="AQ117" s="69"/>
      <c r="AR117" s="69"/>
      <c r="AS117" s="70">
        <f>3700000-419000</f>
        <v>3281000</v>
      </c>
      <c r="AT117" s="71"/>
      <c r="AU117" s="71"/>
      <c r="AV117" s="71"/>
      <c r="AW117" s="71"/>
      <c r="AX117" s="71"/>
      <c r="AY117" s="71"/>
      <c r="AZ117" s="72"/>
      <c r="BA117" s="70">
        <f t="shared" si="3"/>
        <v>3281000</v>
      </c>
      <c r="BB117" s="71"/>
      <c r="BC117" s="71"/>
      <c r="BD117" s="71"/>
      <c r="BE117" s="71"/>
      <c r="BF117" s="71"/>
      <c r="BG117" s="71"/>
      <c r="BH117" s="72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</row>
    <row r="118" spans="1:80" ht="18.95" customHeight="1" x14ac:dyDescent="0.2">
      <c r="A118" s="63">
        <f t="shared" si="4"/>
        <v>10</v>
      </c>
      <c r="B118" s="64"/>
      <c r="C118" s="65"/>
      <c r="D118" s="75" t="s">
        <v>231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69"/>
      <c r="AL118" s="69"/>
      <c r="AM118" s="69"/>
      <c r="AN118" s="69"/>
      <c r="AO118" s="69"/>
      <c r="AP118" s="69"/>
      <c r="AQ118" s="69"/>
      <c r="AR118" s="69"/>
      <c r="AS118" s="70">
        <f>1497262-312400</f>
        <v>1184862</v>
      </c>
      <c r="AT118" s="71"/>
      <c r="AU118" s="71"/>
      <c r="AV118" s="71"/>
      <c r="AW118" s="71"/>
      <c r="AX118" s="71"/>
      <c r="AY118" s="71"/>
      <c r="AZ118" s="72"/>
      <c r="BA118" s="70">
        <f t="shared" si="3"/>
        <v>1184862</v>
      </c>
      <c r="BB118" s="71"/>
      <c r="BC118" s="71"/>
      <c r="BD118" s="71"/>
      <c r="BE118" s="71"/>
      <c r="BF118" s="71"/>
      <c r="BG118" s="71"/>
      <c r="BH118" s="72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</row>
    <row r="119" spans="1:80" ht="18.95" customHeight="1" x14ac:dyDescent="0.2">
      <c r="A119" s="63">
        <f t="shared" si="4"/>
        <v>11</v>
      </c>
      <c r="B119" s="64"/>
      <c r="C119" s="65"/>
      <c r="D119" s="75" t="s">
        <v>232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69"/>
      <c r="AL119" s="69"/>
      <c r="AM119" s="69"/>
      <c r="AN119" s="69"/>
      <c r="AO119" s="69"/>
      <c r="AP119" s="69"/>
      <c r="AQ119" s="69"/>
      <c r="AR119" s="69"/>
      <c r="AS119" s="70">
        <f>1482457-658949</f>
        <v>823508</v>
      </c>
      <c r="AT119" s="71"/>
      <c r="AU119" s="71"/>
      <c r="AV119" s="71"/>
      <c r="AW119" s="71"/>
      <c r="AX119" s="71"/>
      <c r="AY119" s="71"/>
      <c r="AZ119" s="72"/>
      <c r="BA119" s="70">
        <f t="shared" si="3"/>
        <v>823508</v>
      </c>
      <c r="BB119" s="71"/>
      <c r="BC119" s="71"/>
      <c r="BD119" s="71"/>
      <c r="BE119" s="71"/>
      <c r="BF119" s="71"/>
      <c r="BG119" s="71"/>
      <c r="BH119" s="72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</row>
    <row r="120" spans="1:80" ht="18.95" customHeight="1" x14ac:dyDescent="0.2">
      <c r="A120" s="63">
        <f t="shared" si="4"/>
        <v>12</v>
      </c>
      <c r="B120" s="64"/>
      <c r="C120" s="65"/>
      <c r="D120" s="75" t="s">
        <v>233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69"/>
      <c r="AL120" s="69"/>
      <c r="AM120" s="69"/>
      <c r="AN120" s="69"/>
      <c r="AO120" s="69"/>
      <c r="AP120" s="69"/>
      <c r="AQ120" s="69"/>
      <c r="AR120" s="69"/>
      <c r="AS120" s="70">
        <v>1458637</v>
      </c>
      <c r="AT120" s="71"/>
      <c r="AU120" s="71"/>
      <c r="AV120" s="71"/>
      <c r="AW120" s="71"/>
      <c r="AX120" s="71"/>
      <c r="AY120" s="71"/>
      <c r="AZ120" s="72"/>
      <c r="BA120" s="70">
        <f t="shared" si="3"/>
        <v>1458637</v>
      </c>
      <c r="BB120" s="71"/>
      <c r="BC120" s="71"/>
      <c r="BD120" s="71"/>
      <c r="BE120" s="71"/>
      <c r="BF120" s="71"/>
      <c r="BG120" s="71"/>
      <c r="BH120" s="72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</row>
    <row r="121" spans="1:80" ht="48" customHeight="1" x14ac:dyDescent="0.2">
      <c r="A121" s="63">
        <f t="shared" si="4"/>
        <v>13</v>
      </c>
      <c r="B121" s="64"/>
      <c r="C121" s="65"/>
      <c r="D121" s="244" t="s">
        <v>234</v>
      </c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6"/>
      <c r="AK121" s="69"/>
      <c r="AL121" s="69"/>
      <c r="AM121" s="69"/>
      <c r="AN121" s="69"/>
      <c r="AO121" s="69"/>
      <c r="AP121" s="69"/>
      <c r="AQ121" s="69"/>
      <c r="AR121" s="69"/>
      <c r="AS121" s="237">
        <f>3000000-3000000</f>
        <v>0</v>
      </c>
      <c r="AT121" s="238"/>
      <c r="AU121" s="238"/>
      <c r="AV121" s="238"/>
      <c r="AW121" s="238"/>
      <c r="AX121" s="238"/>
      <c r="AY121" s="238"/>
      <c r="AZ121" s="239"/>
      <c r="BA121" s="70">
        <f>AC121+AS121</f>
        <v>0</v>
      </c>
      <c r="BB121" s="71"/>
      <c r="BC121" s="71"/>
      <c r="BD121" s="71"/>
      <c r="BE121" s="71"/>
      <c r="BF121" s="71"/>
      <c r="BG121" s="71"/>
      <c r="BH121" s="72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</row>
    <row r="122" spans="1:80" ht="22.15" customHeight="1" x14ac:dyDescent="0.2">
      <c r="A122" s="96" t="s">
        <v>170</v>
      </c>
      <c r="B122" s="97"/>
      <c r="C122" s="98"/>
      <c r="D122" s="99" t="s">
        <v>163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1"/>
      <c r="AK122" s="69"/>
      <c r="AL122" s="69"/>
      <c r="AM122" s="69"/>
      <c r="AN122" s="69"/>
      <c r="AO122" s="69"/>
      <c r="AP122" s="69"/>
      <c r="AQ122" s="69"/>
      <c r="AR122" s="69"/>
      <c r="AS122" s="93">
        <f>SUM(AS123:AZ128)</f>
        <v>37489539</v>
      </c>
      <c r="AT122" s="94"/>
      <c r="AU122" s="94"/>
      <c r="AV122" s="94"/>
      <c r="AW122" s="94"/>
      <c r="AX122" s="94"/>
      <c r="AY122" s="94"/>
      <c r="AZ122" s="95"/>
      <c r="BA122" s="93">
        <f>AC122+AS122</f>
        <v>37489539</v>
      </c>
      <c r="BB122" s="94"/>
      <c r="BC122" s="94"/>
      <c r="BD122" s="94"/>
      <c r="BE122" s="94"/>
      <c r="BF122" s="94"/>
      <c r="BG122" s="94"/>
      <c r="BH122" s="95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</row>
    <row r="123" spans="1:80" ht="18.95" customHeight="1" x14ac:dyDescent="0.2">
      <c r="A123" s="63">
        <v>1</v>
      </c>
      <c r="B123" s="64"/>
      <c r="C123" s="65"/>
      <c r="D123" s="75" t="s">
        <v>235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69"/>
      <c r="AL123" s="69"/>
      <c r="AM123" s="69"/>
      <c r="AN123" s="69"/>
      <c r="AO123" s="69"/>
      <c r="AP123" s="69"/>
      <c r="AQ123" s="69"/>
      <c r="AR123" s="69"/>
      <c r="AS123" s="70">
        <f>2000000-393756</f>
        <v>1606244</v>
      </c>
      <c r="AT123" s="71"/>
      <c r="AU123" s="71"/>
      <c r="AV123" s="71"/>
      <c r="AW123" s="71"/>
      <c r="AX123" s="71"/>
      <c r="AY123" s="71"/>
      <c r="AZ123" s="72"/>
      <c r="BA123" s="70">
        <f t="shared" si="3"/>
        <v>1606244</v>
      </c>
      <c r="BB123" s="71"/>
      <c r="BC123" s="71"/>
      <c r="BD123" s="71"/>
      <c r="BE123" s="71"/>
      <c r="BF123" s="71"/>
      <c r="BG123" s="71"/>
      <c r="BH123" s="72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</row>
    <row r="124" spans="1:80" ht="18.95" customHeight="1" x14ac:dyDescent="0.2">
      <c r="A124" s="63">
        <f t="shared" si="4"/>
        <v>2</v>
      </c>
      <c r="B124" s="64"/>
      <c r="C124" s="65"/>
      <c r="D124" s="75" t="s">
        <v>236</v>
      </c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69"/>
      <c r="AL124" s="69"/>
      <c r="AM124" s="69"/>
      <c r="AN124" s="69"/>
      <c r="AO124" s="69"/>
      <c r="AP124" s="69"/>
      <c r="AQ124" s="69"/>
      <c r="AR124" s="69"/>
      <c r="AS124" s="70">
        <v>500000</v>
      </c>
      <c r="AT124" s="71"/>
      <c r="AU124" s="71"/>
      <c r="AV124" s="71"/>
      <c r="AW124" s="71"/>
      <c r="AX124" s="71"/>
      <c r="AY124" s="71"/>
      <c r="AZ124" s="72"/>
      <c r="BA124" s="70">
        <f t="shared" si="3"/>
        <v>500000</v>
      </c>
      <c r="BB124" s="71"/>
      <c r="BC124" s="71"/>
      <c r="BD124" s="71"/>
      <c r="BE124" s="71"/>
      <c r="BF124" s="71"/>
      <c r="BG124" s="71"/>
      <c r="BH124" s="72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</row>
    <row r="125" spans="1:80" ht="18.95" customHeight="1" x14ac:dyDescent="0.2">
      <c r="A125" s="63">
        <f t="shared" si="4"/>
        <v>3</v>
      </c>
      <c r="B125" s="64"/>
      <c r="C125" s="65"/>
      <c r="D125" s="75" t="s">
        <v>237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69"/>
      <c r="AL125" s="69"/>
      <c r="AM125" s="69"/>
      <c r="AN125" s="69"/>
      <c r="AO125" s="69"/>
      <c r="AP125" s="69"/>
      <c r="AQ125" s="69"/>
      <c r="AR125" s="69"/>
      <c r="AS125" s="70">
        <f>7000000-669990</f>
        <v>6330010</v>
      </c>
      <c r="AT125" s="71"/>
      <c r="AU125" s="71"/>
      <c r="AV125" s="71"/>
      <c r="AW125" s="71"/>
      <c r="AX125" s="71"/>
      <c r="AY125" s="71"/>
      <c r="AZ125" s="72"/>
      <c r="BA125" s="70">
        <f t="shared" si="3"/>
        <v>6330010</v>
      </c>
      <c r="BB125" s="71"/>
      <c r="BC125" s="71"/>
      <c r="BD125" s="71"/>
      <c r="BE125" s="71"/>
      <c r="BF125" s="71"/>
      <c r="BG125" s="71"/>
      <c r="BH125" s="72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</row>
    <row r="126" spans="1:80" ht="18.95" customHeight="1" x14ac:dyDescent="0.2">
      <c r="A126" s="63">
        <f t="shared" si="4"/>
        <v>4</v>
      </c>
      <c r="B126" s="64"/>
      <c r="C126" s="65"/>
      <c r="D126" s="75" t="s">
        <v>238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69"/>
      <c r="AL126" s="69"/>
      <c r="AM126" s="69"/>
      <c r="AN126" s="69"/>
      <c r="AO126" s="69"/>
      <c r="AP126" s="69"/>
      <c r="AQ126" s="69"/>
      <c r="AR126" s="69"/>
      <c r="AS126" s="70">
        <f>5000000-9460</f>
        <v>4990540</v>
      </c>
      <c r="AT126" s="71"/>
      <c r="AU126" s="71"/>
      <c r="AV126" s="71"/>
      <c r="AW126" s="71"/>
      <c r="AX126" s="71"/>
      <c r="AY126" s="71"/>
      <c r="AZ126" s="72"/>
      <c r="BA126" s="70">
        <f t="shared" si="3"/>
        <v>4990540</v>
      </c>
      <c r="BB126" s="71"/>
      <c r="BC126" s="71"/>
      <c r="BD126" s="71"/>
      <c r="BE126" s="71"/>
      <c r="BF126" s="71"/>
      <c r="BG126" s="71"/>
      <c r="BH126" s="72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</row>
    <row r="127" spans="1:80" ht="18.95" customHeight="1" x14ac:dyDescent="0.2">
      <c r="A127" s="63">
        <f t="shared" si="4"/>
        <v>5</v>
      </c>
      <c r="B127" s="64"/>
      <c r="C127" s="65"/>
      <c r="D127" s="75" t="s">
        <v>239</v>
      </c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69"/>
      <c r="AL127" s="69"/>
      <c r="AM127" s="69"/>
      <c r="AN127" s="69"/>
      <c r="AO127" s="69"/>
      <c r="AP127" s="69"/>
      <c r="AQ127" s="69"/>
      <c r="AR127" s="69"/>
      <c r="AS127" s="70">
        <f>150000-27255</f>
        <v>122745</v>
      </c>
      <c r="AT127" s="71"/>
      <c r="AU127" s="71"/>
      <c r="AV127" s="71"/>
      <c r="AW127" s="71"/>
      <c r="AX127" s="71"/>
      <c r="AY127" s="71"/>
      <c r="AZ127" s="72"/>
      <c r="BA127" s="70">
        <f t="shared" si="3"/>
        <v>122745</v>
      </c>
      <c r="BB127" s="71"/>
      <c r="BC127" s="71"/>
      <c r="BD127" s="71"/>
      <c r="BE127" s="71"/>
      <c r="BF127" s="71"/>
      <c r="BG127" s="71"/>
      <c r="BH127" s="72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</row>
    <row r="128" spans="1:80" ht="18.95" customHeight="1" x14ac:dyDescent="0.2">
      <c r="A128" s="63">
        <f t="shared" si="4"/>
        <v>6</v>
      </c>
      <c r="B128" s="64"/>
      <c r="C128" s="65"/>
      <c r="D128" s="75" t="s">
        <v>240</v>
      </c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69"/>
      <c r="AL128" s="69"/>
      <c r="AM128" s="69"/>
      <c r="AN128" s="69"/>
      <c r="AO128" s="69"/>
      <c r="AP128" s="69"/>
      <c r="AQ128" s="69"/>
      <c r="AR128" s="69"/>
      <c r="AS128" s="70">
        <v>23940000</v>
      </c>
      <c r="AT128" s="71"/>
      <c r="AU128" s="71"/>
      <c r="AV128" s="71"/>
      <c r="AW128" s="71"/>
      <c r="AX128" s="71"/>
      <c r="AY128" s="71"/>
      <c r="AZ128" s="72"/>
      <c r="BA128" s="70">
        <f>AC128+AS128</f>
        <v>23940000</v>
      </c>
      <c r="BB128" s="71"/>
      <c r="BC128" s="71"/>
      <c r="BD128" s="71"/>
      <c r="BE128" s="71"/>
      <c r="BF128" s="71"/>
      <c r="BG128" s="71"/>
      <c r="BH128" s="72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</row>
    <row r="129" spans="1:80" ht="19.899999999999999" customHeight="1" x14ac:dyDescent="0.2">
      <c r="A129" s="96" t="s">
        <v>171</v>
      </c>
      <c r="B129" s="97"/>
      <c r="C129" s="98"/>
      <c r="D129" s="99" t="s">
        <v>164</v>
      </c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1"/>
      <c r="AK129" s="69"/>
      <c r="AL129" s="69"/>
      <c r="AM129" s="69"/>
      <c r="AN129" s="69"/>
      <c r="AO129" s="69"/>
      <c r="AP129" s="69"/>
      <c r="AQ129" s="69"/>
      <c r="AR129" s="69"/>
      <c r="AS129" s="93">
        <f>SUM(AS130:AZ131)</f>
        <v>16843200</v>
      </c>
      <c r="AT129" s="94"/>
      <c r="AU129" s="94"/>
      <c r="AV129" s="94"/>
      <c r="AW129" s="94"/>
      <c r="AX129" s="94"/>
      <c r="AY129" s="94"/>
      <c r="AZ129" s="95"/>
      <c r="BA129" s="93">
        <f>AC129+AS129</f>
        <v>16843200</v>
      </c>
      <c r="BB129" s="94"/>
      <c r="BC129" s="94"/>
      <c r="BD129" s="94"/>
      <c r="BE129" s="94"/>
      <c r="BF129" s="94"/>
      <c r="BG129" s="94"/>
      <c r="BH129" s="95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</row>
    <row r="130" spans="1:80" ht="18.95" customHeight="1" x14ac:dyDescent="0.2">
      <c r="A130" s="63">
        <v>1</v>
      </c>
      <c r="B130" s="64"/>
      <c r="C130" s="65"/>
      <c r="D130" s="75" t="s">
        <v>241</v>
      </c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69"/>
      <c r="AL130" s="69"/>
      <c r="AM130" s="69"/>
      <c r="AN130" s="69"/>
      <c r="AO130" s="69"/>
      <c r="AP130" s="69"/>
      <c r="AQ130" s="69"/>
      <c r="AR130" s="69"/>
      <c r="AS130" s="70">
        <f>8600000-39800</f>
        <v>8560200</v>
      </c>
      <c r="AT130" s="71"/>
      <c r="AU130" s="71"/>
      <c r="AV130" s="71"/>
      <c r="AW130" s="71"/>
      <c r="AX130" s="71"/>
      <c r="AY130" s="71"/>
      <c r="AZ130" s="72"/>
      <c r="BA130" s="70">
        <f t="shared" si="3"/>
        <v>8560200</v>
      </c>
      <c r="BB130" s="71"/>
      <c r="BC130" s="71"/>
      <c r="BD130" s="71"/>
      <c r="BE130" s="71"/>
      <c r="BF130" s="71"/>
      <c r="BG130" s="71"/>
      <c r="BH130" s="72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</row>
    <row r="131" spans="1:80" ht="18.95" customHeight="1" x14ac:dyDescent="0.2">
      <c r="A131" s="63">
        <v>2</v>
      </c>
      <c r="B131" s="64"/>
      <c r="C131" s="65"/>
      <c r="D131" s="75" t="s">
        <v>242</v>
      </c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69"/>
      <c r="AL131" s="69"/>
      <c r="AM131" s="69"/>
      <c r="AN131" s="69"/>
      <c r="AO131" s="69"/>
      <c r="AP131" s="69"/>
      <c r="AQ131" s="69"/>
      <c r="AR131" s="69"/>
      <c r="AS131" s="70">
        <f>8370000-87000</f>
        <v>8283000</v>
      </c>
      <c r="AT131" s="71"/>
      <c r="AU131" s="71"/>
      <c r="AV131" s="71"/>
      <c r="AW131" s="71"/>
      <c r="AX131" s="71"/>
      <c r="AY131" s="71"/>
      <c r="AZ131" s="72"/>
      <c r="BA131" s="70">
        <f t="shared" si="3"/>
        <v>8283000</v>
      </c>
      <c r="BB131" s="71"/>
      <c r="BC131" s="71"/>
      <c r="BD131" s="71"/>
      <c r="BE131" s="71"/>
      <c r="BF131" s="71"/>
      <c r="BG131" s="71"/>
      <c r="BH131" s="72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</row>
    <row r="132" spans="1:80" ht="31.5" customHeight="1" x14ac:dyDescent="0.2">
      <c r="A132" s="109">
        <v>3</v>
      </c>
      <c r="B132" s="110"/>
      <c r="C132" s="111"/>
      <c r="D132" s="116" t="s">
        <v>90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8"/>
      <c r="AK132" s="69"/>
      <c r="AL132" s="69"/>
      <c r="AM132" s="69"/>
      <c r="AN132" s="69"/>
      <c r="AO132" s="69"/>
      <c r="AP132" s="69"/>
      <c r="AQ132" s="69"/>
      <c r="AR132" s="69"/>
      <c r="AS132" s="102">
        <f>AS133+AS144+AS145</f>
        <v>64779328</v>
      </c>
      <c r="AT132" s="103"/>
      <c r="AU132" s="103"/>
      <c r="AV132" s="103"/>
      <c r="AW132" s="103"/>
      <c r="AX132" s="103"/>
      <c r="AY132" s="103"/>
      <c r="AZ132" s="104"/>
      <c r="BA132" s="102">
        <f t="shared" ref="BA132:BA162" si="5">AC132+AS132</f>
        <v>64779328</v>
      </c>
      <c r="BB132" s="103"/>
      <c r="BC132" s="103"/>
      <c r="BD132" s="103"/>
      <c r="BE132" s="103"/>
      <c r="BF132" s="103"/>
      <c r="BG132" s="103"/>
      <c r="BH132" s="104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</row>
    <row r="133" spans="1:80" ht="20.25" customHeight="1" x14ac:dyDescent="0.2">
      <c r="A133" s="96" t="s">
        <v>172</v>
      </c>
      <c r="B133" s="97"/>
      <c r="C133" s="98"/>
      <c r="D133" s="99" t="s">
        <v>164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1"/>
      <c r="AK133" s="69"/>
      <c r="AL133" s="69"/>
      <c r="AM133" s="69"/>
      <c r="AN133" s="69"/>
      <c r="AO133" s="69"/>
      <c r="AP133" s="69"/>
      <c r="AQ133" s="69"/>
      <c r="AR133" s="69"/>
      <c r="AS133" s="93">
        <f>SUM(AS134:AZ143)</f>
        <v>61304675</v>
      </c>
      <c r="AT133" s="94"/>
      <c r="AU133" s="94"/>
      <c r="AV133" s="94"/>
      <c r="AW133" s="94"/>
      <c r="AX133" s="94"/>
      <c r="AY133" s="94"/>
      <c r="AZ133" s="95"/>
      <c r="BA133" s="93">
        <f t="shared" si="5"/>
        <v>61304675</v>
      </c>
      <c r="BB133" s="94"/>
      <c r="BC133" s="94"/>
      <c r="BD133" s="94"/>
      <c r="BE133" s="94"/>
      <c r="BF133" s="94"/>
      <c r="BG133" s="94"/>
      <c r="BH133" s="95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</row>
    <row r="134" spans="1:80" ht="33" customHeight="1" x14ac:dyDescent="0.2">
      <c r="A134" s="63">
        <v>1</v>
      </c>
      <c r="B134" s="64"/>
      <c r="C134" s="65"/>
      <c r="D134" s="75" t="s">
        <v>243</v>
      </c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69"/>
      <c r="AL134" s="69"/>
      <c r="AM134" s="69"/>
      <c r="AN134" s="69"/>
      <c r="AO134" s="69"/>
      <c r="AP134" s="69"/>
      <c r="AQ134" s="69"/>
      <c r="AR134" s="69"/>
      <c r="AS134" s="70">
        <f>2390000-220000</f>
        <v>2170000</v>
      </c>
      <c r="AT134" s="71"/>
      <c r="AU134" s="71"/>
      <c r="AV134" s="71"/>
      <c r="AW134" s="71"/>
      <c r="AX134" s="71"/>
      <c r="AY134" s="71"/>
      <c r="AZ134" s="72"/>
      <c r="BA134" s="70">
        <f t="shared" si="5"/>
        <v>2170000</v>
      </c>
      <c r="BB134" s="71"/>
      <c r="BC134" s="71"/>
      <c r="BD134" s="71"/>
      <c r="BE134" s="71"/>
      <c r="BF134" s="71"/>
      <c r="BG134" s="71"/>
      <c r="BH134" s="72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</row>
    <row r="135" spans="1:80" ht="18.95" customHeight="1" x14ac:dyDescent="0.2">
      <c r="A135" s="63">
        <f>A134+1</f>
        <v>2</v>
      </c>
      <c r="B135" s="64"/>
      <c r="C135" s="65"/>
      <c r="D135" s="75" t="s">
        <v>244</v>
      </c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69"/>
      <c r="AL135" s="69"/>
      <c r="AM135" s="69"/>
      <c r="AN135" s="69"/>
      <c r="AO135" s="69"/>
      <c r="AP135" s="69"/>
      <c r="AQ135" s="69"/>
      <c r="AR135" s="69"/>
      <c r="AS135" s="70">
        <f>4300800-1428825</f>
        <v>2871975</v>
      </c>
      <c r="AT135" s="71"/>
      <c r="AU135" s="71"/>
      <c r="AV135" s="71"/>
      <c r="AW135" s="71"/>
      <c r="AX135" s="71"/>
      <c r="AY135" s="71"/>
      <c r="AZ135" s="72"/>
      <c r="BA135" s="70">
        <f t="shared" si="5"/>
        <v>2871975</v>
      </c>
      <c r="BB135" s="71"/>
      <c r="BC135" s="71"/>
      <c r="BD135" s="71"/>
      <c r="BE135" s="71"/>
      <c r="BF135" s="71"/>
      <c r="BG135" s="71"/>
      <c r="BH135" s="72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</row>
    <row r="136" spans="1:80" ht="18.95" customHeight="1" x14ac:dyDescent="0.2">
      <c r="A136" s="63">
        <f t="shared" ref="A136:A149" si="6">A135+1</f>
        <v>3</v>
      </c>
      <c r="B136" s="64"/>
      <c r="C136" s="65"/>
      <c r="D136" s="75" t="s">
        <v>245</v>
      </c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69"/>
      <c r="AL136" s="69"/>
      <c r="AM136" s="69"/>
      <c r="AN136" s="69"/>
      <c r="AO136" s="69"/>
      <c r="AP136" s="69"/>
      <c r="AQ136" s="69"/>
      <c r="AR136" s="69"/>
      <c r="AS136" s="70">
        <f>4413600-4413600</f>
        <v>0</v>
      </c>
      <c r="AT136" s="71"/>
      <c r="AU136" s="71"/>
      <c r="AV136" s="71"/>
      <c r="AW136" s="71"/>
      <c r="AX136" s="71"/>
      <c r="AY136" s="71"/>
      <c r="AZ136" s="72"/>
      <c r="BA136" s="70">
        <f t="shared" si="5"/>
        <v>0</v>
      </c>
      <c r="BB136" s="71"/>
      <c r="BC136" s="71"/>
      <c r="BD136" s="71"/>
      <c r="BE136" s="71"/>
      <c r="BF136" s="71"/>
      <c r="BG136" s="71"/>
      <c r="BH136" s="72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</row>
    <row r="137" spans="1:80" ht="33" customHeight="1" x14ac:dyDescent="0.2">
      <c r="A137" s="63">
        <f t="shared" si="6"/>
        <v>4</v>
      </c>
      <c r="B137" s="64"/>
      <c r="C137" s="65"/>
      <c r="D137" s="75" t="s">
        <v>246</v>
      </c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69"/>
      <c r="AL137" s="69"/>
      <c r="AM137" s="69"/>
      <c r="AN137" s="69"/>
      <c r="AO137" s="69"/>
      <c r="AP137" s="69"/>
      <c r="AQ137" s="69"/>
      <c r="AR137" s="69"/>
      <c r="AS137" s="240">
        <f>1827400+827600</f>
        <v>2655000</v>
      </c>
      <c r="AT137" s="241"/>
      <c r="AU137" s="241"/>
      <c r="AV137" s="241"/>
      <c r="AW137" s="241"/>
      <c r="AX137" s="241"/>
      <c r="AY137" s="241"/>
      <c r="AZ137" s="242"/>
      <c r="BA137" s="70">
        <f t="shared" si="5"/>
        <v>2655000</v>
      </c>
      <c r="BB137" s="71"/>
      <c r="BC137" s="71"/>
      <c r="BD137" s="71"/>
      <c r="BE137" s="71"/>
      <c r="BF137" s="71"/>
      <c r="BG137" s="71"/>
      <c r="BH137" s="72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</row>
    <row r="138" spans="1:80" ht="18.95" customHeight="1" x14ac:dyDescent="0.2">
      <c r="A138" s="63">
        <f t="shared" si="6"/>
        <v>5</v>
      </c>
      <c r="B138" s="64"/>
      <c r="C138" s="65"/>
      <c r="D138" s="75" t="s">
        <v>247</v>
      </c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69"/>
      <c r="AL138" s="69"/>
      <c r="AM138" s="69"/>
      <c r="AN138" s="69"/>
      <c r="AO138" s="69"/>
      <c r="AP138" s="69"/>
      <c r="AQ138" s="69"/>
      <c r="AR138" s="69"/>
      <c r="AS138" s="70">
        <v>3654300</v>
      </c>
      <c r="AT138" s="71"/>
      <c r="AU138" s="71"/>
      <c r="AV138" s="71"/>
      <c r="AW138" s="71"/>
      <c r="AX138" s="71"/>
      <c r="AY138" s="71"/>
      <c r="AZ138" s="72"/>
      <c r="BA138" s="70">
        <f t="shared" si="5"/>
        <v>3654300</v>
      </c>
      <c r="BB138" s="71"/>
      <c r="BC138" s="71"/>
      <c r="BD138" s="71"/>
      <c r="BE138" s="71"/>
      <c r="BF138" s="71"/>
      <c r="BG138" s="71"/>
      <c r="BH138" s="72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</row>
    <row r="139" spans="1:80" ht="33" customHeight="1" x14ac:dyDescent="0.2">
      <c r="A139" s="63">
        <f t="shared" si="6"/>
        <v>6</v>
      </c>
      <c r="B139" s="64"/>
      <c r="C139" s="65"/>
      <c r="D139" s="75" t="s">
        <v>248</v>
      </c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69"/>
      <c r="AL139" s="69"/>
      <c r="AM139" s="69"/>
      <c r="AN139" s="69"/>
      <c r="AO139" s="69"/>
      <c r="AP139" s="69"/>
      <c r="AQ139" s="69"/>
      <c r="AR139" s="69"/>
      <c r="AS139" s="70">
        <f>29025000-34200</f>
        <v>28990800</v>
      </c>
      <c r="AT139" s="71"/>
      <c r="AU139" s="71"/>
      <c r="AV139" s="71"/>
      <c r="AW139" s="71"/>
      <c r="AX139" s="71"/>
      <c r="AY139" s="71"/>
      <c r="AZ139" s="72"/>
      <c r="BA139" s="70">
        <f t="shared" si="5"/>
        <v>28990800</v>
      </c>
      <c r="BB139" s="71"/>
      <c r="BC139" s="71"/>
      <c r="BD139" s="71"/>
      <c r="BE139" s="71"/>
      <c r="BF139" s="71"/>
      <c r="BG139" s="71"/>
      <c r="BH139" s="72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</row>
    <row r="140" spans="1:80" ht="33" customHeight="1" x14ac:dyDescent="0.2">
      <c r="A140" s="63">
        <f t="shared" si="6"/>
        <v>7</v>
      </c>
      <c r="B140" s="64"/>
      <c r="C140" s="65"/>
      <c r="D140" s="75" t="s">
        <v>249</v>
      </c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69"/>
      <c r="AL140" s="69"/>
      <c r="AM140" s="69"/>
      <c r="AN140" s="69"/>
      <c r="AO140" s="69"/>
      <c r="AP140" s="69"/>
      <c r="AQ140" s="69"/>
      <c r="AR140" s="69"/>
      <c r="AS140" s="70">
        <v>16532600</v>
      </c>
      <c r="AT140" s="71"/>
      <c r="AU140" s="71"/>
      <c r="AV140" s="71"/>
      <c r="AW140" s="71"/>
      <c r="AX140" s="71"/>
      <c r="AY140" s="71"/>
      <c r="AZ140" s="72"/>
      <c r="BA140" s="70">
        <f t="shared" si="5"/>
        <v>16532600</v>
      </c>
      <c r="BB140" s="71"/>
      <c r="BC140" s="71"/>
      <c r="BD140" s="71"/>
      <c r="BE140" s="71"/>
      <c r="BF140" s="71"/>
      <c r="BG140" s="71"/>
      <c r="BH140" s="72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</row>
    <row r="141" spans="1:80" ht="33" customHeight="1" x14ac:dyDescent="0.2">
      <c r="A141" s="63">
        <f t="shared" si="6"/>
        <v>8</v>
      </c>
      <c r="B141" s="64"/>
      <c r="C141" s="65"/>
      <c r="D141" s="75" t="s">
        <v>250</v>
      </c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69"/>
      <c r="AL141" s="69"/>
      <c r="AM141" s="69"/>
      <c r="AN141" s="69"/>
      <c r="AO141" s="69"/>
      <c r="AP141" s="69"/>
      <c r="AQ141" s="69"/>
      <c r="AR141" s="69"/>
      <c r="AS141" s="70">
        <v>2337500</v>
      </c>
      <c r="AT141" s="71"/>
      <c r="AU141" s="71"/>
      <c r="AV141" s="71"/>
      <c r="AW141" s="71"/>
      <c r="AX141" s="71"/>
      <c r="AY141" s="71"/>
      <c r="AZ141" s="72"/>
      <c r="BA141" s="70">
        <f t="shared" si="5"/>
        <v>2337500</v>
      </c>
      <c r="BB141" s="71"/>
      <c r="BC141" s="71"/>
      <c r="BD141" s="71"/>
      <c r="BE141" s="71"/>
      <c r="BF141" s="71"/>
      <c r="BG141" s="71"/>
      <c r="BH141" s="72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</row>
    <row r="142" spans="1:80" ht="33" customHeight="1" x14ac:dyDescent="0.2">
      <c r="A142" s="63">
        <f t="shared" si="6"/>
        <v>9</v>
      </c>
      <c r="B142" s="64"/>
      <c r="C142" s="65"/>
      <c r="D142" s="75" t="s">
        <v>251</v>
      </c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69"/>
      <c r="AL142" s="69"/>
      <c r="AM142" s="69"/>
      <c r="AN142" s="69"/>
      <c r="AO142" s="69"/>
      <c r="AP142" s="69"/>
      <c r="AQ142" s="69"/>
      <c r="AR142" s="69"/>
      <c r="AS142" s="70">
        <v>2092500</v>
      </c>
      <c r="AT142" s="71"/>
      <c r="AU142" s="71"/>
      <c r="AV142" s="71"/>
      <c r="AW142" s="71"/>
      <c r="AX142" s="71"/>
      <c r="AY142" s="71"/>
      <c r="AZ142" s="72"/>
      <c r="BA142" s="70">
        <f t="shared" si="5"/>
        <v>2092500</v>
      </c>
      <c r="BB142" s="71"/>
      <c r="BC142" s="71"/>
      <c r="BD142" s="71"/>
      <c r="BE142" s="71"/>
      <c r="BF142" s="71"/>
      <c r="BG142" s="71"/>
      <c r="BH142" s="72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</row>
    <row r="143" spans="1:80" ht="18.95" customHeight="1" x14ac:dyDescent="0.2">
      <c r="A143" s="63">
        <f t="shared" si="6"/>
        <v>10</v>
      </c>
      <c r="B143" s="64"/>
      <c r="C143" s="65"/>
      <c r="D143" s="75" t="s">
        <v>252</v>
      </c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69"/>
      <c r="AL143" s="69"/>
      <c r="AM143" s="69"/>
      <c r="AN143" s="69"/>
      <c r="AO143" s="69"/>
      <c r="AP143" s="69"/>
      <c r="AQ143" s="69"/>
      <c r="AR143" s="69"/>
      <c r="AS143" s="70">
        <f>867000-867000</f>
        <v>0</v>
      </c>
      <c r="AT143" s="71"/>
      <c r="AU143" s="71"/>
      <c r="AV143" s="71"/>
      <c r="AW143" s="71"/>
      <c r="AX143" s="71"/>
      <c r="AY143" s="71"/>
      <c r="AZ143" s="72"/>
      <c r="BA143" s="70">
        <f>AC143+AS143</f>
        <v>0</v>
      </c>
      <c r="BB143" s="71"/>
      <c r="BC143" s="71"/>
      <c r="BD143" s="71"/>
      <c r="BE143" s="71"/>
      <c r="BF143" s="71"/>
      <c r="BG143" s="71"/>
      <c r="BH143" s="72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</row>
    <row r="144" spans="1:80" ht="48.75" customHeight="1" x14ac:dyDescent="0.2">
      <c r="A144" s="96" t="s">
        <v>173</v>
      </c>
      <c r="B144" s="97"/>
      <c r="C144" s="98"/>
      <c r="D144" s="75" t="s">
        <v>253</v>
      </c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69"/>
      <c r="AL144" s="69"/>
      <c r="AM144" s="69"/>
      <c r="AN144" s="69"/>
      <c r="AO144" s="69"/>
      <c r="AP144" s="69"/>
      <c r="AQ144" s="69"/>
      <c r="AR144" s="69"/>
      <c r="AS144" s="140">
        <f>108523+330000</f>
        <v>438523</v>
      </c>
      <c r="AT144" s="141"/>
      <c r="AU144" s="141"/>
      <c r="AV144" s="141"/>
      <c r="AW144" s="141"/>
      <c r="AX144" s="141"/>
      <c r="AY144" s="141"/>
      <c r="AZ144" s="142"/>
      <c r="BA144" s="140">
        <f t="shared" si="5"/>
        <v>438523</v>
      </c>
      <c r="BB144" s="141"/>
      <c r="BC144" s="141"/>
      <c r="BD144" s="141"/>
      <c r="BE144" s="141"/>
      <c r="BF144" s="141"/>
      <c r="BG144" s="141"/>
      <c r="BH144" s="142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</row>
    <row r="145" spans="1:80" ht="19.899999999999999" customHeight="1" x14ac:dyDescent="0.2">
      <c r="A145" s="96" t="s">
        <v>174</v>
      </c>
      <c r="B145" s="97"/>
      <c r="C145" s="98"/>
      <c r="D145" s="130" t="s">
        <v>175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2"/>
      <c r="AK145" s="69"/>
      <c r="AL145" s="69"/>
      <c r="AM145" s="69"/>
      <c r="AN145" s="69"/>
      <c r="AO145" s="69"/>
      <c r="AP145" s="69"/>
      <c r="AQ145" s="69"/>
      <c r="AR145" s="69"/>
      <c r="AS145" s="93">
        <f>SUM(AS146:AZ149)</f>
        <v>3036130</v>
      </c>
      <c r="AT145" s="94"/>
      <c r="AU145" s="94"/>
      <c r="AV145" s="94"/>
      <c r="AW145" s="94"/>
      <c r="AX145" s="94"/>
      <c r="AY145" s="94"/>
      <c r="AZ145" s="95"/>
      <c r="BA145" s="93">
        <f>AC145+AS145</f>
        <v>3036130</v>
      </c>
      <c r="BB145" s="94"/>
      <c r="BC145" s="94"/>
      <c r="BD145" s="94"/>
      <c r="BE145" s="94"/>
      <c r="BF145" s="94"/>
      <c r="BG145" s="94"/>
      <c r="BH145" s="95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</row>
    <row r="146" spans="1:80" ht="18.95" customHeight="1" x14ac:dyDescent="0.2">
      <c r="A146" s="63">
        <v>1</v>
      </c>
      <c r="B146" s="64"/>
      <c r="C146" s="65"/>
      <c r="D146" s="75" t="s">
        <v>254</v>
      </c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69"/>
      <c r="AL146" s="69"/>
      <c r="AM146" s="69"/>
      <c r="AN146" s="69"/>
      <c r="AO146" s="69"/>
      <c r="AP146" s="69"/>
      <c r="AQ146" s="69"/>
      <c r="AR146" s="69"/>
      <c r="AS146" s="70">
        <v>947716</v>
      </c>
      <c r="AT146" s="71"/>
      <c r="AU146" s="71"/>
      <c r="AV146" s="71"/>
      <c r="AW146" s="71"/>
      <c r="AX146" s="71"/>
      <c r="AY146" s="71"/>
      <c r="AZ146" s="72"/>
      <c r="BA146" s="70">
        <f t="shared" si="5"/>
        <v>947716</v>
      </c>
      <c r="BB146" s="71"/>
      <c r="BC146" s="71"/>
      <c r="BD146" s="71"/>
      <c r="BE146" s="71"/>
      <c r="BF146" s="71"/>
      <c r="BG146" s="71"/>
      <c r="BH146" s="72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</row>
    <row r="147" spans="1:80" ht="18.95" customHeight="1" x14ac:dyDescent="0.2">
      <c r="A147" s="63">
        <f t="shared" si="6"/>
        <v>2</v>
      </c>
      <c r="B147" s="64"/>
      <c r="C147" s="65"/>
      <c r="D147" s="75" t="s">
        <v>255</v>
      </c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69"/>
      <c r="AL147" s="69"/>
      <c r="AM147" s="69"/>
      <c r="AN147" s="69"/>
      <c r="AO147" s="69"/>
      <c r="AP147" s="69"/>
      <c r="AQ147" s="69"/>
      <c r="AR147" s="69"/>
      <c r="AS147" s="70">
        <v>1489914</v>
      </c>
      <c r="AT147" s="71"/>
      <c r="AU147" s="71"/>
      <c r="AV147" s="71"/>
      <c r="AW147" s="71"/>
      <c r="AX147" s="71"/>
      <c r="AY147" s="71"/>
      <c r="AZ147" s="72"/>
      <c r="BA147" s="70">
        <f t="shared" si="5"/>
        <v>1489914</v>
      </c>
      <c r="BB147" s="71"/>
      <c r="BC147" s="71"/>
      <c r="BD147" s="71"/>
      <c r="BE147" s="71"/>
      <c r="BF147" s="71"/>
      <c r="BG147" s="71"/>
      <c r="BH147" s="72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</row>
    <row r="148" spans="1:80" ht="18.95" customHeight="1" x14ac:dyDescent="0.2">
      <c r="A148" s="63">
        <f t="shared" si="6"/>
        <v>3</v>
      </c>
      <c r="B148" s="64"/>
      <c r="C148" s="65"/>
      <c r="D148" s="75" t="s">
        <v>256</v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69"/>
      <c r="AL148" s="69"/>
      <c r="AM148" s="69"/>
      <c r="AN148" s="69"/>
      <c r="AO148" s="69"/>
      <c r="AP148" s="69"/>
      <c r="AQ148" s="69"/>
      <c r="AR148" s="69"/>
      <c r="AS148" s="70">
        <f>750000-300000</f>
        <v>450000</v>
      </c>
      <c r="AT148" s="71"/>
      <c r="AU148" s="71"/>
      <c r="AV148" s="71"/>
      <c r="AW148" s="71"/>
      <c r="AX148" s="71"/>
      <c r="AY148" s="71"/>
      <c r="AZ148" s="72"/>
      <c r="BA148" s="70">
        <f t="shared" si="5"/>
        <v>450000</v>
      </c>
      <c r="BB148" s="71"/>
      <c r="BC148" s="71"/>
      <c r="BD148" s="71"/>
      <c r="BE148" s="71"/>
      <c r="BF148" s="71"/>
      <c r="BG148" s="71"/>
      <c r="BH148" s="72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</row>
    <row r="149" spans="1:80" ht="18.95" customHeight="1" x14ac:dyDescent="0.2">
      <c r="A149" s="63">
        <f t="shared" si="6"/>
        <v>4</v>
      </c>
      <c r="B149" s="64"/>
      <c r="C149" s="65"/>
      <c r="D149" s="75" t="s">
        <v>257</v>
      </c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69"/>
      <c r="AL149" s="69"/>
      <c r="AM149" s="69"/>
      <c r="AN149" s="69"/>
      <c r="AO149" s="69"/>
      <c r="AP149" s="69"/>
      <c r="AQ149" s="69"/>
      <c r="AR149" s="69"/>
      <c r="AS149" s="70">
        <v>148500</v>
      </c>
      <c r="AT149" s="71"/>
      <c r="AU149" s="71"/>
      <c r="AV149" s="71"/>
      <c r="AW149" s="71"/>
      <c r="AX149" s="71"/>
      <c r="AY149" s="71"/>
      <c r="AZ149" s="72"/>
      <c r="BA149" s="70">
        <f t="shared" si="5"/>
        <v>148500</v>
      </c>
      <c r="BB149" s="71"/>
      <c r="BC149" s="71"/>
      <c r="BD149" s="71"/>
      <c r="BE149" s="71"/>
      <c r="BF149" s="71"/>
      <c r="BG149" s="71"/>
      <c r="BH149" s="72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</row>
    <row r="150" spans="1:80" ht="33" customHeight="1" x14ac:dyDescent="0.2">
      <c r="A150" s="109">
        <v>4</v>
      </c>
      <c r="B150" s="110"/>
      <c r="C150" s="111"/>
      <c r="D150" s="116" t="s">
        <v>91</v>
      </c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8"/>
      <c r="AK150" s="69"/>
      <c r="AL150" s="69"/>
      <c r="AM150" s="69"/>
      <c r="AN150" s="69"/>
      <c r="AO150" s="69"/>
      <c r="AP150" s="69"/>
      <c r="AQ150" s="69"/>
      <c r="AR150" s="69"/>
      <c r="AS150" s="102">
        <f>SUM(AS151:AZ159)</f>
        <v>11355280</v>
      </c>
      <c r="AT150" s="103"/>
      <c r="AU150" s="103"/>
      <c r="AV150" s="103"/>
      <c r="AW150" s="103"/>
      <c r="AX150" s="103"/>
      <c r="AY150" s="103"/>
      <c r="AZ150" s="104"/>
      <c r="BA150" s="102">
        <f t="shared" si="5"/>
        <v>11355280</v>
      </c>
      <c r="BB150" s="103"/>
      <c r="BC150" s="103"/>
      <c r="BD150" s="103"/>
      <c r="BE150" s="103"/>
      <c r="BF150" s="103"/>
      <c r="BG150" s="103"/>
      <c r="BH150" s="104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</row>
    <row r="151" spans="1:80" ht="18.95" customHeight="1" x14ac:dyDescent="0.2">
      <c r="A151" s="63">
        <v>1</v>
      </c>
      <c r="B151" s="64"/>
      <c r="C151" s="65"/>
      <c r="D151" s="75" t="s">
        <v>258</v>
      </c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69"/>
      <c r="AL151" s="69"/>
      <c r="AM151" s="69"/>
      <c r="AN151" s="69"/>
      <c r="AO151" s="69"/>
      <c r="AP151" s="69"/>
      <c r="AQ151" s="69"/>
      <c r="AR151" s="69"/>
      <c r="AS151" s="70">
        <v>3156000</v>
      </c>
      <c r="AT151" s="71"/>
      <c r="AU151" s="71"/>
      <c r="AV151" s="71"/>
      <c r="AW151" s="71"/>
      <c r="AX151" s="71"/>
      <c r="AY151" s="71"/>
      <c r="AZ151" s="72"/>
      <c r="BA151" s="70">
        <f t="shared" si="5"/>
        <v>3156000</v>
      </c>
      <c r="BB151" s="71"/>
      <c r="BC151" s="71"/>
      <c r="BD151" s="71"/>
      <c r="BE151" s="71"/>
      <c r="BF151" s="71"/>
      <c r="BG151" s="71"/>
      <c r="BH151" s="72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</row>
    <row r="152" spans="1:80" ht="18.95" customHeight="1" x14ac:dyDescent="0.2">
      <c r="A152" s="63">
        <f>A151+1</f>
        <v>2</v>
      </c>
      <c r="B152" s="64"/>
      <c r="C152" s="65"/>
      <c r="D152" s="75" t="s">
        <v>259</v>
      </c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69"/>
      <c r="AL152" s="69"/>
      <c r="AM152" s="69"/>
      <c r="AN152" s="69"/>
      <c r="AO152" s="69"/>
      <c r="AP152" s="69"/>
      <c r="AQ152" s="69"/>
      <c r="AR152" s="69"/>
      <c r="AS152" s="70">
        <v>2684000</v>
      </c>
      <c r="AT152" s="71"/>
      <c r="AU152" s="71"/>
      <c r="AV152" s="71"/>
      <c r="AW152" s="71"/>
      <c r="AX152" s="71"/>
      <c r="AY152" s="71"/>
      <c r="AZ152" s="72"/>
      <c r="BA152" s="70">
        <f t="shared" si="5"/>
        <v>2684000</v>
      </c>
      <c r="BB152" s="71"/>
      <c r="BC152" s="71"/>
      <c r="BD152" s="71"/>
      <c r="BE152" s="71"/>
      <c r="BF152" s="71"/>
      <c r="BG152" s="71"/>
      <c r="BH152" s="72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</row>
    <row r="153" spans="1:80" ht="18.95" customHeight="1" x14ac:dyDescent="0.2">
      <c r="A153" s="63">
        <f t="shared" ref="A153:A159" si="7">A152+1</f>
        <v>3</v>
      </c>
      <c r="B153" s="64"/>
      <c r="C153" s="65"/>
      <c r="D153" s="75" t="s">
        <v>260</v>
      </c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69"/>
      <c r="AL153" s="69"/>
      <c r="AM153" s="69"/>
      <c r="AN153" s="69"/>
      <c r="AO153" s="69"/>
      <c r="AP153" s="69"/>
      <c r="AQ153" s="69"/>
      <c r="AR153" s="69"/>
      <c r="AS153" s="70">
        <v>240000</v>
      </c>
      <c r="AT153" s="71"/>
      <c r="AU153" s="71"/>
      <c r="AV153" s="71"/>
      <c r="AW153" s="71"/>
      <c r="AX153" s="71"/>
      <c r="AY153" s="71"/>
      <c r="AZ153" s="72"/>
      <c r="BA153" s="70">
        <f t="shared" si="5"/>
        <v>240000</v>
      </c>
      <c r="BB153" s="71"/>
      <c r="BC153" s="71"/>
      <c r="BD153" s="71"/>
      <c r="BE153" s="71"/>
      <c r="BF153" s="71"/>
      <c r="BG153" s="71"/>
      <c r="BH153" s="72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</row>
    <row r="154" spans="1:80" ht="18.95" customHeight="1" x14ac:dyDescent="0.2">
      <c r="A154" s="63">
        <f t="shared" si="7"/>
        <v>4</v>
      </c>
      <c r="B154" s="64"/>
      <c r="C154" s="65"/>
      <c r="D154" s="75" t="s">
        <v>261</v>
      </c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69"/>
      <c r="AL154" s="69"/>
      <c r="AM154" s="69"/>
      <c r="AN154" s="69"/>
      <c r="AO154" s="69"/>
      <c r="AP154" s="69"/>
      <c r="AQ154" s="69"/>
      <c r="AR154" s="69"/>
      <c r="AS154" s="70">
        <f>445500-4500</f>
        <v>441000</v>
      </c>
      <c r="AT154" s="71"/>
      <c r="AU154" s="71"/>
      <c r="AV154" s="71"/>
      <c r="AW154" s="71"/>
      <c r="AX154" s="71"/>
      <c r="AY154" s="71"/>
      <c r="AZ154" s="72"/>
      <c r="BA154" s="70">
        <f t="shared" si="5"/>
        <v>441000</v>
      </c>
      <c r="BB154" s="71"/>
      <c r="BC154" s="71"/>
      <c r="BD154" s="71"/>
      <c r="BE154" s="71"/>
      <c r="BF154" s="71"/>
      <c r="BG154" s="71"/>
      <c r="BH154" s="72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</row>
    <row r="155" spans="1:80" ht="32.25" customHeight="1" x14ac:dyDescent="0.2">
      <c r="A155" s="63">
        <f t="shared" si="7"/>
        <v>5</v>
      </c>
      <c r="B155" s="64"/>
      <c r="C155" s="65"/>
      <c r="D155" s="75" t="s">
        <v>262</v>
      </c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69"/>
      <c r="AL155" s="69"/>
      <c r="AM155" s="69"/>
      <c r="AN155" s="69"/>
      <c r="AO155" s="69"/>
      <c r="AP155" s="69"/>
      <c r="AQ155" s="69"/>
      <c r="AR155" s="69"/>
      <c r="AS155" s="70">
        <v>1812000</v>
      </c>
      <c r="AT155" s="71"/>
      <c r="AU155" s="71"/>
      <c r="AV155" s="71"/>
      <c r="AW155" s="71"/>
      <c r="AX155" s="71"/>
      <c r="AY155" s="71"/>
      <c r="AZ155" s="72"/>
      <c r="BA155" s="70">
        <f t="shared" si="5"/>
        <v>1812000</v>
      </c>
      <c r="BB155" s="71"/>
      <c r="BC155" s="71"/>
      <c r="BD155" s="71"/>
      <c r="BE155" s="71"/>
      <c r="BF155" s="71"/>
      <c r="BG155" s="71"/>
      <c r="BH155" s="72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</row>
    <row r="156" spans="1:80" ht="18.95" customHeight="1" x14ac:dyDescent="0.2">
      <c r="A156" s="63">
        <f t="shared" si="7"/>
        <v>6</v>
      </c>
      <c r="B156" s="64"/>
      <c r="C156" s="65"/>
      <c r="D156" s="75" t="s">
        <v>263</v>
      </c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69"/>
      <c r="AL156" s="69"/>
      <c r="AM156" s="69"/>
      <c r="AN156" s="69"/>
      <c r="AO156" s="69"/>
      <c r="AP156" s="69"/>
      <c r="AQ156" s="69"/>
      <c r="AR156" s="69"/>
      <c r="AS156" s="70">
        <f>1225050-85050</f>
        <v>1140000</v>
      </c>
      <c r="AT156" s="71"/>
      <c r="AU156" s="71"/>
      <c r="AV156" s="71"/>
      <c r="AW156" s="71"/>
      <c r="AX156" s="71"/>
      <c r="AY156" s="71"/>
      <c r="AZ156" s="72"/>
      <c r="BA156" s="70">
        <f t="shared" si="5"/>
        <v>1140000</v>
      </c>
      <c r="BB156" s="71"/>
      <c r="BC156" s="71"/>
      <c r="BD156" s="71"/>
      <c r="BE156" s="71"/>
      <c r="BF156" s="71"/>
      <c r="BG156" s="71"/>
      <c r="BH156" s="72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</row>
    <row r="157" spans="1:80" ht="18.95" customHeight="1" x14ac:dyDescent="0.2">
      <c r="A157" s="63">
        <f t="shared" si="7"/>
        <v>7</v>
      </c>
      <c r="B157" s="64"/>
      <c r="C157" s="65"/>
      <c r="D157" s="75" t="s">
        <v>264</v>
      </c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69"/>
      <c r="AL157" s="69"/>
      <c r="AM157" s="69"/>
      <c r="AN157" s="69"/>
      <c r="AO157" s="69"/>
      <c r="AP157" s="69"/>
      <c r="AQ157" s="69"/>
      <c r="AR157" s="69"/>
      <c r="AS157" s="70">
        <v>122280</v>
      </c>
      <c r="AT157" s="71"/>
      <c r="AU157" s="71"/>
      <c r="AV157" s="71"/>
      <c r="AW157" s="71"/>
      <c r="AX157" s="71"/>
      <c r="AY157" s="71"/>
      <c r="AZ157" s="72"/>
      <c r="BA157" s="70">
        <f t="shared" si="5"/>
        <v>122280</v>
      </c>
      <c r="BB157" s="71"/>
      <c r="BC157" s="71"/>
      <c r="BD157" s="71"/>
      <c r="BE157" s="71"/>
      <c r="BF157" s="71"/>
      <c r="BG157" s="71"/>
      <c r="BH157" s="72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</row>
    <row r="158" spans="1:80" ht="18.95" customHeight="1" x14ac:dyDescent="0.2">
      <c r="A158" s="63">
        <f t="shared" si="7"/>
        <v>8</v>
      </c>
      <c r="B158" s="64"/>
      <c r="C158" s="65"/>
      <c r="D158" s="75" t="s">
        <v>265</v>
      </c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69"/>
      <c r="AL158" s="69"/>
      <c r="AM158" s="69"/>
      <c r="AN158" s="69"/>
      <c r="AO158" s="69"/>
      <c r="AP158" s="69"/>
      <c r="AQ158" s="69"/>
      <c r="AR158" s="69"/>
      <c r="AS158" s="70">
        <f>1490000-110000</f>
        <v>1380000</v>
      </c>
      <c r="AT158" s="71"/>
      <c r="AU158" s="71"/>
      <c r="AV158" s="71"/>
      <c r="AW158" s="71"/>
      <c r="AX158" s="71"/>
      <c r="AY158" s="71"/>
      <c r="AZ158" s="72"/>
      <c r="BA158" s="70">
        <f t="shared" si="5"/>
        <v>1380000</v>
      </c>
      <c r="BB158" s="71"/>
      <c r="BC158" s="71"/>
      <c r="BD158" s="71"/>
      <c r="BE158" s="71"/>
      <c r="BF158" s="71"/>
      <c r="BG158" s="71"/>
      <c r="BH158" s="72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</row>
    <row r="159" spans="1:80" ht="18.95" customHeight="1" x14ac:dyDescent="0.2">
      <c r="A159" s="63">
        <f t="shared" si="7"/>
        <v>9</v>
      </c>
      <c r="B159" s="64"/>
      <c r="C159" s="65"/>
      <c r="D159" s="75" t="s">
        <v>266</v>
      </c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69"/>
      <c r="AL159" s="69"/>
      <c r="AM159" s="69"/>
      <c r="AN159" s="69"/>
      <c r="AO159" s="69"/>
      <c r="AP159" s="69"/>
      <c r="AQ159" s="69"/>
      <c r="AR159" s="69"/>
      <c r="AS159" s="70">
        <v>380000</v>
      </c>
      <c r="AT159" s="71"/>
      <c r="AU159" s="71"/>
      <c r="AV159" s="71"/>
      <c r="AW159" s="71"/>
      <c r="AX159" s="71"/>
      <c r="AY159" s="71"/>
      <c r="AZ159" s="72"/>
      <c r="BA159" s="70">
        <f t="shared" si="5"/>
        <v>380000</v>
      </c>
      <c r="BB159" s="71"/>
      <c r="BC159" s="71"/>
      <c r="BD159" s="71"/>
      <c r="BE159" s="71"/>
      <c r="BF159" s="71"/>
      <c r="BG159" s="71"/>
      <c r="BH159" s="72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</row>
    <row r="160" spans="1:80" ht="39.6" customHeight="1" x14ac:dyDescent="0.2">
      <c r="A160" s="109">
        <v>5</v>
      </c>
      <c r="B160" s="110"/>
      <c r="C160" s="111"/>
      <c r="D160" s="116" t="s">
        <v>92</v>
      </c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8"/>
      <c r="AK160" s="69"/>
      <c r="AL160" s="69"/>
      <c r="AM160" s="69"/>
      <c r="AN160" s="69"/>
      <c r="AO160" s="69"/>
      <c r="AP160" s="69"/>
      <c r="AQ160" s="69"/>
      <c r="AR160" s="69"/>
      <c r="AS160" s="102">
        <f>SUM(AS161:AZ166)</f>
        <v>4442375</v>
      </c>
      <c r="AT160" s="103"/>
      <c r="AU160" s="103"/>
      <c r="AV160" s="103"/>
      <c r="AW160" s="103"/>
      <c r="AX160" s="103"/>
      <c r="AY160" s="103"/>
      <c r="AZ160" s="104"/>
      <c r="BA160" s="102">
        <f t="shared" si="5"/>
        <v>4442375</v>
      </c>
      <c r="BB160" s="103"/>
      <c r="BC160" s="103"/>
      <c r="BD160" s="103"/>
      <c r="BE160" s="103"/>
      <c r="BF160" s="103"/>
      <c r="BG160" s="103"/>
      <c r="BH160" s="104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</row>
    <row r="161" spans="1:80" ht="18.95" customHeight="1" x14ac:dyDescent="0.2">
      <c r="A161" s="63">
        <v>1</v>
      </c>
      <c r="B161" s="64"/>
      <c r="C161" s="65"/>
      <c r="D161" s="75" t="s">
        <v>267</v>
      </c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69"/>
      <c r="AL161" s="69"/>
      <c r="AM161" s="69"/>
      <c r="AN161" s="69"/>
      <c r="AO161" s="69"/>
      <c r="AP161" s="69"/>
      <c r="AQ161" s="69"/>
      <c r="AR161" s="69"/>
      <c r="AS161" s="70">
        <v>1230000</v>
      </c>
      <c r="AT161" s="71"/>
      <c r="AU161" s="71"/>
      <c r="AV161" s="71"/>
      <c r="AW161" s="71"/>
      <c r="AX161" s="71"/>
      <c r="AY161" s="71"/>
      <c r="AZ161" s="72"/>
      <c r="BA161" s="70">
        <f t="shared" si="5"/>
        <v>1230000</v>
      </c>
      <c r="BB161" s="71"/>
      <c r="BC161" s="71"/>
      <c r="BD161" s="71"/>
      <c r="BE161" s="71"/>
      <c r="BF161" s="71"/>
      <c r="BG161" s="71"/>
      <c r="BH161" s="72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</row>
    <row r="162" spans="1:80" ht="18.95" customHeight="1" x14ac:dyDescent="0.2">
      <c r="A162" s="63">
        <f>A161+1</f>
        <v>2</v>
      </c>
      <c r="B162" s="64"/>
      <c r="C162" s="65"/>
      <c r="D162" s="75" t="s">
        <v>268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69"/>
      <c r="AL162" s="69"/>
      <c r="AM162" s="69"/>
      <c r="AN162" s="69"/>
      <c r="AO162" s="69"/>
      <c r="AP162" s="69"/>
      <c r="AQ162" s="69"/>
      <c r="AR162" s="69"/>
      <c r="AS162" s="70">
        <f>261000-11625</f>
        <v>249375</v>
      </c>
      <c r="AT162" s="71"/>
      <c r="AU162" s="71"/>
      <c r="AV162" s="71"/>
      <c r="AW162" s="71"/>
      <c r="AX162" s="71"/>
      <c r="AY162" s="71"/>
      <c r="AZ162" s="72"/>
      <c r="BA162" s="70">
        <f t="shared" si="5"/>
        <v>249375</v>
      </c>
      <c r="BB162" s="71"/>
      <c r="BC162" s="71"/>
      <c r="BD162" s="71"/>
      <c r="BE162" s="71"/>
      <c r="BF162" s="71"/>
      <c r="BG162" s="71"/>
      <c r="BH162" s="72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</row>
    <row r="163" spans="1:80" ht="18.95" customHeight="1" x14ac:dyDescent="0.2">
      <c r="A163" s="63">
        <f>A162+1</f>
        <v>3</v>
      </c>
      <c r="B163" s="64"/>
      <c r="C163" s="65"/>
      <c r="D163" s="75" t="s">
        <v>269</v>
      </c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69"/>
      <c r="AL163" s="69"/>
      <c r="AM163" s="69"/>
      <c r="AN163" s="69"/>
      <c r="AO163" s="69"/>
      <c r="AP163" s="69"/>
      <c r="AQ163" s="69"/>
      <c r="AR163" s="69"/>
      <c r="AS163" s="70">
        <v>49000</v>
      </c>
      <c r="AT163" s="71"/>
      <c r="AU163" s="71"/>
      <c r="AV163" s="71"/>
      <c r="AW163" s="71"/>
      <c r="AX163" s="71"/>
      <c r="AY163" s="71"/>
      <c r="AZ163" s="72"/>
      <c r="BA163" s="70">
        <f t="shared" ref="BA163:BA189" si="8">AC163+AS163</f>
        <v>49000</v>
      </c>
      <c r="BB163" s="71"/>
      <c r="BC163" s="71"/>
      <c r="BD163" s="71"/>
      <c r="BE163" s="71"/>
      <c r="BF163" s="71"/>
      <c r="BG163" s="71"/>
      <c r="BH163" s="72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</row>
    <row r="164" spans="1:80" ht="18.95" customHeight="1" x14ac:dyDescent="0.2">
      <c r="A164" s="63">
        <f>A163+1</f>
        <v>4</v>
      </c>
      <c r="B164" s="64"/>
      <c r="C164" s="65"/>
      <c r="D164" s="75" t="s">
        <v>292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69"/>
      <c r="AL164" s="69"/>
      <c r="AM164" s="69"/>
      <c r="AN164" s="69"/>
      <c r="AO164" s="69"/>
      <c r="AP164" s="69"/>
      <c r="AQ164" s="69"/>
      <c r="AR164" s="69"/>
      <c r="AS164" s="70">
        <f>348075-34075</f>
        <v>314000</v>
      </c>
      <c r="AT164" s="71"/>
      <c r="AU164" s="71"/>
      <c r="AV164" s="71"/>
      <c r="AW164" s="71"/>
      <c r="AX164" s="71"/>
      <c r="AY164" s="71"/>
      <c r="AZ164" s="72"/>
      <c r="BA164" s="70">
        <f t="shared" si="8"/>
        <v>314000</v>
      </c>
      <c r="BB164" s="71"/>
      <c r="BC164" s="71"/>
      <c r="BD164" s="71"/>
      <c r="BE164" s="71"/>
      <c r="BF164" s="71"/>
      <c r="BG164" s="71"/>
      <c r="BH164" s="72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</row>
    <row r="165" spans="1:80" ht="21.75" hidden="1" customHeight="1" x14ac:dyDescent="0.2">
      <c r="A165" s="63"/>
      <c r="B165" s="64"/>
      <c r="C165" s="65"/>
      <c r="D165" s="75" t="s">
        <v>154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69"/>
      <c r="AL165" s="69"/>
      <c r="AM165" s="69"/>
      <c r="AN165" s="69"/>
      <c r="AO165" s="69"/>
      <c r="AP165" s="69"/>
      <c r="AQ165" s="69"/>
      <c r="AR165" s="69"/>
      <c r="AS165" s="70">
        <f>596000-596000</f>
        <v>0</v>
      </c>
      <c r="AT165" s="71"/>
      <c r="AU165" s="71"/>
      <c r="AV165" s="71"/>
      <c r="AW165" s="71"/>
      <c r="AX165" s="71"/>
      <c r="AY165" s="71"/>
      <c r="AZ165" s="72"/>
      <c r="BA165" s="70">
        <f t="shared" si="8"/>
        <v>0</v>
      </c>
      <c r="BB165" s="71"/>
      <c r="BC165" s="71"/>
      <c r="BD165" s="71"/>
      <c r="BE165" s="71"/>
      <c r="BF165" s="71"/>
      <c r="BG165" s="71"/>
      <c r="BH165" s="72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</row>
    <row r="166" spans="1:80" ht="18.95" customHeight="1" x14ac:dyDescent="0.2">
      <c r="A166" s="63">
        <v>5</v>
      </c>
      <c r="B166" s="64"/>
      <c r="C166" s="65"/>
      <c r="D166" s="75" t="s">
        <v>270</v>
      </c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69"/>
      <c r="AL166" s="69"/>
      <c r="AM166" s="69"/>
      <c r="AN166" s="69"/>
      <c r="AO166" s="69"/>
      <c r="AP166" s="69"/>
      <c r="AQ166" s="69"/>
      <c r="AR166" s="69"/>
      <c r="AS166" s="70">
        <v>2600000</v>
      </c>
      <c r="AT166" s="71"/>
      <c r="AU166" s="71"/>
      <c r="AV166" s="71"/>
      <c r="AW166" s="71"/>
      <c r="AX166" s="71"/>
      <c r="AY166" s="71"/>
      <c r="AZ166" s="72"/>
      <c r="BA166" s="70">
        <f t="shared" si="8"/>
        <v>2600000</v>
      </c>
      <c r="BB166" s="71"/>
      <c r="BC166" s="71"/>
      <c r="BD166" s="71"/>
      <c r="BE166" s="71"/>
      <c r="BF166" s="71"/>
      <c r="BG166" s="71"/>
      <c r="BH166" s="72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</row>
    <row r="167" spans="1:80" ht="20.25" customHeight="1" x14ac:dyDescent="0.2">
      <c r="A167" s="109">
        <v>6</v>
      </c>
      <c r="B167" s="110"/>
      <c r="C167" s="111"/>
      <c r="D167" s="116" t="s">
        <v>93</v>
      </c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8"/>
      <c r="AK167" s="69"/>
      <c r="AL167" s="69"/>
      <c r="AM167" s="69"/>
      <c r="AN167" s="69"/>
      <c r="AO167" s="69"/>
      <c r="AP167" s="69"/>
      <c r="AQ167" s="69"/>
      <c r="AR167" s="69"/>
      <c r="AS167" s="102">
        <f>SUM(AS168:AZ172)</f>
        <v>2365985</v>
      </c>
      <c r="AT167" s="103"/>
      <c r="AU167" s="103"/>
      <c r="AV167" s="103"/>
      <c r="AW167" s="103"/>
      <c r="AX167" s="103"/>
      <c r="AY167" s="103"/>
      <c r="AZ167" s="104"/>
      <c r="BA167" s="102">
        <f t="shared" si="8"/>
        <v>2365985</v>
      </c>
      <c r="BB167" s="103"/>
      <c r="BC167" s="103"/>
      <c r="BD167" s="103"/>
      <c r="BE167" s="103"/>
      <c r="BF167" s="103"/>
      <c r="BG167" s="103"/>
      <c r="BH167" s="104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</row>
    <row r="168" spans="1:80" ht="35.25" customHeight="1" x14ac:dyDescent="0.2">
      <c r="A168" s="63">
        <v>1</v>
      </c>
      <c r="B168" s="64"/>
      <c r="C168" s="65"/>
      <c r="D168" s="75" t="s">
        <v>271</v>
      </c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69"/>
      <c r="AL168" s="69"/>
      <c r="AM168" s="69"/>
      <c r="AN168" s="69"/>
      <c r="AO168" s="69"/>
      <c r="AP168" s="69"/>
      <c r="AQ168" s="69"/>
      <c r="AR168" s="69"/>
      <c r="AS168" s="70">
        <v>1814685</v>
      </c>
      <c r="AT168" s="71"/>
      <c r="AU168" s="71"/>
      <c r="AV168" s="71"/>
      <c r="AW168" s="71"/>
      <c r="AX168" s="71"/>
      <c r="AY168" s="71"/>
      <c r="AZ168" s="72"/>
      <c r="BA168" s="70">
        <f t="shared" si="8"/>
        <v>1814685</v>
      </c>
      <c r="BB168" s="71"/>
      <c r="BC168" s="71"/>
      <c r="BD168" s="71"/>
      <c r="BE168" s="71"/>
      <c r="BF168" s="71"/>
      <c r="BG168" s="71"/>
      <c r="BH168" s="72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</row>
    <row r="169" spans="1:80" ht="18.95" customHeight="1" x14ac:dyDescent="0.2">
      <c r="A169" s="63">
        <f>A168+1</f>
        <v>2</v>
      </c>
      <c r="B169" s="64"/>
      <c r="C169" s="65"/>
      <c r="D169" s="75" t="s">
        <v>272</v>
      </c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69"/>
      <c r="AL169" s="69"/>
      <c r="AM169" s="69"/>
      <c r="AN169" s="69"/>
      <c r="AO169" s="69"/>
      <c r="AP169" s="69"/>
      <c r="AQ169" s="69"/>
      <c r="AR169" s="69"/>
      <c r="AS169" s="70">
        <f>73800-11500</f>
        <v>62300</v>
      </c>
      <c r="AT169" s="71"/>
      <c r="AU169" s="71"/>
      <c r="AV169" s="71"/>
      <c r="AW169" s="71"/>
      <c r="AX169" s="71"/>
      <c r="AY169" s="71"/>
      <c r="AZ169" s="72"/>
      <c r="BA169" s="70">
        <f t="shared" si="8"/>
        <v>62300</v>
      </c>
      <c r="BB169" s="71"/>
      <c r="BC169" s="71"/>
      <c r="BD169" s="71"/>
      <c r="BE169" s="71"/>
      <c r="BF169" s="71"/>
      <c r="BG169" s="71"/>
      <c r="BH169" s="72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</row>
    <row r="170" spans="1:80" ht="36" customHeight="1" x14ac:dyDescent="0.2">
      <c r="A170" s="63">
        <f>A169+1</f>
        <v>3</v>
      </c>
      <c r="B170" s="64"/>
      <c r="C170" s="65"/>
      <c r="D170" s="75" t="s">
        <v>273</v>
      </c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69"/>
      <c r="AL170" s="69"/>
      <c r="AM170" s="69"/>
      <c r="AN170" s="69"/>
      <c r="AO170" s="69"/>
      <c r="AP170" s="69"/>
      <c r="AQ170" s="69"/>
      <c r="AR170" s="69"/>
      <c r="AS170" s="70">
        <v>205000</v>
      </c>
      <c r="AT170" s="71"/>
      <c r="AU170" s="71"/>
      <c r="AV170" s="71"/>
      <c r="AW170" s="71"/>
      <c r="AX170" s="71"/>
      <c r="AY170" s="71"/>
      <c r="AZ170" s="72"/>
      <c r="BA170" s="70">
        <f t="shared" si="8"/>
        <v>205000</v>
      </c>
      <c r="BB170" s="71"/>
      <c r="BC170" s="71"/>
      <c r="BD170" s="71"/>
      <c r="BE170" s="71"/>
      <c r="BF170" s="71"/>
      <c r="BG170" s="71"/>
      <c r="BH170" s="72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</row>
    <row r="171" spans="1:80" ht="18.95" customHeight="1" x14ac:dyDescent="0.2">
      <c r="A171" s="63">
        <f>A170+1</f>
        <v>4</v>
      </c>
      <c r="B171" s="64"/>
      <c r="C171" s="65"/>
      <c r="D171" s="210" t="s">
        <v>274</v>
      </c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2"/>
      <c r="AK171" s="69"/>
      <c r="AL171" s="69"/>
      <c r="AM171" s="69"/>
      <c r="AN171" s="69"/>
      <c r="AO171" s="69"/>
      <c r="AP171" s="69"/>
      <c r="AQ171" s="69"/>
      <c r="AR171" s="69"/>
      <c r="AS171" s="70">
        <f>190000+60000</f>
        <v>250000</v>
      </c>
      <c r="AT171" s="71"/>
      <c r="AU171" s="71"/>
      <c r="AV171" s="71"/>
      <c r="AW171" s="71"/>
      <c r="AX171" s="71"/>
      <c r="AY171" s="71"/>
      <c r="AZ171" s="72"/>
      <c r="BA171" s="70">
        <f t="shared" si="8"/>
        <v>250000</v>
      </c>
      <c r="BB171" s="71"/>
      <c r="BC171" s="71"/>
      <c r="BD171" s="71"/>
      <c r="BE171" s="71"/>
      <c r="BF171" s="71"/>
      <c r="BG171" s="71"/>
      <c r="BH171" s="72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</row>
    <row r="172" spans="1:80" ht="18.95" customHeight="1" x14ac:dyDescent="0.2">
      <c r="A172" s="63">
        <f>A171+1</f>
        <v>5</v>
      </c>
      <c r="B172" s="64"/>
      <c r="C172" s="65"/>
      <c r="D172" s="75" t="s">
        <v>275</v>
      </c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69"/>
      <c r="AL172" s="69"/>
      <c r="AM172" s="69"/>
      <c r="AN172" s="69"/>
      <c r="AO172" s="69"/>
      <c r="AP172" s="69"/>
      <c r="AQ172" s="69"/>
      <c r="AR172" s="69"/>
      <c r="AS172" s="70">
        <f>40000-6000</f>
        <v>34000</v>
      </c>
      <c r="AT172" s="71"/>
      <c r="AU172" s="71"/>
      <c r="AV172" s="71"/>
      <c r="AW172" s="71"/>
      <c r="AX172" s="71"/>
      <c r="AY172" s="71"/>
      <c r="AZ172" s="72"/>
      <c r="BA172" s="70">
        <f t="shared" si="8"/>
        <v>34000</v>
      </c>
      <c r="BB172" s="71"/>
      <c r="BC172" s="71"/>
      <c r="BD172" s="71"/>
      <c r="BE172" s="71"/>
      <c r="BF172" s="71"/>
      <c r="BG172" s="71"/>
      <c r="BH172" s="72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</row>
    <row r="173" spans="1:80" ht="36" customHeight="1" x14ac:dyDescent="0.2">
      <c r="A173" s="109">
        <v>7</v>
      </c>
      <c r="B173" s="110"/>
      <c r="C173" s="111"/>
      <c r="D173" s="116" t="s">
        <v>125</v>
      </c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8"/>
      <c r="AK173" s="69"/>
      <c r="AL173" s="69"/>
      <c r="AM173" s="69"/>
      <c r="AN173" s="69"/>
      <c r="AO173" s="69"/>
      <c r="AP173" s="69"/>
      <c r="AQ173" s="69"/>
      <c r="AR173" s="69"/>
      <c r="AS173" s="102">
        <f>SUM(AS174:AZ177)</f>
        <v>3256678</v>
      </c>
      <c r="AT173" s="103"/>
      <c r="AU173" s="103"/>
      <c r="AV173" s="103"/>
      <c r="AW173" s="103"/>
      <c r="AX173" s="103"/>
      <c r="AY173" s="103"/>
      <c r="AZ173" s="104"/>
      <c r="BA173" s="102">
        <f t="shared" si="8"/>
        <v>3256678</v>
      </c>
      <c r="BB173" s="103"/>
      <c r="BC173" s="103"/>
      <c r="BD173" s="103"/>
      <c r="BE173" s="103"/>
      <c r="BF173" s="103"/>
      <c r="BG173" s="103"/>
      <c r="BH173" s="104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</row>
    <row r="174" spans="1:80" ht="18.95" customHeight="1" x14ac:dyDescent="0.2">
      <c r="A174" s="63">
        <v>1</v>
      </c>
      <c r="B174" s="64"/>
      <c r="C174" s="65"/>
      <c r="D174" s="75" t="s">
        <v>281</v>
      </c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69"/>
      <c r="AL174" s="69"/>
      <c r="AM174" s="69"/>
      <c r="AN174" s="69"/>
      <c r="AO174" s="69"/>
      <c r="AP174" s="69"/>
      <c r="AQ174" s="69"/>
      <c r="AR174" s="69"/>
      <c r="AS174" s="70">
        <f>450000-15000</f>
        <v>435000</v>
      </c>
      <c r="AT174" s="71"/>
      <c r="AU174" s="71"/>
      <c r="AV174" s="71"/>
      <c r="AW174" s="71"/>
      <c r="AX174" s="71"/>
      <c r="AY174" s="71"/>
      <c r="AZ174" s="72"/>
      <c r="BA174" s="70">
        <f t="shared" si="8"/>
        <v>435000</v>
      </c>
      <c r="BB174" s="71"/>
      <c r="BC174" s="71"/>
      <c r="BD174" s="71"/>
      <c r="BE174" s="71"/>
      <c r="BF174" s="71"/>
      <c r="BG174" s="71"/>
      <c r="BH174" s="72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</row>
    <row r="175" spans="1:80" ht="18.95" customHeight="1" x14ac:dyDescent="0.2">
      <c r="A175" s="63">
        <f>A174+1</f>
        <v>2</v>
      </c>
      <c r="B175" s="64"/>
      <c r="C175" s="65"/>
      <c r="D175" s="75" t="s">
        <v>263</v>
      </c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69"/>
      <c r="AL175" s="69"/>
      <c r="AM175" s="69"/>
      <c r="AN175" s="69"/>
      <c r="AO175" s="69"/>
      <c r="AP175" s="69"/>
      <c r="AQ175" s="69"/>
      <c r="AR175" s="69"/>
      <c r="AS175" s="70">
        <v>1523340</v>
      </c>
      <c r="AT175" s="71"/>
      <c r="AU175" s="71"/>
      <c r="AV175" s="71"/>
      <c r="AW175" s="71"/>
      <c r="AX175" s="71"/>
      <c r="AY175" s="71"/>
      <c r="AZ175" s="72"/>
      <c r="BA175" s="70">
        <f t="shared" si="8"/>
        <v>1523340</v>
      </c>
      <c r="BB175" s="71"/>
      <c r="BC175" s="71"/>
      <c r="BD175" s="71"/>
      <c r="BE175" s="71"/>
      <c r="BF175" s="71"/>
      <c r="BG175" s="71"/>
      <c r="BH175" s="72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</row>
    <row r="176" spans="1:80" ht="18.95" customHeight="1" x14ac:dyDescent="0.2">
      <c r="A176" s="63">
        <f>A175+1</f>
        <v>3</v>
      </c>
      <c r="B176" s="64"/>
      <c r="C176" s="65"/>
      <c r="D176" s="75" t="s">
        <v>282</v>
      </c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69"/>
      <c r="AL176" s="69"/>
      <c r="AM176" s="69"/>
      <c r="AN176" s="69"/>
      <c r="AO176" s="69"/>
      <c r="AP176" s="69"/>
      <c r="AQ176" s="69"/>
      <c r="AR176" s="69"/>
      <c r="AS176" s="70">
        <v>1298338</v>
      </c>
      <c r="AT176" s="71"/>
      <c r="AU176" s="71"/>
      <c r="AV176" s="71"/>
      <c r="AW176" s="71"/>
      <c r="AX176" s="71"/>
      <c r="AY176" s="71"/>
      <c r="AZ176" s="72"/>
      <c r="BA176" s="70">
        <f t="shared" si="8"/>
        <v>1298338</v>
      </c>
      <c r="BB176" s="71"/>
      <c r="BC176" s="71"/>
      <c r="BD176" s="71"/>
      <c r="BE176" s="71"/>
      <c r="BF176" s="71"/>
      <c r="BG176" s="71"/>
      <c r="BH176" s="72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</row>
    <row r="177" spans="1:80" ht="38.25" hidden="1" customHeight="1" x14ac:dyDescent="0.2">
      <c r="A177" s="78"/>
      <c r="B177" s="79"/>
      <c r="C177" s="80"/>
      <c r="D177" s="75" t="s">
        <v>147</v>
      </c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69"/>
      <c r="AL177" s="69"/>
      <c r="AM177" s="69"/>
      <c r="AN177" s="69"/>
      <c r="AO177" s="69"/>
      <c r="AP177" s="69"/>
      <c r="AQ177" s="69"/>
      <c r="AR177" s="69"/>
      <c r="AS177" s="70">
        <f>395000-395000</f>
        <v>0</v>
      </c>
      <c r="AT177" s="71"/>
      <c r="AU177" s="71"/>
      <c r="AV177" s="71"/>
      <c r="AW177" s="71"/>
      <c r="AX177" s="71"/>
      <c r="AY177" s="71"/>
      <c r="AZ177" s="72"/>
      <c r="BA177" s="70">
        <f t="shared" si="8"/>
        <v>0</v>
      </c>
      <c r="BB177" s="71"/>
      <c r="BC177" s="71"/>
      <c r="BD177" s="71"/>
      <c r="BE177" s="71"/>
      <c r="BF177" s="71"/>
      <c r="BG177" s="71"/>
      <c r="BH177" s="72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</row>
    <row r="178" spans="1:80" ht="37.5" customHeight="1" x14ac:dyDescent="0.2">
      <c r="A178" s="109">
        <v>8</v>
      </c>
      <c r="B178" s="110"/>
      <c r="C178" s="111"/>
      <c r="D178" s="116" t="s">
        <v>94</v>
      </c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8"/>
      <c r="AK178" s="69"/>
      <c r="AL178" s="69"/>
      <c r="AM178" s="69"/>
      <c r="AN178" s="69"/>
      <c r="AO178" s="69"/>
      <c r="AP178" s="69"/>
      <c r="AQ178" s="69"/>
      <c r="AR178" s="69"/>
      <c r="AS178" s="102">
        <f>SUM(AS179:AZ184)</f>
        <v>25157745</v>
      </c>
      <c r="AT178" s="103"/>
      <c r="AU178" s="103"/>
      <c r="AV178" s="103"/>
      <c r="AW178" s="103"/>
      <c r="AX178" s="103"/>
      <c r="AY178" s="103"/>
      <c r="AZ178" s="104"/>
      <c r="BA178" s="102">
        <f t="shared" si="8"/>
        <v>25157745</v>
      </c>
      <c r="BB178" s="103"/>
      <c r="BC178" s="103"/>
      <c r="BD178" s="103"/>
      <c r="BE178" s="103"/>
      <c r="BF178" s="103"/>
      <c r="BG178" s="103"/>
      <c r="BH178" s="104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</row>
    <row r="179" spans="1:80" ht="32.25" customHeight="1" x14ac:dyDescent="0.2">
      <c r="A179" s="63">
        <v>1</v>
      </c>
      <c r="B179" s="64"/>
      <c r="C179" s="65"/>
      <c r="D179" s="75" t="s">
        <v>276</v>
      </c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69"/>
      <c r="AL179" s="69"/>
      <c r="AM179" s="69"/>
      <c r="AN179" s="69"/>
      <c r="AO179" s="69"/>
      <c r="AP179" s="69"/>
      <c r="AQ179" s="69"/>
      <c r="AR179" s="69"/>
      <c r="AS179" s="70">
        <f>100000+1500000+2000000+900000</f>
        <v>4500000</v>
      </c>
      <c r="AT179" s="71"/>
      <c r="AU179" s="71"/>
      <c r="AV179" s="71"/>
      <c r="AW179" s="71"/>
      <c r="AX179" s="71"/>
      <c r="AY179" s="71"/>
      <c r="AZ179" s="72"/>
      <c r="BA179" s="70">
        <f t="shared" si="8"/>
        <v>4500000</v>
      </c>
      <c r="BB179" s="71"/>
      <c r="BC179" s="71"/>
      <c r="BD179" s="71"/>
      <c r="BE179" s="71"/>
      <c r="BF179" s="71"/>
      <c r="BG179" s="71"/>
      <c r="BH179" s="72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</row>
    <row r="180" spans="1:80" ht="18.95" customHeight="1" x14ac:dyDescent="0.2">
      <c r="A180" s="63">
        <f>A179+1</f>
        <v>2</v>
      </c>
      <c r="B180" s="64"/>
      <c r="C180" s="65"/>
      <c r="D180" s="75" t="s">
        <v>280</v>
      </c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69"/>
      <c r="AL180" s="69"/>
      <c r="AM180" s="69"/>
      <c r="AN180" s="69"/>
      <c r="AO180" s="69"/>
      <c r="AP180" s="69"/>
      <c r="AQ180" s="69"/>
      <c r="AR180" s="69"/>
      <c r="AS180" s="70">
        <f>6000000-1200000+6920000-710000</f>
        <v>11010000</v>
      </c>
      <c r="AT180" s="71"/>
      <c r="AU180" s="71"/>
      <c r="AV180" s="71"/>
      <c r="AW180" s="71"/>
      <c r="AX180" s="71"/>
      <c r="AY180" s="71"/>
      <c r="AZ180" s="72"/>
      <c r="BA180" s="70">
        <f t="shared" si="8"/>
        <v>11010000</v>
      </c>
      <c r="BB180" s="71"/>
      <c r="BC180" s="71"/>
      <c r="BD180" s="71"/>
      <c r="BE180" s="71"/>
      <c r="BF180" s="71"/>
      <c r="BG180" s="71"/>
      <c r="BH180" s="72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</row>
    <row r="181" spans="1:80" ht="18.95" customHeight="1" x14ac:dyDescent="0.2">
      <c r="A181" s="63">
        <f>A180+1</f>
        <v>3</v>
      </c>
      <c r="B181" s="64"/>
      <c r="C181" s="65"/>
      <c r="D181" s="75" t="s">
        <v>277</v>
      </c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69"/>
      <c r="AL181" s="69"/>
      <c r="AM181" s="69"/>
      <c r="AN181" s="69"/>
      <c r="AO181" s="69"/>
      <c r="AP181" s="69"/>
      <c r="AQ181" s="69"/>
      <c r="AR181" s="69"/>
      <c r="AS181" s="70">
        <f>11305000-2146000</f>
        <v>9159000</v>
      </c>
      <c r="AT181" s="71"/>
      <c r="AU181" s="71"/>
      <c r="AV181" s="71"/>
      <c r="AW181" s="71"/>
      <c r="AX181" s="71"/>
      <c r="AY181" s="71"/>
      <c r="AZ181" s="72"/>
      <c r="BA181" s="70">
        <f t="shared" si="8"/>
        <v>9159000</v>
      </c>
      <c r="BB181" s="71"/>
      <c r="BC181" s="71"/>
      <c r="BD181" s="71"/>
      <c r="BE181" s="71"/>
      <c r="BF181" s="71"/>
      <c r="BG181" s="71"/>
      <c r="BH181" s="72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</row>
    <row r="182" spans="1:80" ht="34.5" customHeight="1" x14ac:dyDescent="0.2">
      <c r="A182" s="63">
        <f>A181+1</f>
        <v>4</v>
      </c>
      <c r="B182" s="64"/>
      <c r="C182" s="65"/>
      <c r="D182" s="75" t="s">
        <v>278</v>
      </c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69"/>
      <c r="AL182" s="69"/>
      <c r="AM182" s="69"/>
      <c r="AN182" s="69"/>
      <c r="AO182" s="69"/>
      <c r="AP182" s="69"/>
      <c r="AQ182" s="69"/>
      <c r="AR182" s="69"/>
      <c r="AS182" s="70">
        <v>96120</v>
      </c>
      <c r="AT182" s="71"/>
      <c r="AU182" s="71"/>
      <c r="AV182" s="71"/>
      <c r="AW182" s="71"/>
      <c r="AX182" s="71"/>
      <c r="AY182" s="71"/>
      <c r="AZ182" s="72"/>
      <c r="BA182" s="70">
        <f t="shared" si="8"/>
        <v>96120</v>
      </c>
      <c r="BB182" s="71"/>
      <c r="BC182" s="71"/>
      <c r="BD182" s="71"/>
      <c r="BE182" s="71"/>
      <c r="BF182" s="71"/>
      <c r="BG182" s="71"/>
      <c r="BH182" s="72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</row>
    <row r="183" spans="1:80" ht="18.95" customHeight="1" x14ac:dyDescent="0.2">
      <c r="A183" s="63">
        <f>A182+1</f>
        <v>5</v>
      </c>
      <c r="B183" s="64"/>
      <c r="C183" s="65"/>
      <c r="D183" s="75" t="s">
        <v>279</v>
      </c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69"/>
      <c r="AL183" s="69"/>
      <c r="AM183" s="69"/>
      <c r="AN183" s="69"/>
      <c r="AO183" s="69"/>
      <c r="AP183" s="69"/>
      <c r="AQ183" s="69"/>
      <c r="AR183" s="69"/>
      <c r="AS183" s="70">
        <f>392625</f>
        <v>392625</v>
      </c>
      <c r="AT183" s="71"/>
      <c r="AU183" s="71"/>
      <c r="AV183" s="71"/>
      <c r="AW183" s="71"/>
      <c r="AX183" s="71"/>
      <c r="AY183" s="71"/>
      <c r="AZ183" s="72"/>
      <c r="BA183" s="70">
        <f>AC183+AS183</f>
        <v>392625</v>
      </c>
      <c r="BB183" s="71"/>
      <c r="BC183" s="71"/>
      <c r="BD183" s="71"/>
      <c r="BE183" s="71"/>
      <c r="BF183" s="71"/>
      <c r="BG183" s="71"/>
      <c r="BH183" s="72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</row>
    <row r="184" spans="1:80" ht="33" hidden="1" customHeight="1" x14ac:dyDescent="0.2">
      <c r="A184" s="78"/>
      <c r="B184" s="79"/>
      <c r="C184" s="80"/>
      <c r="D184" s="75" t="s">
        <v>148</v>
      </c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69"/>
      <c r="AL184" s="69"/>
      <c r="AM184" s="69"/>
      <c r="AN184" s="69"/>
      <c r="AO184" s="69"/>
      <c r="AP184" s="69"/>
      <c r="AQ184" s="69"/>
      <c r="AR184" s="69"/>
      <c r="AS184" s="70">
        <f>6000000-6000000</f>
        <v>0</v>
      </c>
      <c r="AT184" s="71"/>
      <c r="AU184" s="71"/>
      <c r="AV184" s="71"/>
      <c r="AW184" s="71"/>
      <c r="AX184" s="71"/>
      <c r="AY184" s="71"/>
      <c r="AZ184" s="72"/>
      <c r="BA184" s="70">
        <f t="shared" si="8"/>
        <v>0</v>
      </c>
      <c r="BB184" s="71"/>
      <c r="BC184" s="71"/>
      <c r="BD184" s="71"/>
      <c r="BE184" s="71"/>
      <c r="BF184" s="71"/>
      <c r="BG184" s="71"/>
      <c r="BH184" s="72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</row>
    <row r="185" spans="1:80" ht="22.5" customHeight="1" x14ac:dyDescent="0.2">
      <c r="A185" s="109">
        <v>9</v>
      </c>
      <c r="B185" s="110"/>
      <c r="C185" s="111"/>
      <c r="D185" s="116" t="s">
        <v>95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8"/>
      <c r="AK185" s="69"/>
      <c r="AL185" s="69"/>
      <c r="AM185" s="69"/>
      <c r="AN185" s="69"/>
      <c r="AO185" s="69"/>
      <c r="AP185" s="69"/>
      <c r="AQ185" s="69"/>
      <c r="AR185" s="69"/>
      <c r="AS185" s="102">
        <f>AS186</f>
        <v>6112980</v>
      </c>
      <c r="AT185" s="103"/>
      <c r="AU185" s="103"/>
      <c r="AV185" s="103"/>
      <c r="AW185" s="103"/>
      <c r="AX185" s="103"/>
      <c r="AY185" s="103"/>
      <c r="AZ185" s="104"/>
      <c r="BA185" s="102">
        <f t="shared" si="8"/>
        <v>6112980</v>
      </c>
      <c r="BB185" s="103"/>
      <c r="BC185" s="103"/>
      <c r="BD185" s="103"/>
      <c r="BE185" s="103"/>
      <c r="BF185" s="103"/>
      <c r="BG185" s="103"/>
      <c r="BH185" s="104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</row>
    <row r="186" spans="1:80" ht="20.25" customHeight="1" x14ac:dyDescent="0.2">
      <c r="A186" s="63">
        <v>1</v>
      </c>
      <c r="B186" s="64"/>
      <c r="C186" s="65"/>
      <c r="D186" s="75" t="s">
        <v>283</v>
      </c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69"/>
      <c r="AL186" s="69"/>
      <c r="AM186" s="69"/>
      <c r="AN186" s="69"/>
      <c r="AO186" s="69"/>
      <c r="AP186" s="69"/>
      <c r="AQ186" s="69"/>
      <c r="AR186" s="69"/>
      <c r="AS186" s="70">
        <f>6007800+105180</f>
        <v>6112980</v>
      </c>
      <c r="AT186" s="71"/>
      <c r="AU186" s="71"/>
      <c r="AV186" s="71"/>
      <c r="AW186" s="71"/>
      <c r="AX186" s="71"/>
      <c r="AY186" s="71"/>
      <c r="AZ186" s="72"/>
      <c r="BA186" s="70">
        <f t="shared" si="8"/>
        <v>6112980</v>
      </c>
      <c r="BB186" s="71"/>
      <c r="BC186" s="71"/>
      <c r="BD186" s="71"/>
      <c r="BE186" s="71"/>
      <c r="BF186" s="71"/>
      <c r="BG186" s="71"/>
      <c r="BH186" s="72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</row>
    <row r="187" spans="1:80" ht="24.75" customHeight="1" x14ac:dyDescent="0.2">
      <c r="A187" s="109">
        <v>10</v>
      </c>
      <c r="B187" s="110"/>
      <c r="C187" s="111"/>
      <c r="D187" s="116" t="s">
        <v>143</v>
      </c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8"/>
      <c r="AK187" s="69"/>
      <c r="AL187" s="69"/>
      <c r="AM187" s="69"/>
      <c r="AN187" s="69"/>
      <c r="AO187" s="69"/>
      <c r="AP187" s="69"/>
      <c r="AQ187" s="69"/>
      <c r="AR187" s="69"/>
      <c r="AS187" s="102">
        <f>AS188</f>
        <v>481000</v>
      </c>
      <c r="AT187" s="103"/>
      <c r="AU187" s="103"/>
      <c r="AV187" s="103"/>
      <c r="AW187" s="103"/>
      <c r="AX187" s="103"/>
      <c r="AY187" s="103"/>
      <c r="AZ187" s="104"/>
      <c r="BA187" s="102">
        <f t="shared" si="8"/>
        <v>481000</v>
      </c>
      <c r="BB187" s="103"/>
      <c r="BC187" s="103"/>
      <c r="BD187" s="103"/>
      <c r="BE187" s="103"/>
      <c r="BF187" s="103"/>
      <c r="BG187" s="103"/>
      <c r="BH187" s="104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</row>
    <row r="188" spans="1:80" ht="20.25" customHeight="1" x14ac:dyDescent="0.2">
      <c r="A188" s="63">
        <v>1</v>
      </c>
      <c r="B188" s="64"/>
      <c r="C188" s="65"/>
      <c r="D188" s="75" t="s">
        <v>284</v>
      </c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69"/>
      <c r="AL188" s="69"/>
      <c r="AM188" s="69"/>
      <c r="AN188" s="69"/>
      <c r="AO188" s="69"/>
      <c r="AP188" s="69"/>
      <c r="AQ188" s="69"/>
      <c r="AR188" s="69"/>
      <c r="AS188" s="70">
        <v>481000</v>
      </c>
      <c r="AT188" s="71"/>
      <c r="AU188" s="71"/>
      <c r="AV188" s="71"/>
      <c r="AW188" s="71"/>
      <c r="AX188" s="71"/>
      <c r="AY188" s="71"/>
      <c r="AZ188" s="72"/>
      <c r="BA188" s="70">
        <f t="shared" si="8"/>
        <v>481000</v>
      </c>
      <c r="BB188" s="71"/>
      <c r="BC188" s="71"/>
      <c r="BD188" s="71"/>
      <c r="BE188" s="71"/>
      <c r="BF188" s="71"/>
      <c r="BG188" s="71"/>
      <c r="BH188" s="72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</row>
    <row r="189" spans="1:80" s="2" customFormat="1" ht="21" customHeight="1" x14ac:dyDescent="0.2">
      <c r="A189" s="126"/>
      <c r="B189" s="126"/>
      <c r="C189" s="126"/>
      <c r="D189" s="229" t="s">
        <v>47</v>
      </c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1"/>
      <c r="AK189" s="247">
        <v>0</v>
      </c>
      <c r="AL189" s="247"/>
      <c r="AM189" s="247"/>
      <c r="AN189" s="247"/>
      <c r="AO189" s="247"/>
      <c r="AP189" s="247"/>
      <c r="AQ189" s="247"/>
      <c r="AR189" s="247"/>
      <c r="AS189" s="102">
        <f>AS56+AS107+AS132+AS150+AS160+AS167+AS173+AS178+AS185+AS187</f>
        <v>321573606.60000002</v>
      </c>
      <c r="AT189" s="103"/>
      <c r="AU189" s="103"/>
      <c r="AV189" s="103"/>
      <c r="AW189" s="103"/>
      <c r="AX189" s="103"/>
      <c r="AY189" s="103"/>
      <c r="AZ189" s="104"/>
      <c r="BA189" s="102">
        <f t="shared" si="8"/>
        <v>321573606.60000002</v>
      </c>
      <c r="BB189" s="103"/>
      <c r="BC189" s="103"/>
      <c r="BD189" s="103"/>
      <c r="BE189" s="103"/>
      <c r="BF189" s="103"/>
      <c r="BG189" s="103"/>
      <c r="BH189" s="104"/>
      <c r="BQ189" s="50"/>
      <c r="BR189" s="50"/>
      <c r="BS189" s="50"/>
      <c r="BT189" s="49">
        <f>43539904</f>
        <v>43539904</v>
      </c>
      <c r="BU189" s="50"/>
      <c r="BV189" s="49">
        <f>AS189-BT189</f>
        <v>278033702.60000002</v>
      </c>
      <c r="BW189" s="50"/>
      <c r="BX189" s="50"/>
      <c r="BY189" s="50"/>
      <c r="BZ189" s="50"/>
      <c r="CA189" s="50"/>
      <c r="CB189" s="50"/>
    </row>
    <row r="190" spans="1:80" ht="12.75" customHeight="1" x14ac:dyDescent="0.2"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</row>
    <row r="191" spans="1:80" ht="15.75" customHeight="1" x14ac:dyDescent="0.2">
      <c r="A191" s="122" t="s">
        <v>25</v>
      </c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</row>
    <row r="192" spans="1:80" ht="17.25" customHeigh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Z192" s="3"/>
      <c r="BA192" s="169" t="s">
        <v>62</v>
      </c>
      <c r="BB192" s="169"/>
      <c r="BC192" s="169"/>
      <c r="BD192" s="169"/>
      <c r="BE192" s="169"/>
      <c r="BF192" s="169"/>
      <c r="BG192" s="169"/>
      <c r="BH192" s="169"/>
      <c r="BI192" s="3"/>
      <c r="BJ192" s="3"/>
      <c r="BK192" s="3"/>
      <c r="BL192" s="3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</row>
    <row r="193" spans="1:80" ht="12" customHeight="1" x14ac:dyDescent="0.2">
      <c r="A193" s="88" t="s">
        <v>14</v>
      </c>
      <c r="B193" s="88"/>
      <c r="C193" s="88"/>
      <c r="D193" s="88" t="s">
        <v>17</v>
      </c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 t="s">
        <v>15</v>
      </c>
      <c r="AL193" s="88"/>
      <c r="AM193" s="88"/>
      <c r="AN193" s="88"/>
      <c r="AO193" s="88"/>
      <c r="AP193" s="88"/>
      <c r="AQ193" s="88"/>
      <c r="AR193" s="88"/>
      <c r="AS193" s="88" t="s">
        <v>16</v>
      </c>
      <c r="AT193" s="88"/>
      <c r="AU193" s="88"/>
      <c r="AV193" s="88"/>
      <c r="AW193" s="88"/>
      <c r="AX193" s="88"/>
      <c r="AY193" s="88"/>
      <c r="AZ193" s="88"/>
      <c r="BA193" s="88" t="s">
        <v>13</v>
      </c>
      <c r="BB193" s="88"/>
      <c r="BC193" s="88"/>
      <c r="BD193" s="88"/>
      <c r="BE193" s="88"/>
      <c r="BF193" s="88"/>
      <c r="BG193" s="88"/>
      <c r="BH193" s="88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</row>
    <row r="194" spans="1:80" ht="12" customHeight="1" x14ac:dyDescent="0.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</row>
    <row r="195" spans="1:80" ht="15.75" customHeight="1" x14ac:dyDescent="0.2">
      <c r="A195" s="88">
        <v>1</v>
      </c>
      <c r="B195" s="88"/>
      <c r="C195" s="88"/>
      <c r="D195" s="88">
        <v>2</v>
      </c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>
        <v>3</v>
      </c>
      <c r="AL195" s="88"/>
      <c r="AM195" s="88"/>
      <c r="AN195" s="88"/>
      <c r="AO195" s="88"/>
      <c r="AP195" s="88"/>
      <c r="AQ195" s="88"/>
      <c r="AR195" s="88"/>
      <c r="AS195" s="88">
        <v>4</v>
      </c>
      <c r="AT195" s="88"/>
      <c r="AU195" s="88"/>
      <c r="AV195" s="88"/>
      <c r="AW195" s="88"/>
      <c r="AX195" s="88"/>
      <c r="AY195" s="88"/>
      <c r="AZ195" s="88"/>
      <c r="BA195" s="88">
        <v>5</v>
      </c>
      <c r="BB195" s="88"/>
      <c r="BC195" s="88"/>
      <c r="BD195" s="88"/>
      <c r="BE195" s="88"/>
      <c r="BF195" s="88"/>
      <c r="BG195" s="88"/>
      <c r="BH195" s="88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</row>
    <row r="196" spans="1:80" ht="35.25" customHeight="1" x14ac:dyDescent="0.2">
      <c r="A196" s="88">
        <v>1</v>
      </c>
      <c r="B196" s="88"/>
      <c r="C196" s="88"/>
      <c r="D196" s="105" t="s">
        <v>85</v>
      </c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89">
        <v>0</v>
      </c>
      <c r="AL196" s="90"/>
      <c r="AM196" s="90"/>
      <c r="AN196" s="90"/>
      <c r="AO196" s="90"/>
      <c r="AP196" s="90"/>
      <c r="AQ196" s="90"/>
      <c r="AR196" s="91"/>
      <c r="AS196" s="89">
        <f>108523+330000</f>
        <v>438523</v>
      </c>
      <c r="AT196" s="90"/>
      <c r="AU196" s="90"/>
      <c r="AV196" s="90"/>
      <c r="AW196" s="90"/>
      <c r="AX196" s="90"/>
      <c r="AY196" s="90"/>
      <c r="AZ196" s="91"/>
      <c r="BA196" s="89">
        <f t="shared" ref="BA196:BA207" si="9">AK196+AS196</f>
        <v>438523</v>
      </c>
      <c r="BB196" s="90"/>
      <c r="BC196" s="90"/>
      <c r="BD196" s="90"/>
      <c r="BE196" s="90"/>
      <c r="BF196" s="90"/>
      <c r="BG196" s="90"/>
      <c r="BH196" s="91"/>
      <c r="BP196" s="47">
        <v>330000</v>
      </c>
      <c r="BQ196" s="47"/>
      <c r="BR196" s="47"/>
      <c r="BS196" s="47"/>
      <c r="BT196" s="47">
        <v>10663878</v>
      </c>
      <c r="BU196" s="47"/>
      <c r="BV196" s="48">
        <f>BT196-AS196</f>
        <v>10225355</v>
      </c>
      <c r="BW196" s="47"/>
      <c r="BX196" s="47"/>
      <c r="BY196" s="47"/>
      <c r="BZ196" s="47"/>
      <c r="CA196" s="47"/>
      <c r="CB196" s="47"/>
    </row>
    <row r="197" spans="1:80" ht="36.75" customHeight="1" x14ac:dyDescent="0.2">
      <c r="A197" s="88">
        <v>2</v>
      </c>
      <c r="B197" s="88"/>
      <c r="C197" s="88"/>
      <c r="D197" s="105" t="s">
        <v>296</v>
      </c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89">
        <v>0</v>
      </c>
      <c r="AL197" s="90"/>
      <c r="AM197" s="90"/>
      <c r="AN197" s="90"/>
      <c r="AO197" s="90"/>
      <c r="AP197" s="90"/>
      <c r="AQ197" s="90"/>
      <c r="AR197" s="91"/>
      <c r="AS197" s="89">
        <f>AS56</f>
        <v>122361973.59999999</v>
      </c>
      <c r="AT197" s="90"/>
      <c r="AU197" s="90"/>
      <c r="AV197" s="90"/>
      <c r="AW197" s="90"/>
      <c r="AX197" s="90"/>
      <c r="AY197" s="90"/>
      <c r="AZ197" s="91"/>
      <c r="BA197" s="89">
        <f t="shared" si="9"/>
        <v>122361973.59999999</v>
      </c>
      <c r="BB197" s="90"/>
      <c r="BC197" s="90"/>
      <c r="BD197" s="90"/>
      <c r="BE197" s="90"/>
      <c r="BF197" s="90"/>
      <c r="BG197" s="90"/>
      <c r="BH197" s="91"/>
      <c r="BP197" s="47"/>
      <c r="BQ197" s="47"/>
      <c r="BR197" s="47"/>
      <c r="BS197" s="47"/>
      <c r="BT197" s="47">
        <v>134096637.59999999</v>
      </c>
      <c r="BU197" s="47"/>
      <c r="BV197" s="48">
        <f t="shared" ref="BV197:BV206" si="10">BT197-AS197</f>
        <v>11734664</v>
      </c>
      <c r="BW197" s="47"/>
      <c r="BX197" s="47"/>
      <c r="BY197" s="47"/>
      <c r="BZ197" s="47"/>
      <c r="CA197" s="47"/>
      <c r="CB197" s="47"/>
    </row>
    <row r="198" spans="1:80" ht="34.5" customHeight="1" x14ac:dyDescent="0.2">
      <c r="A198" s="88">
        <v>3</v>
      </c>
      <c r="B198" s="88"/>
      <c r="C198" s="88"/>
      <c r="D198" s="105" t="s">
        <v>295</v>
      </c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89">
        <v>0</v>
      </c>
      <c r="AL198" s="90"/>
      <c r="AM198" s="90"/>
      <c r="AN198" s="90"/>
      <c r="AO198" s="90"/>
      <c r="AP198" s="90"/>
      <c r="AQ198" s="90"/>
      <c r="AR198" s="91"/>
      <c r="AS198" s="89">
        <f>AS107</f>
        <v>81260262</v>
      </c>
      <c r="AT198" s="90"/>
      <c r="AU198" s="90"/>
      <c r="AV198" s="90"/>
      <c r="AW198" s="90"/>
      <c r="AX198" s="90"/>
      <c r="AY198" s="90"/>
      <c r="AZ198" s="91"/>
      <c r="BA198" s="89">
        <f t="shared" si="9"/>
        <v>81260262</v>
      </c>
      <c r="BB198" s="90"/>
      <c r="BC198" s="90"/>
      <c r="BD198" s="90"/>
      <c r="BE198" s="90"/>
      <c r="BF198" s="90"/>
      <c r="BG198" s="90"/>
      <c r="BH198" s="91"/>
      <c r="BP198" s="47"/>
      <c r="BQ198" s="47"/>
      <c r="BR198" s="47"/>
      <c r="BS198" s="47"/>
      <c r="BT198" s="47">
        <v>85791167</v>
      </c>
      <c r="BU198" s="47"/>
      <c r="BV198" s="48">
        <f t="shared" si="10"/>
        <v>4530905</v>
      </c>
      <c r="BW198" s="47"/>
      <c r="BX198" s="47"/>
      <c r="BY198" s="47"/>
      <c r="BZ198" s="47"/>
      <c r="CA198" s="47"/>
      <c r="CB198" s="47"/>
    </row>
    <row r="199" spans="1:80" ht="33" customHeight="1" x14ac:dyDescent="0.2">
      <c r="A199" s="88">
        <v>4</v>
      </c>
      <c r="B199" s="88"/>
      <c r="C199" s="88"/>
      <c r="D199" s="105" t="s">
        <v>138</v>
      </c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89">
        <v>0</v>
      </c>
      <c r="AL199" s="90"/>
      <c r="AM199" s="90"/>
      <c r="AN199" s="90"/>
      <c r="AO199" s="90"/>
      <c r="AP199" s="90"/>
      <c r="AQ199" s="90"/>
      <c r="AR199" s="91"/>
      <c r="AS199" s="89">
        <f>AS132-108523-330000</f>
        <v>64340805</v>
      </c>
      <c r="AT199" s="90"/>
      <c r="AU199" s="90"/>
      <c r="AV199" s="90"/>
      <c r="AW199" s="90"/>
      <c r="AX199" s="90"/>
      <c r="AY199" s="90"/>
      <c r="AZ199" s="91"/>
      <c r="BA199" s="89">
        <f t="shared" si="9"/>
        <v>64340805</v>
      </c>
      <c r="BB199" s="90"/>
      <c r="BC199" s="90"/>
      <c r="BD199" s="90"/>
      <c r="BE199" s="90"/>
      <c r="BF199" s="90"/>
      <c r="BG199" s="90"/>
      <c r="BH199" s="91"/>
      <c r="BP199" s="47">
        <v>-330000</v>
      </c>
      <c r="BQ199" s="47"/>
      <c r="BR199" s="47"/>
      <c r="BS199" s="47"/>
      <c r="BT199" s="47">
        <v>71680230</v>
      </c>
      <c r="BU199" s="47"/>
      <c r="BV199" s="48">
        <f t="shared" si="10"/>
        <v>7339425</v>
      </c>
      <c r="BW199" s="47"/>
      <c r="BX199" s="47"/>
      <c r="BY199" s="47"/>
      <c r="BZ199" s="47"/>
      <c r="CA199" s="47"/>
      <c r="CB199" s="47"/>
    </row>
    <row r="200" spans="1:80" ht="35.25" customHeight="1" x14ac:dyDescent="0.2">
      <c r="A200" s="88">
        <v>5</v>
      </c>
      <c r="B200" s="88"/>
      <c r="C200" s="88"/>
      <c r="D200" s="105" t="s">
        <v>299</v>
      </c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89">
        <v>0</v>
      </c>
      <c r="AL200" s="90"/>
      <c r="AM200" s="90"/>
      <c r="AN200" s="90"/>
      <c r="AO200" s="90"/>
      <c r="AP200" s="90"/>
      <c r="AQ200" s="90"/>
      <c r="AR200" s="91"/>
      <c r="AS200" s="89">
        <f>AS150</f>
        <v>11355280</v>
      </c>
      <c r="AT200" s="90"/>
      <c r="AU200" s="90"/>
      <c r="AV200" s="90"/>
      <c r="AW200" s="90"/>
      <c r="AX200" s="90"/>
      <c r="AY200" s="90"/>
      <c r="AZ200" s="91"/>
      <c r="BA200" s="89">
        <f t="shared" si="9"/>
        <v>11355280</v>
      </c>
      <c r="BB200" s="90"/>
      <c r="BC200" s="90"/>
      <c r="BD200" s="90"/>
      <c r="BE200" s="90"/>
      <c r="BF200" s="90"/>
      <c r="BG200" s="90"/>
      <c r="BH200" s="91"/>
      <c r="BP200" s="47"/>
      <c r="BQ200" s="47"/>
      <c r="BR200" s="47"/>
      <c r="BS200" s="47"/>
      <c r="BT200" s="47">
        <v>11550330</v>
      </c>
      <c r="BU200" s="47"/>
      <c r="BV200" s="48">
        <f t="shared" si="10"/>
        <v>195050</v>
      </c>
      <c r="BW200" s="47"/>
      <c r="BX200" s="47"/>
      <c r="BY200" s="47"/>
      <c r="BZ200" s="47"/>
      <c r="CA200" s="47"/>
      <c r="CB200" s="47"/>
    </row>
    <row r="201" spans="1:80" ht="35.25" customHeight="1" x14ac:dyDescent="0.2">
      <c r="A201" s="88">
        <v>6</v>
      </c>
      <c r="B201" s="88"/>
      <c r="C201" s="88"/>
      <c r="D201" s="81" t="s">
        <v>304</v>
      </c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3"/>
      <c r="AK201" s="89">
        <v>0</v>
      </c>
      <c r="AL201" s="90"/>
      <c r="AM201" s="90"/>
      <c r="AN201" s="90"/>
      <c r="AO201" s="90"/>
      <c r="AP201" s="90"/>
      <c r="AQ201" s="90"/>
      <c r="AR201" s="91"/>
      <c r="AS201" s="89">
        <f>AW320</f>
        <v>4442375</v>
      </c>
      <c r="AT201" s="90"/>
      <c r="AU201" s="90"/>
      <c r="AV201" s="90"/>
      <c r="AW201" s="90"/>
      <c r="AX201" s="90"/>
      <c r="AY201" s="90"/>
      <c r="AZ201" s="91"/>
      <c r="BA201" s="89">
        <f>AK201+AS201</f>
        <v>4442375</v>
      </c>
      <c r="BB201" s="90"/>
      <c r="BC201" s="90"/>
      <c r="BD201" s="90"/>
      <c r="BE201" s="90"/>
      <c r="BF201" s="90"/>
      <c r="BG201" s="90"/>
      <c r="BH201" s="91"/>
      <c r="BP201" s="47"/>
      <c r="BQ201" s="47"/>
      <c r="BR201" s="47"/>
      <c r="BS201" s="47"/>
      <c r="BT201" s="47"/>
      <c r="BU201" s="47"/>
      <c r="BV201" s="48"/>
      <c r="BW201" s="47"/>
      <c r="BX201" s="47"/>
      <c r="BY201" s="47"/>
      <c r="BZ201" s="47"/>
      <c r="CA201" s="47"/>
      <c r="CB201" s="47"/>
    </row>
    <row r="202" spans="1:80" ht="34.5" customHeight="1" x14ac:dyDescent="0.2">
      <c r="A202" s="88">
        <v>7</v>
      </c>
      <c r="B202" s="88"/>
      <c r="C202" s="88"/>
      <c r="D202" s="105" t="s">
        <v>139</v>
      </c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89">
        <v>0</v>
      </c>
      <c r="AL202" s="90"/>
      <c r="AM202" s="90"/>
      <c r="AN202" s="90"/>
      <c r="AO202" s="90"/>
      <c r="AP202" s="90"/>
      <c r="AQ202" s="90"/>
      <c r="AR202" s="91"/>
      <c r="AS202" s="89">
        <f>AS167</f>
        <v>2365985</v>
      </c>
      <c r="AT202" s="90"/>
      <c r="AU202" s="90"/>
      <c r="AV202" s="90"/>
      <c r="AW202" s="90"/>
      <c r="AX202" s="90"/>
      <c r="AY202" s="90"/>
      <c r="AZ202" s="91"/>
      <c r="BA202" s="89">
        <f t="shared" si="9"/>
        <v>2365985</v>
      </c>
      <c r="BB202" s="90"/>
      <c r="BC202" s="90"/>
      <c r="BD202" s="90"/>
      <c r="BE202" s="90"/>
      <c r="BF202" s="90"/>
      <c r="BG202" s="90"/>
      <c r="BH202" s="91"/>
      <c r="BQ202" s="47"/>
      <c r="BR202" s="47"/>
      <c r="BS202" s="47"/>
      <c r="BT202" s="47">
        <v>2365985</v>
      </c>
      <c r="BU202" s="47"/>
      <c r="BV202" s="48">
        <f t="shared" si="10"/>
        <v>0</v>
      </c>
      <c r="BW202" s="47"/>
      <c r="BX202" s="47"/>
      <c r="BY202" s="47"/>
      <c r="BZ202" s="47"/>
      <c r="CA202" s="47"/>
      <c r="CB202" s="47"/>
    </row>
    <row r="203" spans="1:80" ht="33" customHeight="1" x14ac:dyDescent="0.2">
      <c r="A203" s="88">
        <v>8</v>
      </c>
      <c r="B203" s="88"/>
      <c r="C203" s="88"/>
      <c r="D203" s="105" t="s">
        <v>140</v>
      </c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89">
        <v>0</v>
      </c>
      <c r="AL203" s="90"/>
      <c r="AM203" s="90"/>
      <c r="AN203" s="90"/>
      <c r="AO203" s="90"/>
      <c r="AP203" s="90"/>
      <c r="AQ203" s="90"/>
      <c r="AR203" s="91"/>
      <c r="AS203" s="89">
        <f>AS173</f>
        <v>3256678</v>
      </c>
      <c r="AT203" s="90"/>
      <c r="AU203" s="90"/>
      <c r="AV203" s="90"/>
      <c r="AW203" s="90"/>
      <c r="AX203" s="90"/>
      <c r="AY203" s="90"/>
      <c r="AZ203" s="91"/>
      <c r="BA203" s="89">
        <f t="shared" si="9"/>
        <v>3256678</v>
      </c>
      <c r="BB203" s="90"/>
      <c r="BC203" s="90"/>
      <c r="BD203" s="90"/>
      <c r="BE203" s="90"/>
      <c r="BF203" s="90"/>
      <c r="BG203" s="90"/>
      <c r="BH203" s="91"/>
      <c r="BQ203" s="47"/>
      <c r="BR203" s="47"/>
      <c r="BS203" s="47"/>
      <c r="BT203" s="47">
        <v>3256678</v>
      </c>
      <c r="BU203" s="47"/>
      <c r="BV203" s="48">
        <f t="shared" si="10"/>
        <v>0</v>
      </c>
      <c r="BW203" s="47"/>
      <c r="BX203" s="47"/>
      <c r="BY203" s="47"/>
      <c r="BZ203" s="47"/>
      <c r="CA203" s="47"/>
      <c r="CB203" s="47"/>
    </row>
    <row r="204" spans="1:80" ht="34.5" customHeight="1" x14ac:dyDescent="0.2">
      <c r="A204" s="88">
        <v>9</v>
      </c>
      <c r="B204" s="88"/>
      <c r="C204" s="88"/>
      <c r="D204" s="105" t="s">
        <v>297</v>
      </c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89">
        <v>0</v>
      </c>
      <c r="AL204" s="90"/>
      <c r="AM204" s="90"/>
      <c r="AN204" s="90"/>
      <c r="AO204" s="90"/>
      <c r="AP204" s="90"/>
      <c r="AQ204" s="90"/>
      <c r="AR204" s="91"/>
      <c r="AS204" s="89">
        <f>AS178</f>
        <v>25157745</v>
      </c>
      <c r="AT204" s="90"/>
      <c r="AU204" s="90"/>
      <c r="AV204" s="90"/>
      <c r="AW204" s="90"/>
      <c r="AX204" s="90"/>
      <c r="AY204" s="90"/>
      <c r="AZ204" s="91"/>
      <c r="BA204" s="89">
        <f t="shared" si="9"/>
        <v>25157745</v>
      </c>
      <c r="BB204" s="90"/>
      <c r="BC204" s="90"/>
      <c r="BD204" s="90"/>
      <c r="BE204" s="90"/>
      <c r="BF204" s="90"/>
      <c r="BG204" s="90"/>
      <c r="BH204" s="91"/>
      <c r="BQ204" s="47"/>
      <c r="BR204" s="47"/>
      <c r="BS204" s="47"/>
      <c r="BT204" s="47">
        <v>24721120</v>
      </c>
      <c r="BU204" s="47"/>
      <c r="BV204" s="48">
        <f t="shared" si="10"/>
        <v>-436625</v>
      </c>
      <c r="BW204" s="47"/>
      <c r="BX204" s="47"/>
      <c r="BY204" s="47"/>
      <c r="BZ204" s="47"/>
      <c r="CA204" s="47"/>
      <c r="CB204" s="47"/>
    </row>
    <row r="205" spans="1:80" ht="34.5" customHeight="1" x14ac:dyDescent="0.2">
      <c r="A205" s="88">
        <v>10</v>
      </c>
      <c r="B205" s="88"/>
      <c r="C205" s="88"/>
      <c r="D205" s="213" t="s">
        <v>157</v>
      </c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/>
      <c r="AG205" s="214"/>
      <c r="AH205" s="214"/>
      <c r="AI205" s="214"/>
      <c r="AJ205" s="215"/>
      <c r="AK205" s="89">
        <v>0</v>
      </c>
      <c r="AL205" s="90"/>
      <c r="AM205" s="90"/>
      <c r="AN205" s="90"/>
      <c r="AO205" s="90"/>
      <c r="AP205" s="90"/>
      <c r="AQ205" s="90"/>
      <c r="AR205" s="91"/>
      <c r="AS205" s="89">
        <f>AW392</f>
        <v>6112980</v>
      </c>
      <c r="AT205" s="90"/>
      <c r="AU205" s="90"/>
      <c r="AV205" s="90"/>
      <c r="AW205" s="90"/>
      <c r="AX205" s="90"/>
      <c r="AY205" s="90"/>
      <c r="AZ205" s="91"/>
      <c r="BA205" s="89">
        <f>AK205+AS205</f>
        <v>6112980</v>
      </c>
      <c r="BB205" s="90"/>
      <c r="BC205" s="90"/>
      <c r="BD205" s="90"/>
      <c r="BE205" s="90"/>
      <c r="BF205" s="90"/>
      <c r="BG205" s="90"/>
      <c r="BH205" s="91"/>
      <c r="BQ205" s="47"/>
      <c r="BR205" s="47"/>
      <c r="BS205" s="47"/>
      <c r="BT205" s="47"/>
      <c r="BU205" s="47"/>
      <c r="BV205" s="48">
        <f>BT205-AS205</f>
        <v>-6112980</v>
      </c>
      <c r="BW205" s="47"/>
      <c r="BX205" s="47"/>
      <c r="BY205" s="47"/>
      <c r="BZ205" s="47"/>
      <c r="CA205" s="47"/>
      <c r="CB205" s="47"/>
    </row>
    <row r="206" spans="1:80" ht="34.5" customHeight="1" x14ac:dyDescent="0.2">
      <c r="A206" s="88">
        <v>11</v>
      </c>
      <c r="B206" s="88"/>
      <c r="C206" s="88"/>
      <c r="D206" s="105" t="s">
        <v>298</v>
      </c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89">
        <v>0</v>
      </c>
      <c r="AL206" s="90"/>
      <c r="AM206" s="90"/>
      <c r="AN206" s="90"/>
      <c r="AO206" s="90"/>
      <c r="AP206" s="90"/>
      <c r="AQ206" s="90"/>
      <c r="AR206" s="91"/>
      <c r="AS206" s="89">
        <f>AS187</f>
        <v>481000</v>
      </c>
      <c r="AT206" s="90"/>
      <c r="AU206" s="90"/>
      <c r="AV206" s="90"/>
      <c r="AW206" s="90"/>
      <c r="AX206" s="90"/>
      <c r="AY206" s="90"/>
      <c r="AZ206" s="91"/>
      <c r="BA206" s="89">
        <f>AK206+AS206</f>
        <v>481000</v>
      </c>
      <c r="BB206" s="90"/>
      <c r="BC206" s="90"/>
      <c r="BD206" s="90"/>
      <c r="BE206" s="90"/>
      <c r="BF206" s="90"/>
      <c r="BG206" s="90"/>
      <c r="BH206" s="91"/>
      <c r="BQ206" s="47"/>
      <c r="BR206" s="47"/>
      <c r="BS206" s="47"/>
      <c r="BT206" s="47">
        <v>481000</v>
      </c>
      <c r="BU206" s="47"/>
      <c r="BV206" s="48">
        <f t="shared" si="10"/>
        <v>0</v>
      </c>
      <c r="BW206" s="47"/>
      <c r="BX206" s="47"/>
      <c r="BY206" s="47"/>
      <c r="BZ206" s="47"/>
      <c r="CA206" s="47"/>
      <c r="CB206" s="47"/>
    </row>
    <row r="207" spans="1:80" s="2" customFormat="1" ht="19.5" customHeight="1" x14ac:dyDescent="0.2">
      <c r="A207" s="126"/>
      <c r="B207" s="126"/>
      <c r="C207" s="126"/>
      <c r="D207" s="216" t="s">
        <v>13</v>
      </c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107">
        <v>0</v>
      </c>
      <c r="AL207" s="107"/>
      <c r="AM207" s="107"/>
      <c r="AN207" s="107"/>
      <c r="AO207" s="107"/>
      <c r="AP207" s="107"/>
      <c r="AQ207" s="107"/>
      <c r="AR207" s="107"/>
      <c r="AS207" s="107">
        <f>SUM(AS196:AZ206)</f>
        <v>321573606.60000002</v>
      </c>
      <c r="AT207" s="107"/>
      <c r="AU207" s="107"/>
      <c r="AV207" s="107"/>
      <c r="AW207" s="107"/>
      <c r="AX207" s="107"/>
      <c r="AY207" s="107"/>
      <c r="AZ207" s="107"/>
      <c r="BA207" s="107">
        <f t="shared" si="9"/>
        <v>321573606.60000002</v>
      </c>
      <c r="BB207" s="107"/>
      <c r="BC207" s="107"/>
      <c r="BD207" s="107"/>
      <c r="BE207" s="107"/>
      <c r="BF207" s="107"/>
      <c r="BG207" s="107"/>
      <c r="BH207" s="107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</row>
    <row r="208" spans="1:80" s="2" customFormat="1" ht="9" customHeight="1" x14ac:dyDescent="0.2">
      <c r="A208" s="56"/>
      <c r="B208" s="56"/>
      <c r="C208" s="56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</row>
    <row r="209" spans="1:80" ht="23.25" customHeight="1" x14ac:dyDescent="0.2">
      <c r="A209" s="172" t="s">
        <v>26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</row>
    <row r="210" spans="1:80" ht="8.25" customHeight="1" x14ac:dyDescent="0.2">
      <c r="A210" s="28"/>
      <c r="B210" s="28"/>
      <c r="C210" s="28"/>
      <c r="D210" s="28"/>
      <c r="E210" s="28"/>
      <c r="F210" s="28"/>
      <c r="G210" s="29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1"/>
      <c r="AA210" s="31"/>
      <c r="AB210" s="31"/>
      <c r="AC210" s="31"/>
      <c r="AD210" s="31"/>
      <c r="AE210" s="29"/>
      <c r="AF210" s="30"/>
      <c r="AG210" s="30"/>
      <c r="AH210" s="30"/>
      <c r="AI210" s="30"/>
      <c r="AJ210" s="30"/>
      <c r="AK210" s="30"/>
      <c r="AL210" s="30"/>
      <c r="AM210" s="30"/>
      <c r="AN210" s="30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</row>
    <row r="211" spans="1:80" ht="34.5" customHeight="1" x14ac:dyDescent="0.2">
      <c r="A211" s="78" t="s">
        <v>14</v>
      </c>
      <c r="B211" s="79"/>
      <c r="C211" s="79"/>
      <c r="D211" s="79"/>
      <c r="E211" s="79"/>
      <c r="F211" s="80"/>
      <c r="G211" s="78" t="s">
        <v>27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80"/>
      <c r="Z211" s="88" t="s">
        <v>2</v>
      </c>
      <c r="AA211" s="88"/>
      <c r="AB211" s="88"/>
      <c r="AC211" s="88"/>
      <c r="AD211" s="88"/>
      <c r="AE211" s="78" t="s">
        <v>1</v>
      </c>
      <c r="AF211" s="79"/>
      <c r="AG211" s="79"/>
      <c r="AH211" s="79"/>
      <c r="AI211" s="79"/>
      <c r="AJ211" s="79"/>
      <c r="AK211" s="79"/>
      <c r="AL211" s="79"/>
      <c r="AM211" s="79"/>
      <c r="AN211" s="80"/>
      <c r="AO211" s="78" t="s">
        <v>15</v>
      </c>
      <c r="AP211" s="79"/>
      <c r="AQ211" s="79"/>
      <c r="AR211" s="79"/>
      <c r="AS211" s="79"/>
      <c r="AT211" s="79"/>
      <c r="AU211" s="79"/>
      <c r="AV211" s="80"/>
      <c r="AW211" s="78" t="s">
        <v>16</v>
      </c>
      <c r="AX211" s="79"/>
      <c r="AY211" s="79"/>
      <c r="AZ211" s="79"/>
      <c r="BA211" s="79"/>
      <c r="BB211" s="79"/>
      <c r="BC211" s="79"/>
      <c r="BD211" s="80"/>
      <c r="BE211" s="78" t="s">
        <v>13</v>
      </c>
      <c r="BF211" s="79"/>
      <c r="BG211" s="79"/>
      <c r="BH211" s="79"/>
      <c r="BI211" s="79"/>
      <c r="BJ211" s="79"/>
      <c r="BK211" s="79"/>
      <c r="BL211" s="80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</row>
    <row r="212" spans="1:80" ht="18" customHeight="1" x14ac:dyDescent="0.2">
      <c r="A212" s="78">
        <v>1</v>
      </c>
      <c r="B212" s="79"/>
      <c r="C212" s="79"/>
      <c r="D212" s="79"/>
      <c r="E212" s="79"/>
      <c r="F212" s="80"/>
      <c r="G212" s="78">
        <v>2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80"/>
      <c r="Z212" s="88">
        <v>3</v>
      </c>
      <c r="AA212" s="88"/>
      <c r="AB212" s="88"/>
      <c r="AC212" s="88"/>
      <c r="AD212" s="88"/>
      <c r="AE212" s="78">
        <v>4</v>
      </c>
      <c r="AF212" s="79"/>
      <c r="AG212" s="79"/>
      <c r="AH212" s="79"/>
      <c r="AI212" s="79"/>
      <c r="AJ212" s="79"/>
      <c r="AK212" s="79"/>
      <c r="AL212" s="79"/>
      <c r="AM212" s="79"/>
      <c r="AN212" s="80"/>
      <c r="AO212" s="88">
        <v>5</v>
      </c>
      <c r="AP212" s="88"/>
      <c r="AQ212" s="88"/>
      <c r="AR212" s="88"/>
      <c r="AS212" s="88"/>
      <c r="AT212" s="88"/>
      <c r="AU212" s="88"/>
      <c r="AV212" s="88"/>
      <c r="AW212" s="88">
        <v>6</v>
      </c>
      <c r="AX212" s="88"/>
      <c r="AY212" s="88"/>
      <c r="AZ212" s="88"/>
      <c r="BA212" s="88"/>
      <c r="BB212" s="88"/>
      <c r="BC212" s="88"/>
      <c r="BD212" s="88"/>
      <c r="BE212" s="88">
        <v>7</v>
      </c>
      <c r="BF212" s="88"/>
      <c r="BG212" s="88"/>
      <c r="BH212" s="88"/>
      <c r="BI212" s="88"/>
      <c r="BJ212" s="88"/>
      <c r="BK212" s="88"/>
      <c r="BL212" s="88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</row>
    <row r="213" spans="1:80" ht="21" customHeight="1" x14ac:dyDescent="0.2">
      <c r="A213" s="78"/>
      <c r="B213" s="79"/>
      <c r="C213" s="79"/>
      <c r="D213" s="79"/>
      <c r="E213" s="79"/>
      <c r="F213" s="80"/>
      <c r="G213" s="208" t="s">
        <v>74</v>
      </c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4"/>
      <c r="BE213" s="133"/>
      <c r="BF213" s="133"/>
      <c r="BG213" s="133"/>
      <c r="BH213" s="133"/>
      <c r="BI213" s="133"/>
      <c r="BJ213" s="133"/>
      <c r="BK213" s="133"/>
      <c r="BL213" s="133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</row>
    <row r="214" spans="1:80" ht="18.75" customHeight="1" x14ac:dyDescent="0.2">
      <c r="A214" s="109">
        <v>0</v>
      </c>
      <c r="B214" s="110"/>
      <c r="C214" s="110"/>
      <c r="D214" s="110"/>
      <c r="E214" s="110"/>
      <c r="F214" s="111"/>
      <c r="G214" s="187" t="s">
        <v>48</v>
      </c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200"/>
      <c r="Z214" s="144"/>
      <c r="AA214" s="144"/>
      <c r="AB214" s="144"/>
      <c r="AC214" s="144"/>
      <c r="AD214" s="144"/>
      <c r="AE214" s="187"/>
      <c r="AF214" s="199"/>
      <c r="AG214" s="199"/>
      <c r="AH214" s="199"/>
      <c r="AI214" s="199"/>
      <c r="AJ214" s="199"/>
      <c r="AK214" s="199"/>
      <c r="AL214" s="199"/>
      <c r="AM214" s="199"/>
      <c r="AN214" s="200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</row>
    <row r="215" spans="1:80" ht="21.75" customHeight="1" x14ac:dyDescent="0.2">
      <c r="A215" s="78"/>
      <c r="B215" s="79"/>
      <c r="C215" s="79"/>
      <c r="D215" s="79"/>
      <c r="E215" s="79"/>
      <c r="F215" s="80"/>
      <c r="G215" s="182" t="s">
        <v>82</v>
      </c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4"/>
      <c r="Z215" s="84" t="s">
        <v>49</v>
      </c>
      <c r="AA215" s="84"/>
      <c r="AB215" s="84"/>
      <c r="AC215" s="84"/>
      <c r="AD215" s="84"/>
      <c r="AE215" s="85" t="s">
        <v>66</v>
      </c>
      <c r="AF215" s="86"/>
      <c r="AG215" s="86"/>
      <c r="AH215" s="86"/>
      <c r="AI215" s="86"/>
      <c r="AJ215" s="86"/>
      <c r="AK215" s="86"/>
      <c r="AL215" s="86"/>
      <c r="AM215" s="86"/>
      <c r="AN215" s="87"/>
      <c r="AO215" s="92"/>
      <c r="AP215" s="92"/>
      <c r="AQ215" s="92"/>
      <c r="AR215" s="92"/>
      <c r="AS215" s="92"/>
      <c r="AT215" s="92"/>
      <c r="AU215" s="92"/>
      <c r="AV215" s="92"/>
      <c r="AW215" s="92">
        <f>SUM(AW216:BD222)</f>
        <v>122361973.59999999</v>
      </c>
      <c r="AX215" s="92"/>
      <c r="AY215" s="92"/>
      <c r="AZ215" s="92"/>
      <c r="BA215" s="92"/>
      <c r="BB215" s="92"/>
      <c r="BC215" s="92"/>
      <c r="BD215" s="92"/>
      <c r="BE215" s="92">
        <f t="shared" ref="BE215:BE221" si="11">AO215+AW215</f>
        <v>122361973.59999999</v>
      </c>
      <c r="BF215" s="92"/>
      <c r="BG215" s="92"/>
      <c r="BH215" s="92"/>
      <c r="BI215" s="92"/>
      <c r="BJ215" s="92"/>
      <c r="BK215" s="92"/>
      <c r="BL215" s="92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</row>
    <row r="216" spans="1:80" ht="68.25" customHeight="1" x14ac:dyDescent="0.2">
      <c r="A216" s="78"/>
      <c r="B216" s="79"/>
      <c r="C216" s="79"/>
      <c r="D216" s="79"/>
      <c r="E216" s="79"/>
      <c r="F216" s="80"/>
      <c r="G216" s="145" t="s">
        <v>127</v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7"/>
      <c r="Z216" s="84" t="s">
        <v>49</v>
      </c>
      <c r="AA216" s="84"/>
      <c r="AB216" s="84"/>
      <c r="AC216" s="84"/>
      <c r="AD216" s="84"/>
      <c r="AE216" s="85" t="s">
        <v>66</v>
      </c>
      <c r="AF216" s="86"/>
      <c r="AG216" s="86"/>
      <c r="AH216" s="86"/>
      <c r="AI216" s="86"/>
      <c r="AJ216" s="86"/>
      <c r="AK216" s="86"/>
      <c r="AL216" s="86"/>
      <c r="AM216" s="86"/>
      <c r="AN216" s="87"/>
      <c r="AO216" s="92"/>
      <c r="AP216" s="92"/>
      <c r="AQ216" s="92"/>
      <c r="AR216" s="92"/>
      <c r="AS216" s="92"/>
      <c r="AT216" s="92"/>
      <c r="AU216" s="92"/>
      <c r="AV216" s="92"/>
      <c r="AW216" s="92">
        <f>AS58+AS59+AS60+AS61+AS62+AS63+AS64+AS65+AS66+AS67+AS68+AS69+AS71+AS72+AS73+AS74+AS75+AS76+AS78+AS79+AS80+AS81+AS82+AS83+AS84</f>
        <v>53481397</v>
      </c>
      <c r="AX216" s="92"/>
      <c r="AY216" s="92"/>
      <c r="AZ216" s="92"/>
      <c r="BA216" s="92"/>
      <c r="BB216" s="92"/>
      <c r="BC216" s="92"/>
      <c r="BD216" s="92"/>
      <c r="BE216" s="92">
        <f t="shared" si="11"/>
        <v>53481397</v>
      </c>
      <c r="BF216" s="92"/>
      <c r="BG216" s="92"/>
      <c r="BH216" s="92"/>
      <c r="BI216" s="92"/>
      <c r="BJ216" s="92"/>
      <c r="BK216" s="92"/>
      <c r="BL216" s="92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</row>
    <row r="217" spans="1:80" ht="37.5" customHeight="1" x14ac:dyDescent="0.2">
      <c r="A217" s="78"/>
      <c r="B217" s="79"/>
      <c r="C217" s="79"/>
      <c r="D217" s="79"/>
      <c r="E217" s="79"/>
      <c r="F217" s="80"/>
      <c r="G217" s="127" t="s">
        <v>96</v>
      </c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9"/>
      <c r="Z217" s="84" t="s">
        <v>49</v>
      </c>
      <c r="AA217" s="84"/>
      <c r="AB217" s="84"/>
      <c r="AC217" s="84"/>
      <c r="AD217" s="84"/>
      <c r="AE217" s="85" t="s">
        <v>66</v>
      </c>
      <c r="AF217" s="86"/>
      <c r="AG217" s="86"/>
      <c r="AH217" s="86"/>
      <c r="AI217" s="86"/>
      <c r="AJ217" s="86"/>
      <c r="AK217" s="86"/>
      <c r="AL217" s="86"/>
      <c r="AM217" s="86"/>
      <c r="AN217" s="87"/>
      <c r="AO217" s="92"/>
      <c r="AP217" s="92"/>
      <c r="AQ217" s="92"/>
      <c r="AR217" s="92"/>
      <c r="AS217" s="92"/>
      <c r="AT217" s="92"/>
      <c r="AU217" s="92"/>
      <c r="AV217" s="92"/>
      <c r="AW217" s="92">
        <f>AS106</f>
        <v>2958059.6</v>
      </c>
      <c r="AX217" s="92"/>
      <c r="AY217" s="92"/>
      <c r="AZ217" s="92"/>
      <c r="BA217" s="92"/>
      <c r="BB217" s="92"/>
      <c r="BC217" s="92"/>
      <c r="BD217" s="92"/>
      <c r="BE217" s="92">
        <f t="shared" si="11"/>
        <v>2958059.6</v>
      </c>
      <c r="BF217" s="92"/>
      <c r="BG217" s="92"/>
      <c r="BH217" s="92"/>
      <c r="BI217" s="92"/>
      <c r="BJ217" s="92"/>
      <c r="BK217" s="92"/>
      <c r="BL217" s="92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</row>
    <row r="218" spans="1:80" ht="33.75" customHeight="1" x14ac:dyDescent="0.2">
      <c r="A218" s="78"/>
      <c r="B218" s="79"/>
      <c r="C218" s="79"/>
      <c r="D218" s="79"/>
      <c r="E218" s="79"/>
      <c r="F218" s="80"/>
      <c r="G218" s="81" t="s">
        <v>76</v>
      </c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3"/>
      <c r="Z218" s="84" t="s">
        <v>49</v>
      </c>
      <c r="AA218" s="84"/>
      <c r="AB218" s="84"/>
      <c r="AC218" s="84"/>
      <c r="AD218" s="84"/>
      <c r="AE218" s="85" t="s">
        <v>66</v>
      </c>
      <c r="AF218" s="86"/>
      <c r="AG218" s="86"/>
      <c r="AH218" s="86"/>
      <c r="AI218" s="86"/>
      <c r="AJ218" s="86"/>
      <c r="AK218" s="86"/>
      <c r="AL218" s="86"/>
      <c r="AM218" s="86"/>
      <c r="AN218" s="87"/>
      <c r="AO218" s="92"/>
      <c r="AP218" s="92"/>
      <c r="AQ218" s="92"/>
      <c r="AR218" s="92"/>
      <c r="AS218" s="92"/>
      <c r="AT218" s="92"/>
      <c r="AU218" s="92"/>
      <c r="AV218" s="92"/>
      <c r="AW218" s="92">
        <f>AS70</f>
        <v>1344000</v>
      </c>
      <c r="AX218" s="92"/>
      <c r="AY218" s="92"/>
      <c r="AZ218" s="92"/>
      <c r="BA218" s="92"/>
      <c r="BB218" s="92"/>
      <c r="BC218" s="92"/>
      <c r="BD218" s="92"/>
      <c r="BE218" s="92">
        <f t="shared" si="11"/>
        <v>1344000</v>
      </c>
      <c r="BF218" s="92"/>
      <c r="BG218" s="92"/>
      <c r="BH218" s="92"/>
      <c r="BI218" s="92"/>
      <c r="BJ218" s="92"/>
      <c r="BK218" s="92"/>
      <c r="BL218" s="92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</row>
    <row r="219" spans="1:80" ht="48.75" customHeight="1" x14ac:dyDescent="0.2">
      <c r="A219" s="78"/>
      <c r="B219" s="79"/>
      <c r="C219" s="79"/>
      <c r="D219" s="79"/>
      <c r="E219" s="79"/>
      <c r="F219" s="80"/>
      <c r="G219" s="81" t="s">
        <v>176</v>
      </c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3"/>
      <c r="Z219" s="84" t="s">
        <v>49</v>
      </c>
      <c r="AA219" s="84"/>
      <c r="AB219" s="84"/>
      <c r="AC219" s="84"/>
      <c r="AD219" s="84"/>
      <c r="AE219" s="85" t="s">
        <v>66</v>
      </c>
      <c r="AF219" s="86"/>
      <c r="AG219" s="86"/>
      <c r="AH219" s="86"/>
      <c r="AI219" s="86"/>
      <c r="AJ219" s="86"/>
      <c r="AK219" s="86"/>
      <c r="AL219" s="86"/>
      <c r="AM219" s="86"/>
      <c r="AN219" s="87"/>
      <c r="AO219" s="92"/>
      <c r="AP219" s="92"/>
      <c r="AQ219" s="92"/>
      <c r="AR219" s="92"/>
      <c r="AS219" s="92"/>
      <c r="AT219" s="92"/>
      <c r="AU219" s="92"/>
      <c r="AV219" s="92"/>
      <c r="AW219" s="70">
        <v>496570</v>
      </c>
      <c r="AX219" s="71"/>
      <c r="AY219" s="71"/>
      <c r="AZ219" s="71"/>
      <c r="BA219" s="71"/>
      <c r="BB219" s="71"/>
      <c r="BC219" s="71"/>
      <c r="BD219" s="72"/>
      <c r="BE219" s="92">
        <f>AO219+AW219</f>
        <v>496570</v>
      </c>
      <c r="BF219" s="92"/>
      <c r="BG219" s="92"/>
      <c r="BH219" s="92"/>
      <c r="BI219" s="92"/>
      <c r="BJ219" s="92"/>
      <c r="BK219" s="92"/>
      <c r="BL219" s="92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</row>
    <row r="220" spans="1:80" ht="34.5" customHeight="1" x14ac:dyDescent="0.2">
      <c r="A220" s="78"/>
      <c r="B220" s="79"/>
      <c r="C220" s="79"/>
      <c r="D220" s="79"/>
      <c r="E220" s="79"/>
      <c r="F220" s="80"/>
      <c r="G220" s="81" t="s">
        <v>99</v>
      </c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3"/>
      <c r="Z220" s="84" t="s">
        <v>49</v>
      </c>
      <c r="AA220" s="84"/>
      <c r="AB220" s="84"/>
      <c r="AC220" s="84"/>
      <c r="AD220" s="84"/>
      <c r="AE220" s="85" t="s">
        <v>66</v>
      </c>
      <c r="AF220" s="86"/>
      <c r="AG220" s="86"/>
      <c r="AH220" s="86"/>
      <c r="AI220" s="86"/>
      <c r="AJ220" s="86"/>
      <c r="AK220" s="86"/>
      <c r="AL220" s="86"/>
      <c r="AM220" s="86"/>
      <c r="AN220" s="87"/>
      <c r="AO220" s="92"/>
      <c r="AP220" s="92"/>
      <c r="AQ220" s="92"/>
      <c r="AR220" s="92"/>
      <c r="AS220" s="92"/>
      <c r="AT220" s="92"/>
      <c r="AU220" s="92"/>
      <c r="AV220" s="92"/>
      <c r="AW220" s="92">
        <f>AS87+AS88+AS89+AS90+AS93+AS94+AS95+AS91+AS92+AS96+AS97+AS98+AS99</f>
        <v>33301347</v>
      </c>
      <c r="AX220" s="92"/>
      <c r="AY220" s="92"/>
      <c r="AZ220" s="92"/>
      <c r="BA220" s="92"/>
      <c r="BB220" s="92"/>
      <c r="BC220" s="92"/>
      <c r="BD220" s="92"/>
      <c r="BE220" s="92">
        <f t="shared" si="11"/>
        <v>33301347</v>
      </c>
      <c r="BF220" s="92"/>
      <c r="BG220" s="92"/>
      <c r="BH220" s="92"/>
      <c r="BI220" s="92"/>
      <c r="BJ220" s="92"/>
      <c r="BK220" s="92"/>
      <c r="BL220" s="92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</row>
    <row r="221" spans="1:80" ht="20.100000000000001" customHeight="1" x14ac:dyDescent="0.2">
      <c r="A221" s="78"/>
      <c r="B221" s="79"/>
      <c r="C221" s="79"/>
      <c r="D221" s="79"/>
      <c r="E221" s="79"/>
      <c r="F221" s="80"/>
      <c r="G221" s="81" t="s">
        <v>97</v>
      </c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3"/>
      <c r="Z221" s="84" t="s">
        <v>49</v>
      </c>
      <c r="AA221" s="84"/>
      <c r="AB221" s="84"/>
      <c r="AC221" s="84"/>
      <c r="AD221" s="84"/>
      <c r="AE221" s="85" t="s">
        <v>66</v>
      </c>
      <c r="AF221" s="86"/>
      <c r="AG221" s="86"/>
      <c r="AH221" s="86"/>
      <c r="AI221" s="86"/>
      <c r="AJ221" s="86"/>
      <c r="AK221" s="86"/>
      <c r="AL221" s="86"/>
      <c r="AM221" s="86"/>
      <c r="AN221" s="87"/>
      <c r="AO221" s="92"/>
      <c r="AP221" s="92"/>
      <c r="AQ221" s="92"/>
      <c r="AR221" s="92"/>
      <c r="AS221" s="92"/>
      <c r="AT221" s="92"/>
      <c r="AU221" s="92"/>
      <c r="AV221" s="92"/>
      <c r="AW221" s="92">
        <f>AS101+AS102+AS103+AS104+AS105</f>
        <v>30532200</v>
      </c>
      <c r="AX221" s="92"/>
      <c r="AY221" s="92"/>
      <c r="AZ221" s="92"/>
      <c r="BA221" s="92"/>
      <c r="BB221" s="92"/>
      <c r="BC221" s="92"/>
      <c r="BD221" s="92"/>
      <c r="BE221" s="92">
        <f t="shared" si="11"/>
        <v>30532200</v>
      </c>
      <c r="BF221" s="92"/>
      <c r="BG221" s="92"/>
      <c r="BH221" s="92"/>
      <c r="BI221" s="92"/>
      <c r="BJ221" s="92"/>
      <c r="BK221" s="92"/>
      <c r="BL221" s="92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</row>
    <row r="222" spans="1:80" ht="20.100000000000001" customHeight="1" x14ac:dyDescent="0.2">
      <c r="A222" s="78"/>
      <c r="B222" s="79"/>
      <c r="C222" s="79"/>
      <c r="D222" s="79"/>
      <c r="E222" s="79"/>
      <c r="F222" s="80"/>
      <c r="G222" s="81" t="s">
        <v>150</v>
      </c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3"/>
      <c r="Z222" s="84" t="s">
        <v>49</v>
      </c>
      <c r="AA222" s="84"/>
      <c r="AB222" s="84"/>
      <c r="AC222" s="84"/>
      <c r="AD222" s="84"/>
      <c r="AE222" s="85" t="s">
        <v>66</v>
      </c>
      <c r="AF222" s="86"/>
      <c r="AG222" s="86"/>
      <c r="AH222" s="86"/>
      <c r="AI222" s="86"/>
      <c r="AJ222" s="86"/>
      <c r="AK222" s="86"/>
      <c r="AL222" s="86"/>
      <c r="AM222" s="86"/>
      <c r="AN222" s="87"/>
      <c r="AO222" s="92"/>
      <c r="AP222" s="92"/>
      <c r="AQ222" s="92"/>
      <c r="AR222" s="92"/>
      <c r="AS222" s="92"/>
      <c r="AT222" s="92"/>
      <c r="AU222" s="92"/>
      <c r="AV222" s="92"/>
      <c r="AW222" s="92">
        <f>AS77</f>
        <v>248400</v>
      </c>
      <c r="AX222" s="92"/>
      <c r="AY222" s="92"/>
      <c r="AZ222" s="92"/>
      <c r="BA222" s="92"/>
      <c r="BB222" s="92"/>
      <c r="BC222" s="92"/>
      <c r="BD222" s="92"/>
      <c r="BE222" s="92">
        <f>AO222+AW222</f>
        <v>248400</v>
      </c>
      <c r="BF222" s="92"/>
      <c r="BG222" s="92"/>
      <c r="BH222" s="92"/>
      <c r="BI222" s="92"/>
      <c r="BJ222" s="92"/>
      <c r="BK222" s="92"/>
      <c r="BL222" s="92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</row>
    <row r="223" spans="1:80" ht="18" customHeight="1" x14ac:dyDescent="0.2">
      <c r="A223" s="109">
        <v>0</v>
      </c>
      <c r="B223" s="110"/>
      <c r="C223" s="110"/>
      <c r="D223" s="110"/>
      <c r="E223" s="110"/>
      <c r="F223" s="111"/>
      <c r="G223" s="187" t="s">
        <v>65</v>
      </c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9"/>
      <c r="Z223" s="84"/>
      <c r="AA223" s="84"/>
      <c r="AB223" s="84"/>
      <c r="AC223" s="84"/>
      <c r="AD223" s="84"/>
      <c r="AE223" s="85"/>
      <c r="AF223" s="86"/>
      <c r="AG223" s="86"/>
      <c r="AH223" s="86"/>
      <c r="AI223" s="86"/>
      <c r="AJ223" s="86"/>
      <c r="AK223" s="86"/>
      <c r="AL223" s="86"/>
      <c r="AM223" s="86"/>
      <c r="AN223" s="8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</row>
    <row r="224" spans="1:80" ht="66" customHeight="1" x14ac:dyDescent="0.2">
      <c r="A224" s="109"/>
      <c r="B224" s="110"/>
      <c r="C224" s="110"/>
      <c r="D224" s="110"/>
      <c r="E224" s="110"/>
      <c r="F224" s="111"/>
      <c r="G224" s="81" t="s">
        <v>128</v>
      </c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3"/>
      <c r="Z224" s="84" t="s">
        <v>67</v>
      </c>
      <c r="AA224" s="84"/>
      <c r="AB224" s="84"/>
      <c r="AC224" s="84"/>
      <c r="AD224" s="84"/>
      <c r="AE224" s="85" t="s">
        <v>63</v>
      </c>
      <c r="AF224" s="86"/>
      <c r="AG224" s="86"/>
      <c r="AH224" s="86"/>
      <c r="AI224" s="86"/>
      <c r="AJ224" s="86"/>
      <c r="AK224" s="86"/>
      <c r="AL224" s="86"/>
      <c r="AM224" s="86"/>
      <c r="AN224" s="87"/>
      <c r="AO224" s="107"/>
      <c r="AP224" s="107"/>
      <c r="AQ224" s="107"/>
      <c r="AR224" s="107"/>
      <c r="AS224" s="107"/>
      <c r="AT224" s="107"/>
      <c r="AU224" s="107"/>
      <c r="AV224" s="107"/>
      <c r="AW224" s="106">
        <f>12+6+7-1</f>
        <v>24</v>
      </c>
      <c r="AX224" s="106"/>
      <c r="AY224" s="106"/>
      <c r="AZ224" s="106"/>
      <c r="BA224" s="106"/>
      <c r="BB224" s="106"/>
      <c r="BC224" s="106"/>
      <c r="BD224" s="106"/>
      <c r="BE224" s="106">
        <f>AW224</f>
        <v>24</v>
      </c>
      <c r="BF224" s="106"/>
      <c r="BG224" s="106"/>
      <c r="BH224" s="106"/>
      <c r="BI224" s="106"/>
      <c r="BJ224" s="106"/>
      <c r="BK224" s="106"/>
      <c r="BL224" s="106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</row>
    <row r="225" spans="1:80" ht="18" customHeight="1" x14ac:dyDescent="0.2">
      <c r="A225" s="109"/>
      <c r="B225" s="110"/>
      <c r="C225" s="110"/>
      <c r="D225" s="110"/>
      <c r="E225" s="110"/>
      <c r="F225" s="111"/>
      <c r="G225" s="81" t="s">
        <v>293</v>
      </c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3"/>
      <c r="Z225" s="84" t="s">
        <v>88</v>
      </c>
      <c r="AA225" s="84"/>
      <c r="AB225" s="84"/>
      <c r="AC225" s="84"/>
      <c r="AD225" s="84"/>
      <c r="AE225" s="85" t="s">
        <v>87</v>
      </c>
      <c r="AF225" s="86"/>
      <c r="AG225" s="86"/>
      <c r="AH225" s="86"/>
      <c r="AI225" s="86"/>
      <c r="AJ225" s="86"/>
      <c r="AK225" s="86"/>
      <c r="AL225" s="86"/>
      <c r="AM225" s="86"/>
      <c r="AN225" s="87"/>
      <c r="AO225" s="107"/>
      <c r="AP225" s="107"/>
      <c r="AQ225" s="107"/>
      <c r="AR225" s="107"/>
      <c r="AS225" s="107"/>
      <c r="AT225" s="107"/>
      <c r="AU225" s="107"/>
      <c r="AV225" s="107"/>
      <c r="AW225" s="106">
        <f>700+150</f>
        <v>850</v>
      </c>
      <c r="AX225" s="106"/>
      <c r="AY225" s="106"/>
      <c r="AZ225" s="106"/>
      <c r="BA225" s="106"/>
      <c r="BB225" s="106"/>
      <c r="BC225" s="106"/>
      <c r="BD225" s="106"/>
      <c r="BE225" s="106">
        <f>AW225</f>
        <v>850</v>
      </c>
      <c r="BF225" s="106"/>
      <c r="BG225" s="106"/>
      <c r="BH225" s="106"/>
      <c r="BI225" s="106"/>
      <c r="BJ225" s="106"/>
      <c r="BK225" s="106"/>
      <c r="BL225" s="106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</row>
    <row r="226" spans="1:80" ht="34.5" customHeight="1" x14ac:dyDescent="0.2">
      <c r="A226" s="109"/>
      <c r="B226" s="110"/>
      <c r="C226" s="110"/>
      <c r="D226" s="110"/>
      <c r="E226" s="110"/>
      <c r="F226" s="111"/>
      <c r="G226" s="223" t="s">
        <v>129</v>
      </c>
      <c r="H226" s="224" t="s">
        <v>77</v>
      </c>
      <c r="I226" s="224" t="s">
        <v>77</v>
      </c>
      <c r="J226" s="224" t="s">
        <v>77</v>
      </c>
      <c r="K226" s="224" t="s">
        <v>77</v>
      </c>
      <c r="L226" s="224" t="s">
        <v>77</v>
      </c>
      <c r="M226" s="224" t="s">
        <v>77</v>
      </c>
      <c r="N226" s="224" t="s">
        <v>77</v>
      </c>
      <c r="O226" s="224" t="s">
        <v>77</v>
      </c>
      <c r="P226" s="224" t="s">
        <v>77</v>
      </c>
      <c r="Q226" s="224" t="s">
        <v>77</v>
      </c>
      <c r="R226" s="224" t="s">
        <v>77</v>
      </c>
      <c r="S226" s="224" t="s">
        <v>77</v>
      </c>
      <c r="T226" s="224" t="s">
        <v>77</v>
      </c>
      <c r="U226" s="224" t="s">
        <v>77</v>
      </c>
      <c r="V226" s="224" t="s">
        <v>77</v>
      </c>
      <c r="W226" s="224" t="s">
        <v>77</v>
      </c>
      <c r="X226" s="224" t="s">
        <v>77</v>
      </c>
      <c r="Y226" s="225" t="s">
        <v>77</v>
      </c>
      <c r="Z226" s="201" t="s">
        <v>67</v>
      </c>
      <c r="AA226" s="201"/>
      <c r="AB226" s="201"/>
      <c r="AC226" s="201"/>
      <c r="AD226" s="201"/>
      <c r="AE226" s="205" t="s">
        <v>71</v>
      </c>
      <c r="AF226" s="206"/>
      <c r="AG226" s="206"/>
      <c r="AH226" s="206"/>
      <c r="AI226" s="206"/>
      <c r="AJ226" s="206"/>
      <c r="AK226" s="206"/>
      <c r="AL226" s="206"/>
      <c r="AM226" s="206"/>
      <c r="AN226" s="207"/>
      <c r="AO226" s="209"/>
      <c r="AP226" s="209"/>
      <c r="AQ226" s="209"/>
      <c r="AR226" s="209"/>
      <c r="AS226" s="209"/>
      <c r="AT226" s="209"/>
      <c r="AU226" s="209"/>
      <c r="AV226" s="209"/>
      <c r="AW226" s="149">
        <f>7+2+2+(4+8+1+3)-1+2</f>
        <v>28</v>
      </c>
      <c r="AX226" s="149"/>
      <c r="AY226" s="149"/>
      <c r="AZ226" s="149"/>
      <c r="BA226" s="149"/>
      <c r="BB226" s="149"/>
      <c r="BC226" s="149"/>
      <c r="BD226" s="149"/>
      <c r="BE226" s="149">
        <f>AW226</f>
        <v>28</v>
      </c>
      <c r="BF226" s="149"/>
      <c r="BG226" s="149"/>
      <c r="BH226" s="149"/>
      <c r="BI226" s="149"/>
      <c r="BJ226" s="149"/>
      <c r="BK226" s="149"/>
      <c r="BL226" s="149"/>
      <c r="BQ226" s="47"/>
      <c r="BR226" s="47"/>
      <c r="BS226" s="47"/>
      <c r="BT226" s="61" t="s">
        <v>285</v>
      </c>
      <c r="BU226" s="61"/>
      <c r="BV226" s="61" t="s">
        <v>302</v>
      </c>
      <c r="BW226" s="61"/>
      <c r="BX226" s="61"/>
      <c r="BY226" s="61"/>
      <c r="BZ226" s="61"/>
      <c r="CA226" s="61"/>
      <c r="CB226" s="61"/>
    </row>
    <row r="227" spans="1:80" ht="33.75" customHeight="1" x14ac:dyDescent="0.2">
      <c r="A227" s="109"/>
      <c r="B227" s="110"/>
      <c r="C227" s="110"/>
      <c r="D227" s="110"/>
      <c r="E227" s="110"/>
      <c r="F227" s="111"/>
      <c r="G227" s="112" t="s">
        <v>98</v>
      </c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4"/>
      <c r="Z227" s="201" t="s">
        <v>67</v>
      </c>
      <c r="AA227" s="201"/>
      <c r="AB227" s="201"/>
      <c r="AC227" s="201"/>
      <c r="AD227" s="201"/>
      <c r="AE227" s="205" t="s">
        <v>71</v>
      </c>
      <c r="AF227" s="206"/>
      <c r="AG227" s="206"/>
      <c r="AH227" s="206"/>
      <c r="AI227" s="206"/>
      <c r="AJ227" s="206"/>
      <c r="AK227" s="206"/>
      <c r="AL227" s="206"/>
      <c r="AM227" s="206"/>
      <c r="AN227" s="207"/>
      <c r="AO227" s="209"/>
      <c r="AP227" s="209"/>
      <c r="AQ227" s="209"/>
      <c r="AR227" s="209"/>
      <c r="AS227" s="209"/>
      <c r="AT227" s="209"/>
      <c r="AU227" s="209"/>
      <c r="AV227" s="209"/>
      <c r="AW227" s="149">
        <f>6+1</f>
        <v>7</v>
      </c>
      <c r="AX227" s="149"/>
      <c r="AY227" s="149"/>
      <c r="AZ227" s="149"/>
      <c r="BA227" s="149"/>
      <c r="BB227" s="149"/>
      <c r="BC227" s="149"/>
      <c r="BD227" s="149"/>
      <c r="BE227" s="149">
        <f>AW227</f>
        <v>7</v>
      </c>
      <c r="BF227" s="149"/>
      <c r="BG227" s="149"/>
      <c r="BH227" s="149"/>
      <c r="BI227" s="149"/>
      <c r="BJ227" s="149"/>
      <c r="BK227" s="149"/>
      <c r="BL227" s="149"/>
      <c r="BQ227" s="47"/>
      <c r="BR227" s="47"/>
      <c r="BS227" s="47"/>
      <c r="BT227" s="61"/>
      <c r="BU227" s="61"/>
      <c r="BV227" s="61"/>
      <c r="BW227" s="61"/>
      <c r="BX227" s="61"/>
      <c r="BY227" s="61"/>
      <c r="BZ227" s="61"/>
      <c r="CA227" s="61"/>
      <c r="CB227" s="61"/>
    </row>
    <row r="228" spans="1:80" ht="21" customHeight="1" x14ac:dyDescent="0.2">
      <c r="A228" s="109">
        <v>0</v>
      </c>
      <c r="B228" s="110"/>
      <c r="C228" s="110"/>
      <c r="D228" s="110"/>
      <c r="E228" s="110"/>
      <c r="F228" s="111"/>
      <c r="G228" s="187" t="s">
        <v>64</v>
      </c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9"/>
      <c r="Z228" s="84"/>
      <c r="AA228" s="84"/>
      <c r="AB228" s="84"/>
      <c r="AC228" s="84"/>
      <c r="AD228" s="84"/>
      <c r="AE228" s="85"/>
      <c r="AF228" s="86"/>
      <c r="AG228" s="86"/>
      <c r="AH228" s="86"/>
      <c r="AI228" s="86"/>
      <c r="AJ228" s="86"/>
      <c r="AK228" s="86"/>
      <c r="AL228" s="86"/>
      <c r="AM228" s="86"/>
      <c r="AN228" s="8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Q228" s="47"/>
      <c r="BR228" s="47"/>
      <c r="BS228" s="47"/>
      <c r="BT228" s="61"/>
      <c r="BU228" s="61"/>
      <c r="BV228" s="61"/>
      <c r="BW228" s="61"/>
      <c r="BX228" s="61"/>
      <c r="BY228" s="61"/>
      <c r="BZ228" s="61"/>
      <c r="CA228" s="61"/>
      <c r="CB228" s="61"/>
    </row>
    <row r="229" spans="1:80" ht="51" customHeight="1" x14ac:dyDescent="0.2">
      <c r="A229" s="109"/>
      <c r="B229" s="110"/>
      <c r="C229" s="110"/>
      <c r="D229" s="110"/>
      <c r="E229" s="110"/>
      <c r="F229" s="111"/>
      <c r="G229" s="81" t="s">
        <v>89</v>
      </c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3"/>
      <c r="Z229" s="84" t="s">
        <v>49</v>
      </c>
      <c r="AA229" s="84"/>
      <c r="AB229" s="84"/>
      <c r="AC229" s="84"/>
      <c r="AD229" s="84"/>
      <c r="AE229" s="85" t="s">
        <v>61</v>
      </c>
      <c r="AF229" s="86"/>
      <c r="AG229" s="86"/>
      <c r="AH229" s="86"/>
      <c r="AI229" s="86"/>
      <c r="AJ229" s="86"/>
      <c r="AK229" s="86"/>
      <c r="AL229" s="86"/>
      <c r="AM229" s="86"/>
      <c r="AN229" s="87"/>
      <c r="AO229" s="107"/>
      <c r="AP229" s="107"/>
      <c r="AQ229" s="107"/>
      <c r="AR229" s="107"/>
      <c r="AS229" s="107"/>
      <c r="AT229" s="107"/>
      <c r="AU229" s="107"/>
      <c r="AV229" s="107"/>
      <c r="AW229" s="92">
        <f>AW216/AW224</f>
        <v>2228391.5416666665</v>
      </c>
      <c r="AX229" s="92"/>
      <c r="AY229" s="92"/>
      <c r="AZ229" s="92"/>
      <c r="BA229" s="92"/>
      <c r="BB229" s="92"/>
      <c r="BC229" s="92"/>
      <c r="BD229" s="92"/>
      <c r="BE229" s="92">
        <f>AW229</f>
        <v>2228391.5416666665</v>
      </c>
      <c r="BF229" s="92"/>
      <c r="BG229" s="92"/>
      <c r="BH229" s="92"/>
      <c r="BI229" s="92"/>
      <c r="BJ229" s="92"/>
      <c r="BK229" s="92"/>
      <c r="BL229" s="92"/>
      <c r="BQ229" s="47"/>
      <c r="BR229" s="47"/>
      <c r="BS229" s="47"/>
      <c r="BT229" s="61">
        <f>AW229*AW224</f>
        <v>53481397</v>
      </c>
      <c r="BU229" s="61"/>
      <c r="BV229" s="61"/>
      <c r="BW229" s="61"/>
      <c r="BX229" s="61"/>
      <c r="BY229" s="61"/>
      <c r="BZ229" s="61"/>
      <c r="CA229" s="61"/>
      <c r="CB229" s="61"/>
    </row>
    <row r="230" spans="1:80" ht="21.75" customHeight="1" x14ac:dyDescent="0.2">
      <c r="A230" s="109"/>
      <c r="B230" s="110"/>
      <c r="C230" s="110"/>
      <c r="D230" s="110"/>
      <c r="E230" s="110"/>
      <c r="F230" s="111"/>
      <c r="G230" s="81" t="s">
        <v>294</v>
      </c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3"/>
      <c r="Z230" s="84" t="s">
        <v>49</v>
      </c>
      <c r="AA230" s="84"/>
      <c r="AB230" s="84"/>
      <c r="AC230" s="84"/>
      <c r="AD230" s="84"/>
      <c r="AE230" s="85" t="s">
        <v>61</v>
      </c>
      <c r="AF230" s="86"/>
      <c r="AG230" s="86"/>
      <c r="AH230" s="86"/>
      <c r="AI230" s="86"/>
      <c r="AJ230" s="86"/>
      <c r="AK230" s="86"/>
      <c r="AL230" s="86"/>
      <c r="AM230" s="86"/>
      <c r="AN230" s="87"/>
      <c r="AO230" s="107"/>
      <c r="AP230" s="107"/>
      <c r="AQ230" s="107"/>
      <c r="AR230" s="107"/>
      <c r="AS230" s="107"/>
      <c r="AT230" s="107"/>
      <c r="AU230" s="107"/>
      <c r="AV230" s="107"/>
      <c r="AW230" s="92">
        <f>(AW218+AW219)/AW225</f>
        <v>2165.3764705882354</v>
      </c>
      <c r="AX230" s="92"/>
      <c r="AY230" s="92"/>
      <c r="AZ230" s="92"/>
      <c r="BA230" s="92"/>
      <c r="BB230" s="92"/>
      <c r="BC230" s="92"/>
      <c r="BD230" s="92"/>
      <c r="BE230" s="92">
        <f>AW230</f>
        <v>2165.3764705882354</v>
      </c>
      <c r="BF230" s="92"/>
      <c r="BG230" s="92"/>
      <c r="BH230" s="92"/>
      <c r="BI230" s="92"/>
      <c r="BJ230" s="92"/>
      <c r="BK230" s="92"/>
      <c r="BL230" s="92"/>
      <c r="BQ230" s="47"/>
      <c r="BR230" s="47"/>
      <c r="BS230" s="47"/>
      <c r="BT230" s="61">
        <f>AW230*AW225</f>
        <v>1840570</v>
      </c>
      <c r="BU230" s="61"/>
      <c r="BV230" s="61"/>
      <c r="BW230" s="61"/>
      <c r="BX230" s="61"/>
      <c r="BY230" s="61"/>
      <c r="BZ230" s="61"/>
      <c r="CA230" s="61"/>
      <c r="CB230" s="61"/>
    </row>
    <row r="231" spans="1:80" ht="36" customHeight="1" x14ac:dyDescent="0.2">
      <c r="A231" s="109"/>
      <c r="B231" s="110"/>
      <c r="C231" s="110"/>
      <c r="D231" s="110"/>
      <c r="E231" s="110"/>
      <c r="F231" s="111"/>
      <c r="G231" s="112" t="s">
        <v>177</v>
      </c>
      <c r="H231" s="113" t="s">
        <v>78</v>
      </c>
      <c r="I231" s="113" t="s">
        <v>78</v>
      </c>
      <c r="J231" s="113" t="s">
        <v>78</v>
      </c>
      <c r="K231" s="113" t="s">
        <v>78</v>
      </c>
      <c r="L231" s="113" t="s">
        <v>78</v>
      </c>
      <c r="M231" s="113" t="s">
        <v>78</v>
      </c>
      <c r="N231" s="113" t="s">
        <v>78</v>
      </c>
      <c r="O231" s="113" t="s">
        <v>78</v>
      </c>
      <c r="P231" s="113" t="s">
        <v>78</v>
      </c>
      <c r="Q231" s="113" t="s">
        <v>78</v>
      </c>
      <c r="R231" s="113" t="s">
        <v>78</v>
      </c>
      <c r="S231" s="113" t="s">
        <v>78</v>
      </c>
      <c r="T231" s="113" t="s">
        <v>78</v>
      </c>
      <c r="U231" s="113" t="s">
        <v>78</v>
      </c>
      <c r="V231" s="113" t="s">
        <v>78</v>
      </c>
      <c r="W231" s="113" t="s">
        <v>78</v>
      </c>
      <c r="X231" s="113" t="s">
        <v>78</v>
      </c>
      <c r="Y231" s="114" t="s">
        <v>78</v>
      </c>
      <c r="Z231" s="201" t="s">
        <v>49</v>
      </c>
      <c r="AA231" s="201"/>
      <c r="AB231" s="201"/>
      <c r="AC231" s="201"/>
      <c r="AD231" s="201"/>
      <c r="AE231" s="205" t="s">
        <v>61</v>
      </c>
      <c r="AF231" s="206"/>
      <c r="AG231" s="206"/>
      <c r="AH231" s="206"/>
      <c r="AI231" s="206"/>
      <c r="AJ231" s="206"/>
      <c r="AK231" s="206"/>
      <c r="AL231" s="206"/>
      <c r="AM231" s="206"/>
      <c r="AN231" s="207"/>
      <c r="AO231" s="209"/>
      <c r="AP231" s="209"/>
      <c r="AQ231" s="209"/>
      <c r="AR231" s="209"/>
      <c r="AS231" s="209"/>
      <c r="AT231" s="209"/>
      <c r="AU231" s="209"/>
      <c r="AV231" s="209"/>
      <c r="AW231" s="92">
        <f>AW220/AW226</f>
        <v>1189333.8214285714</v>
      </c>
      <c r="AX231" s="92"/>
      <c r="AY231" s="92"/>
      <c r="AZ231" s="92"/>
      <c r="BA231" s="92"/>
      <c r="BB231" s="92"/>
      <c r="BC231" s="92"/>
      <c r="BD231" s="92"/>
      <c r="BE231" s="137">
        <f>AW231</f>
        <v>1189333.8214285714</v>
      </c>
      <c r="BF231" s="137"/>
      <c r="BG231" s="137"/>
      <c r="BH231" s="137"/>
      <c r="BI231" s="137"/>
      <c r="BJ231" s="137"/>
      <c r="BK231" s="137"/>
      <c r="BL231" s="137"/>
      <c r="BQ231" s="47"/>
      <c r="BR231" s="47"/>
      <c r="BS231" s="47"/>
      <c r="BT231" s="61">
        <f>AW231*AW226</f>
        <v>33301347</v>
      </c>
      <c r="BU231" s="61"/>
      <c r="BV231" s="61"/>
      <c r="BW231" s="61"/>
      <c r="BX231" s="61"/>
      <c r="BY231" s="61"/>
      <c r="BZ231" s="61"/>
      <c r="CA231" s="61"/>
      <c r="CB231" s="61"/>
    </row>
    <row r="232" spans="1:80" ht="36" customHeight="1" x14ac:dyDescent="0.2">
      <c r="A232" s="109"/>
      <c r="B232" s="110"/>
      <c r="C232" s="110"/>
      <c r="D232" s="110"/>
      <c r="E232" s="110"/>
      <c r="F232" s="111"/>
      <c r="G232" s="148" t="s">
        <v>112</v>
      </c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39" t="s">
        <v>104</v>
      </c>
      <c r="AA232" s="139"/>
      <c r="AB232" s="139"/>
      <c r="AC232" s="139"/>
      <c r="AD232" s="139"/>
      <c r="AE232" s="85" t="s">
        <v>61</v>
      </c>
      <c r="AF232" s="86"/>
      <c r="AG232" s="86"/>
      <c r="AH232" s="86"/>
      <c r="AI232" s="86"/>
      <c r="AJ232" s="86"/>
      <c r="AK232" s="86"/>
      <c r="AL232" s="86"/>
      <c r="AM232" s="86"/>
      <c r="AN232" s="87"/>
      <c r="AO232" s="209"/>
      <c r="AP232" s="209"/>
      <c r="AQ232" s="209"/>
      <c r="AR232" s="209"/>
      <c r="AS232" s="209"/>
      <c r="AT232" s="209"/>
      <c r="AU232" s="209"/>
      <c r="AV232" s="209"/>
      <c r="AW232" s="92">
        <f>AW221/AW227</f>
        <v>4361742.8571428573</v>
      </c>
      <c r="AX232" s="92"/>
      <c r="AY232" s="92"/>
      <c r="AZ232" s="92"/>
      <c r="BA232" s="92"/>
      <c r="BB232" s="92"/>
      <c r="BC232" s="92"/>
      <c r="BD232" s="92"/>
      <c r="BE232" s="137">
        <f>AW232</f>
        <v>4361742.8571428573</v>
      </c>
      <c r="BF232" s="137"/>
      <c r="BG232" s="137"/>
      <c r="BH232" s="137"/>
      <c r="BI232" s="137"/>
      <c r="BJ232" s="137"/>
      <c r="BK232" s="137"/>
      <c r="BL232" s="137"/>
      <c r="BQ232" s="47"/>
      <c r="BR232" s="47"/>
      <c r="BS232" s="47"/>
      <c r="BT232" s="61"/>
      <c r="BU232" s="61"/>
      <c r="BV232" s="61"/>
      <c r="BW232" s="61"/>
      <c r="BX232" s="61"/>
      <c r="BY232" s="61"/>
      <c r="BZ232" s="61"/>
      <c r="CA232" s="61"/>
      <c r="CB232" s="61"/>
    </row>
    <row r="233" spans="1:80" ht="18.75" customHeight="1" x14ac:dyDescent="0.2">
      <c r="A233" s="109">
        <v>0</v>
      </c>
      <c r="B233" s="110"/>
      <c r="C233" s="110"/>
      <c r="D233" s="110"/>
      <c r="E233" s="110"/>
      <c r="F233" s="111"/>
      <c r="G233" s="187" t="s">
        <v>50</v>
      </c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9"/>
      <c r="Z233" s="144"/>
      <c r="AA233" s="144"/>
      <c r="AB233" s="144"/>
      <c r="AC233" s="144"/>
      <c r="AD233" s="144"/>
      <c r="AE233" s="202"/>
      <c r="AF233" s="203"/>
      <c r="AG233" s="203"/>
      <c r="AH233" s="203"/>
      <c r="AI233" s="203"/>
      <c r="AJ233" s="203"/>
      <c r="AK233" s="203"/>
      <c r="AL233" s="203"/>
      <c r="AM233" s="203"/>
      <c r="AN233" s="204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Q233" s="47"/>
      <c r="BR233" s="47"/>
      <c r="BS233" s="47"/>
      <c r="BT233" s="61"/>
      <c r="BU233" s="61"/>
      <c r="BV233" s="61"/>
      <c r="BW233" s="61"/>
      <c r="BX233" s="61"/>
      <c r="BY233" s="61"/>
      <c r="BZ233" s="61"/>
      <c r="CA233" s="61"/>
      <c r="CB233" s="61"/>
    </row>
    <row r="234" spans="1:80" ht="59.25" customHeight="1" x14ac:dyDescent="0.2">
      <c r="A234" s="109"/>
      <c r="B234" s="110"/>
      <c r="C234" s="110"/>
      <c r="D234" s="110"/>
      <c r="E234" s="110"/>
      <c r="F234" s="111"/>
      <c r="G234" s="105" t="s">
        <v>307</v>
      </c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84" t="s">
        <v>51</v>
      </c>
      <c r="AA234" s="84"/>
      <c r="AB234" s="84"/>
      <c r="AC234" s="84"/>
      <c r="AD234" s="84"/>
      <c r="AE234" s="85" t="s">
        <v>61</v>
      </c>
      <c r="AF234" s="86"/>
      <c r="AG234" s="86"/>
      <c r="AH234" s="86"/>
      <c r="AI234" s="86"/>
      <c r="AJ234" s="86"/>
      <c r="AK234" s="86"/>
      <c r="AL234" s="86"/>
      <c r="AM234" s="86"/>
      <c r="AN234" s="87"/>
      <c r="AO234" s="107"/>
      <c r="AP234" s="107"/>
      <c r="AQ234" s="107"/>
      <c r="AR234" s="107"/>
      <c r="AS234" s="107"/>
      <c r="AT234" s="107"/>
      <c r="AU234" s="107"/>
      <c r="AV234" s="107"/>
      <c r="AW234" s="106">
        <v>100</v>
      </c>
      <c r="AX234" s="106"/>
      <c r="AY234" s="106"/>
      <c r="AZ234" s="106"/>
      <c r="BA234" s="106"/>
      <c r="BB234" s="106"/>
      <c r="BC234" s="106"/>
      <c r="BD234" s="106"/>
      <c r="BE234" s="106">
        <f>AW234</f>
        <v>100</v>
      </c>
      <c r="BF234" s="106"/>
      <c r="BG234" s="106"/>
      <c r="BH234" s="106"/>
      <c r="BI234" s="106"/>
      <c r="BJ234" s="106"/>
      <c r="BK234" s="106"/>
      <c r="BL234" s="106"/>
      <c r="BQ234" s="47"/>
      <c r="BR234" s="47"/>
      <c r="BS234" s="47"/>
      <c r="BT234" s="62">
        <f>(BP58)/4265118.97*100</f>
        <v>0</v>
      </c>
      <c r="BU234" s="62"/>
      <c r="BV234" s="62"/>
      <c r="BW234" s="62"/>
      <c r="BX234" s="62"/>
      <c r="BY234" s="62"/>
      <c r="BZ234" s="62"/>
      <c r="CA234" s="62"/>
      <c r="CB234" s="61"/>
    </row>
    <row r="235" spans="1:80" ht="69" customHeight="1" x14ac:dyDescent="0.2">
      <c r="A235" s="109"/>
      <c r="B235" s="110"/>
      <c r="C235" s="110"/>
      <c r="D235" s="110"/>
      <c r="E235" s="110"/>
      <c r="F235" s="111"/>
      <c r="G235" s="112" t="s">
        <v>308</v>
      </c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4"/>
      <c r="Z235" s="84" t="s">
        <v>51</v>
      </c>
      <c r="AA235" s="84"/>
      <c r="AB235" s="84"/>
      <c r="AC235" s="84"/>
      <c r="AD235" s="84"/>
      <c r="AE235" s="85" t="s">
        <v>61</v>
      </c>
      <c r="AF235" s="86"/>
      <c r="AG235" s="86"/>
      <c r="AH235" s="86"/>
      <c r="AI235" s="86"/>
      <c r="AJ235" s="86"/>
      <c r="AK235" s="86"/>
      <c r="AL235" s="86"/>
      <c r="AM235" s="86"/>
      <c r="AN235" s="87"/>
      <c r="AO235" s="107"/>
      <c r="AP235" s="107"/>
      <c r="AQ235" s="107"/>
      <c r="AR235" s="107"/>
      <c r="AS235" s="107"/>
      <c r="AT235" s="107"/>
      <c r="AU235" s="107"/>
      <c r="AV235" s="107"/>
      <c r="AW235" s="106">
        <v>85</v>
      </c>
      <c r="AX235" s="106"/>
      <c r="AY235" s="106"/>
      <c r="AZ235" s="106"/>
      <c r="BA235" s="106"/>
      <c r="BB235" s="106"/>
      <c r="BC235" s="106"/>
      <c r="BD235" s="106"/>
      <c r="BE235" s="106">
        <f>AW235</f>
        <v>85</v>
      </c>
      <c r="BF235" s="106"/>
      <c r="BG235" s="106"/>
      <c r="BH235" s="106"/>
      <c r="BI235" s="106"/>
      <c r="BJ235" s="106"/>
      <c r="BK235" s="106"/>
      <c r="BL235" s="106"/>
      <c r="BQ235" s="47"/>
      <c r="BR235" s="47"/>
      <c r="BS235" s="47"/>
      <c r="BT235" s="62">
        <f>(BP59+1215634.87)/3193463*100</f>
        <v>38.066352107414431</v>
      </c>
      <c r="BU235" s="62"/>
      <c r="BV235" s="62"/>
      <c r="BW235" s="62"/>
      <c r="BX235" s="62"/>
      <c r="BY235" s="62"/>
      <c r="BZ235" s="62"/>
      <c r="CA235" s="62"/>
      <c r="CB235" s="61"/>
    </row>
    <row r="236" spans="1:80" ht="51.75" customHeight="1" x14ac:dyDescent="0.2">
      <c r="A236" s="109"/>
      <c r="B236" s="110"/>
      <c r="C236" s="110"/>
      <c r="D236" s="110"/>
      <c r="E236" s="110"/>
      <c r="F236" s="111"/>
      <c r="G236" s="112" t="s">
        <v>309</v>
      </c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4"/>
      <c r="Z236" s="84" t="s">
        <v>51</v>
      </c>
      <c r="AA236" s="84"/>
      <c r="AB236" s="84"/>
      <c r="AC236" s="84"/>
      <c r="AD236" s="84"/>
      <c r="AE236" s="85" t="s">
        <v>61</v>
      </c>
      <c r="AF236" s="86"/>
      <c r="AG236" s="86"/>
      <c r="AH236" s="86"/>
      <c r="AI236" s="86"/>
      <c r="AJ236" s="86"/>
      <c r="AK236" s="86"/>
      <c r="AL236" s="86"/>
      <c r="AM236" s="86"/>
      <c r="AN236" s="87"/>
      <c r="AO236" s="107"/>
      <c r="AP236" s="107"/>
      <c r="AQ236" s="107"/>
      <c r="AR236" s="107"/>
      <c r="AS236" s="107"/>
      <c r="AT236" s="107"/>
      <c r="AU236" s="107"/>
      <c r="AV236" s="107"/>
      <c r="AW236" s="106">
        <f>AS60/7201884.13*100</f>
        <v>100.00001208017213</v>
      </c>
      <c r="AX236" s="106"/>
      <c r="AY236" s="106"/>
      <c r="AZ236" s="106"/>
      <c r="BA236" s="106"/>
      <c r="BB236" s="106"/>
      <c r="BC236" s="106"/>
      <c r="BD236" s="106"/>
      <c r="BE236" s="106">
        <f>AW236</f>
        <v>100.00001208017213</v>
      </c>
      <c r="BF236" s="106"/>
      <c r="BG236" s="106"/>
      <c r="BH236" s="106"/>
      <c r="BI236" s="106"/>
      <c r="BJ236" s="106"/>
      <c r="BK236" s="106"/>
      <c r="BL236" s="106"/>
      <c r="BQ236" s="47"/>
      <c r="BR236" s="47"/>
      <c r="BS236" s="47"/>
      <c r="BT236" s="62">
        <f>BP60/7201884.13*100</f>
        <v>0</v>
      </c>
      <c r="BU236" s="62"/>
      <c r="BV236" s="62"/>
      <c r="BW236" s="62"/>
      <c r="BX236" s="62"/>
      <c r="BY236" s="62"/>
      <c r="BZ236" s="62"/>
      <c r="CA236" s="62"/>
      <c r="CB236" s="61"/>
    </row>
    <row r="237" spans="1:80" ht="63.75" hidden="1" customHeight="1" x14ac:dyDescent="0.2">
      <c r="A237" s="109"/>
      <c r="B237" s="110"/>
      <c r="C237" s="110"/>
      <c r="D237" s="110"/>
      <c r="E237" s="110"/>
      <c r="F237" s="111"/>
      <c r="G237" s="112" t="s">
        <v>79</v>
      </c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4"/>
      <c r="Z237" s="84" t="s">
        <v>51</v>
      </c>
      <c r="AA237" s="84"/>
      <c r="AB237" s="84"/>
      <c r="AC237" s="84"/>
      <c r="AD237" s="84"/>
      <c r="AE237" s="85" t="s">
        <v>61</v>
      </c>
      <c r="AF237" s="86"/>
      <c r="AG237" s="86"/>
      <c r="AH237" s="86"/>
      <c r="AI237" s="86"/>
      <c r="AJ237" s="86"/>
      <c r="AK237" s="86"/>
      <c r="AL237" s="86"/>
      <c r="AM237" s="86"/>
      <c r="AN237" s="87"/>
      <c r="AO237" s="107"/>
      <c r="AP237" s="107"/>
      <c r="AQ237" s="107"/>
      <c r="AR237" s="107"/>
      <c r="AS237" s="107"/>
      <c r="AT237" s="107"/>
      <c r="AU237" s="107"/>
      <c r="AV237" s="107"/>
      <c r="AW237" s="106">
        <f>AS61/8526953.1*100</f>
        <v>0</v>
      </c>
      <c r="AX237" s="106"/>
      <c r="AY237" s="106"/>
      <c r="AZ237" s="106"/>
      <c r="BA237" s="106"/>
      <c r="BB237" s="106"/>
      <c r="BC237" s="106"/>
      <c r="BD237" s="106"/>
      <c r="BE237" s="106">
        <f t="shared" ref="BE237:BE245" si="12">AW237</f>
        <v>0</v>
      </c>
      <c r="BF237" s="106"/>
      <c r="BG237" s="106"/>
      <c r="BH237" s="106"/>
      <c r="BI237" s="106"/>
      <c r="BJ237" s="106"/>
      <c r="BK237" s="106"/>
      <c r="BL237" s="106"/>
      <c r="BQ237" s="47"/>
      <c r="BR237" s="47"/>
      <c r="BS237" s="47"/>
      <c r="BT237" s="62">
        <f>BP61/8526953.1*100</f>
        <v>0</v>
      </c>
      <c r="BU237" s="62"/>
      <c r="BV237" s="62"/>
      <c r="BW237" s="62"/>
      <c r="BX237" s="62"/>
      <c r="BY237" s="62"/>
      <c r="BZ237" s="62"/>
      <c r="CA237" s="62"/>
      <c r="CB237" s="61"/>
    </row>
    <row r="238" spans="1:80" ht="51.75" customHeight="1" x14ac:dyDescent="0.2">
      <c r="A238" s="109"/>
      <c r="B238" s="110"/>
      <c r="C238" s="110"/>
      <c r="D238" s="110"/>
      <c r="E238" s="110"/>
      <c r="F238" s="111"/>
      <c r="G238" s="112" t="s">
        <v>310</v>
      </c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4"/>
      <c r="Z238" s="84" t="s">
        <v>51</v>
      </c>
      <c r="AA238" s="84"/>
      <c r="AB238" s="84"/>
      <c r="AC238" s="84"/>
      <c r="AD238" s="84"/>
      <c r="AE238" s="85" t="s">
        <v>61</v>
      </c>
      <c r="AF238" s="86"/>
      <c r="AG238" s="86"/>
      <c r="AH238" s="86"/>
      <c r="AI238" s="86"/>
      <c r="AJ238" s="86"/>
      <c r="AK238" s="86"/>
      <c r="AL238" s="86"/>
      <c r="AM238" s="86"/>
      <c r="AN238" s="87"/>
      <c r="AO238" s="107"/>
      <c r="AP238" s="107"/>
      <c r="AQ238" s="107"/>
      <c r="AR238" s="107"/>
      <c r="AS238" s="107"/>
      <c r="AT238" s="107"/>
      <c r="AU238" s="107"/>
      <c r="AV238" s="107"/>
      <c r="AW238" s="106">
        <f>AS62/1392753.1*100</f>
        <v>100.00006462021159</v>
      </c>
      <c r="AX238" s="106"/>
      <c r="AY238" s="106"/>
      <c r="AZ238" s="106"/>
      <c r="BA238" s="106"/>
      <c r="BB238" s="106"/>
      <c r="BC238" s="106"/>
      <c r="BD238" s="106"/>
      <c r="BE238" s="106">
        <f t="shared" si="12"/>
        <v>100.00006462021159</v>
      </c>
      <c r="BF238" s="106"/>
      <c r="BG238" s="106"/>
      <c r="BH238" s="106"/>
      <c r="BI238" s="106"/>
      <c r="BJ238" s="106"/>
      <c r="BK238" s="106"/>
      <c r="BL238" s="106"/>
      <c r="BQ238" s="47"/>
      <c r="BR238" s="47"/>
      <c r="BS238" s="47"/>
      <c r="BT238" s="62">
        <f>BP62/1392753.1*100</f>
        <v>0</v>
      </c>
      <c r="BU238" s="62"/>
      <c r="BV238" s="62"/>
      <c r="BW238" s="62"/>
      <c r="BX238" s="62"/>
      <c r="BY238" s="62"/>
      <c r="BZ238" s="62"/>
      <c r="CA238" s="62"/>
      <c r="CB238" s="61"/>
    </row>
    <row r="239" spans="1:80" ht="51" customHeight="1" x14ac:dyDescent="0.2">
      <c r="A239" s="109"/>
      <c r="B239" s="110"/>
      <c r="C239" s="110"/>
      <c r="D239" s="110"/>
      <c r="E239" s="110"/>
      <c r="F239" s="111"/>
      <c r="G239" s="112" t="s">
        <v>311</v>
      </c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4"/>
      <c r="Z239" s="84" t="s">
        <v>51</v>
      </c>
      <c r="AA239" s="84"/>
      <c r="AB239" s="84"/>
      <c r="AC239" s="84"/>
      <c r="AD239" s="84"/>
      <c r="AE239" s="85" t="s">
        <v>61</v>
      </c>
      <c r="AF239" s="86"/>
      <c r="AG239" s="86"/>
      <c r="AH239" s="86"/>
      <c r="AI239" s="86"/>
      <c r="AJ239" s="86"/>
      <c r="AK239" s="86"/>
      <c r="AL239" s="86"/>
      <c r="AM239" s="86"/>
      <c r="AN239" s="87"/>
      <c r="AO239" s="107"/>
      <c r="AP239" s="107"/>
      <c r="AQ239" s="107"/>
      <c r="AR239" s="107"/>
      <c r="AS239" s="107"/>
      <c r="AT239" s="107"/>
      <c r="AU239" s="107"/>
      <c r="AV239" s="107"/>
      <c r="AW239" s="106">
        <f>AS63/1083783.18*100</f>
        <v>100.00007566089005</v>
      </c>
      <c r="AX239" s="106"/>
      <c r="AY239" s="106"/>
      <c r="AZ239" s="106"/>
      <c r="BA239" s="106"/>
      <c r="BB239" s="106"/>
      <c r="BC239" s="106"/>
      <c r="BD239" s="106"/>
      <c r="BE239" s="106">
        <f t="shared" si="12"/>
        <v>100.00007566089005</v>
      </c>
      <c r="BF239" s="106"/>
      <c r="BG239" s="106"/>
      <c r="BH239" s="106"/>
      <c r="BI239" s="106"/>
      <c r="BJ239" s="106"/>
      <c r="BK239" s="106"/>
      <c r="BL239" s="106"/>
      <c r="BQ239" s="47"/>
      <c r="BR239" s="47"/>
      <c r="BS239" s="47"/>
      <c r="BT239" s="62">
        <f>BP63/1083783.18*100</f>
        <v>0</v>
      </c>
      <c r="BU239" s="62"/>
      <c r="BV239" s="62"/>
      <c r="BW239" s="62"/>
      <c r="BX239" s="62"/>
      <c r="BY239" s="62"/>
      <c r="BZ239" s="62"/>
      <c r="CA239" s="62"/>
      <c r="CB239" s="61"/>
    </row>
    <row r="240" spans="1:80" ht="48.75" customHeight="1" x14ac:dyDescent="0.2">
      <c r="A240" s="109"/>
      <c r="B240" s="110"/>
      <c r="C240" s="110"/>
      <c r="D240" s="110"/>
      <c r="E240" s="110"/>
      <c r="F240" s="111"/>
      <c r="G240" s="112" t="s">
        <v>312</v>
      </c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4"/>
      <c r="Z240" s="84" t="s">
        <v>51</v>
      </c>
      <c r="AA240" s="84"/>
      <c r="AB240" s="84"/>
      <c r="AC240" s="84"/>
      <c r="AD240" s="84"/>
      <c r="AE240" s="85" t="s">
        <v>61</v>
      </c>
      <c r="AF240" s="86"/>
      <c r="AG240" s="86"/>
      <c r="AH240" s="86"/>
      <c r="AI240" s="86"/>
      <c r="AJ240" s="86"/>
      <c r="AK240" s="86"/>
      <c r="AL240" s="86"/>
      <c r="AM240" s="86"/>
      <c r="AN240" s="87"/>
      <c r="AO240" s="107"/>
      <c r="AP240" s="107"/>
      <c r="AQ240" s="107"/>
      <c r="AR240" s="107"/>
      <c r="AS240" s="107"/>
      <c r="AT240" s="107"/>
      <c r="AU240" s="107"/>
      <c r="AV240" s="107"/>
      <c r="AW240" s="106">
        <f>AS64/2272101.71*100</f>
        <v>100.00001276351314</v>
      </c>
      <c r="AX240" s="106"/>
      <c r="AY240" s="106"/>
      <c r="AZ240" s="106"/>
      <c r="BA240" s="106"/>
      <c r="BB240" s="106"/>
      <c r="BC240" s="106"/>
      <c r="BD240" s="106"/>
      <c r="BE240" s="106">
        <f t="shared" si="12"/>
        <v>100.00001276351314</v>
      </c>
      <c r="BF240" s="106"/>
      <c r="BG240" s="106"/>
      <c r="BH240" s="106"/>
      <c r="BI240" s="106"/>
      <c r="BJ240" s="106"/>
      <c r="BK240" s="106"/>
      <c r="BL240" s="106"/>
      <c r="BQ240" s="47"/>
      <c r="BR240" s="47"/>
      <c r="BS240" s="47"/>
      <c r="BT240" s="62">
        <f>BP64/2272101.71*100</f>
        <v>0</v>
      </c>
      <c r="BU240" s="62"/>
      <c r="BV240" s="62"/>
      <c r="BW240" s="62"/>
      <c r="BX240" s="62"/>
      <c r="BY240" s="62"/>
      <c r="BZ240" s="62"/>
      <c r="CA240" s="62"/>
      <c r="CB240" s="61"/>
    </row>
    <row r="241" spans="1:80" ht="51" customHeight="1" x14ac:dyDescent="0.2">
      <c r="A241" s="109"/>
      <c r="B241" s="110"/>
      <c r="C241" s="110"/>
      <c r="D241" s="110"/>
      <c r="E241" s="110"/>
      <c r="F241" s="111"/>
      <c r="G241" s="112" t="s">
        <v>313</v>
      </c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4"/>
      <c r="Z241" s="84" t="s">
        <v>51</v>
      </c>
      <c r="AA241" s="84"/>
      <c r="AB241" s="84"/>
      <c r="AC241" s="84"/>
      <c r="AD241" s="84"/>
      <c r="AE241" s="85" t="s">
        <v>61</v>
      </c>
      <c r="AF241" s="86"/>
      <c r="AG241" s="86"/>
      <c r="AH241" s="86"/>
      <c r="AI241" s="86"/>
      <c r="AJ241" s="86"/>
      <c r="AK241" s="86"/>
      <c r="AL241" s="86"/>
      <c r="AM241" s="86"/>
      <c r="AN241" s="87"/>
      <c r="AO241" s="107"/>
      <c r="AP241" s="107"/>
      <c r="AQ241" s="107"/>
      <c r="AR241" s="107"/>
      <c r="AS241" s="107"/>
      <c r="AT241" s="107"/>
      <c r="AU241" s="107"/>
      <c r="AV241" s="107"/>
      <c r="AW241" s="106">
        <f>AS65/130655*100</f>
        <v>100</v>
      </c>
      <c r="AX241" s="106"/>
      <c r="AY241" s="106"/>
      <c r="AZ241" s="106"/>
      <c r="BA241" s="106"/>
      <c r="BB241" s="106"/>
      <c r="BC241" s="106"/>
      <c r="BD241" s="106"/>
      <c r="BE241" s="106">
        <f t="shared" si="12"/>
        <v>100</v>
      </c>
      <c r="BF241" s="106"/>
      <c r="BG241" s="106"/>
      <c r="BH241" s="106"/>
      <c r="BI241" s="106"/>
      <c r="BJ241" s="106"/>
      <c r="BK241" s="106"/>
      <c r="BL241" s="106"/>
      <c r="BQ241" s="47"/>
      <c r="BR241" s="47"/>
      <c r="BS241" s="47"/>
      <c r="BT241" s="62">
        <f>BP65/130655*100</f>
        <v>0</v>
      </c>
      <c r="BU241" s="62"/>
      <c r="BV241" s="62"/>
      <c r="BW241" s="62"/>
      <c r="BX241" s="62"/>
      <c r="BY241" s="62"/>
      <c r="BZ241" s="62"/>
      <c r="CA241" s="62"/>
      <c r="CB241" s="61"/>
    </row>
    <row r="242" spans="1:80" ht="48.75" customHeight="1" x14ac:dyDescent="0.2">
      <c r="A242" s="109"/>
      <c r="B242" s="110"/>
      <c r="C242" s="110"/>
      <c r="D242" s="110"/>
      <c r="E242" s="110"/>
      <c r="F242" s="111"/>
      <c r="G242" s="112" t="s">
        <v>314</v>
      </c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4"/>
      <c r="Z242" s="84" t="s">
        <v>51</v>
      </c>
      <c r="AA242" s="84"/>
      <c r="AB242" s="84"/>
      <c r="AC242" s="84"/>
      <c r="AD242" s="84"/>
      <c r="AE242" s="85" t="s">
        <v>61</v>
      </c>
      <c r="AF242" s="86"/>
      <c r="AG242" s="86"/>
      <c r="AH242" s="86"/>
      <c r="AI242" s="86"/>
      <c r="AJ242" s="86"/>
      <c r="AK242" s="86"/>
      <c r="AL242" s="86"/>
      <c r="AM242" s="86"/>
      <c r="AN242" s="87"/>
      <c r="AO242" s="107"/>
      <c r="AP242" s="107"/>
      <c r="AQ242" s="107"/>
      <c r="AR242" s="107"/>
      <c r="AS242" s="107"/>
      <c r="AT242" s="107"/>
      <c r="AU242" s="107"/>
      <c r="AV242" s="107"/>
      <c r="AW242" s="106">
        <f>AS66/294266*100</f>
        <v>100</v>
      </c>
      <c r="AX242" s="106"/>
      <c r="AY242" s="106"/>
      <c r="AZ242" s="106"/>
      <c r="BA242" s="106"/>
      <c r="BB242" s="106"/>
      <c r="BC242" s="106"/>
      <c r="BD242" s="106"/>
      <c r="BE242" s="106">
        <f t="shared" si="12"/>
        <v>100</v>
      </c>
      <c r="BF242" s="106"/>
      <c r="BG242" s="106"/>
      <c r="BH242" s="106"/>
      <c r="BI242" s="106"/>
      <c r="BJ242" s="106"/>
      <c r="BK242" s="106"/>
      <c r="BL242" s="106"/>
      <c r="BQ242" s="47"/>
      <c r="BR242" s="47"/>
      <c r="BS242" s="47"/>
      <c r="BT242" s="62">
        <f>BP66/294266*100</f>
        <v>0</v>
      </c>
      <c r="BU242" s="62"/>
      <c r="BV242" s="62"/>
      <c r="BW242" s="62"/>
      <c r="BX242" s="62"/>
      <c r="BY242" s="62"/>
      <c r="BZ242" s="62"/>
      <c r="CA242" s="62"/>
      <c r="CB242" s="61"/>
    </row>
    <row r="243" spans="1:80" ht="63.75" customHeight="1" x14ac:dyDescent="0.2">
      <c r="A243" s="109"/>
      <c r="B243" s="110"/>
      <c r="C243" s="110"/>
      <c r="D243" s="110"/>
      <c r="E243" s="110"/>
      <c r="F243" s="111"/>
      <c r="G243" s="112" t="s">
        <v>315</v>
      </c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4"/>
      <c r="Z243" s="84" t="s">
        <v>51</v>
      </c>
      <c r="AA243" s="84"/>
      <c r="AB243" s="84"/>
      <c r="AC243" s="84"/>
      <c r="AD243" s="84"/>
      <c r="AE243" s="85" t="s">
        <v>61</v>
      </c>
      <c r="AF243" s="86"/>
      <c r="AG243" s="86"/>
      <c r="AH243" s="86"/>
      <c r="AI243" s="86"/>
      <c r="AJ243" s="86"/>
      <c r="AK243" s="86"/>
      <c r="AL243" s="86"/>
      <c r="AM243" s="86"/>
      <c r="AN243" s="87"/>
      <c r="AO243" s="107"/>
      <c r="AP243" s="107"/>
      <c r="AQ243" s="107"/>
      <c r="AR243" s="107"/>
      <c r="AS243" s="107"/>
      <c r="AT243" s="107"/>
      <c r="AU243" s="107"/>
      <c r="AV243" s="107"/>
      <c r="AW243" s="106">
        <f>AS67/(12635096.84+183532.27)*100</f>
        <v>100.00000694302014</v>
      </c>
      <c r="AX243" s="106"/>
      <c r="AY243" s="106"/>
      <c r="AZ243" s="106"/>
      <c r="BA243" s="106"/>
      <c r="BB243" s="106"/>
      <c r="BC243" s="106"/>
      <c r="BD243" s="106"/>
      <c r="BE243" s="106">
        <f t="shared" si="12"/>
        <v>100.00000694302014</v>
      </c>
      <c r="BF243" s="106"/>
      <c r="BG243" s="106"/>
      <c r="BH243" s="106"/>
      <c r="BI243" s="106"/>
      <c r="BJ243" s="106"/>
      <c r="BK243" s="106"/>
      <c r="BL243" s="106"/>
      <c r="BQ243" s="47"/>
      <c r="BR243" s="47"/>
      <c r="BS243" s="47"/>
      <c r="BT243" s="62">
        <f>BP67/(12635096.84+183532.27)*100</f>
        <v>0</v>
      </c>
      <c r="BU243" s="62"/>
      <c r="BV243" s="62"/>
      <c r="BW243" s="62"/>
      <c r="BX243" s="62"/>
      <c r="BY243" s="62"/>
      <c r="BZ243" s="62"/>
      <c r="CA243" s="62"/>
      <c r="CB243" s="61"/>
    </row>
    <row r="244" spans="1:80" ht="51.75" customHeight="1" x14ac:dyDescent="0.2">
      <c r="A244" s="109"/>
      <c r="B244" s="110"/>
      <c r="C244" s="110"/>
      <c r="D244" s="110"/>
      <c r="E244" s="110"/>
      <c r="F244" s="111"/>
      <c r="G244" s="112" t="s">
        <v>316</v>
      </c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4"/>
      <c r="Z244" s="84" t="s">
        <v>51</v>
      </c>
      <c r="AA244" s="84"/>
      <c r="AB244" s="84"/>
      <c r="AC244" s="84"/>
      <c r="AD244" s="84"/>
      <c r="AE244" s="85" t="s">
        <v>61</v>
      </c>
      <c r="AF244" s="86"/>
      <c r="AG244" s="86"/>
      <c r="AH244" s="86"/>
      <c r="AI244" s="86"/>
      <c r="AJ244" s="86"/>
      <c r="AK244" s="86"/>
      <c r="AL244" s="86"/>
      <c r="AM244" s="86"/>
      <c r="AN244" s="87"/>
      <c r="AO244" s="107"/>
      <c r="AP244" s="107"/>
      <c r="AQ244" s="107"/>
      <c r="AR244" s="107"/>
      <c r="AS244" s="107"/>
      <c r="AT244" s="107"/>
      <c r="AU244" s="107"/>
      <c r="AV244" s="107"/>
      <c r="AW244" s="106">
        <f>AS68/5736181*100</f>
        <v>88.337153238365389</v>
      </c>
      <c r="AX244" s="106"/>
      <c r="AY244" s="106"/>
      <c r="AZ244" s="106"/>
      <c r="BA244" s="106"/>
      <c r="BB244" s="106"/>
      <c r="BC244" s="106"/>
      <c r="BD244" s="106"/>
      <c r="BE244" s="106">
        <f t="shared" si="12"/>
        <v>88.337153238365389</v>
      </c>
      <c r="BF244" s="106"/>
      <c r="BG244" s="106"/>
      <c r="BH244" s="106"/>
      <c r="BI244" s="106"/>
      <c r="BJ244" s="106"/>
      <c r="BK244" s="106"/>
      <c r="BL244" s="106"/>
      <c r="BQ244" s="47"/>
      <c r="BR244" s="47"/>
      <c r="BS244" s="47"/>
      <c r="BT244" s="62">
        <f>BP68/5736181*100</f>
        <v>0</v>
      </c>
      <c r="BU244" s="62"/>
      <c r="BV244" s="62"/>
      <c r="BW244" s="62"/>
      <c r="BX244" s="62"/>
      <c r="BY244" s="62"/>
      <c r="BZ244" s="62"/>
      <c r="CA244" s="62"/>
      <c r="CB244" s="61"/>
    </row>
    <row r="245" spans="1:80" ht="65.25" customHeight="1" x14ac:dyDescent="0.2">
      <c r="A245" s="109"/>
      <c r="B245" s="110"/>
      <c r="C245" s="110"/>
      <c r="D245" s="110"/>
      <c r="E245" s="110"/>
      <c r="F245" s="111"/>
      <c r="G245" s="112" t="s">
        <v>327</v>
      </c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4"/>
      <c r="Z245" s="84" t="s">
        <v>51</v>
      </c>
      <c r="AA245" s="84"/>
      <c r="AB245" s="84"/>
      <c r="AC245" s="84"/>
      <c r="AD245" s="84"/>
      <c r="AE245" s="85" t="s">
        <v>61</v>
      </c>
      <c r="AF245" s="86"/>
      <c r="AG245" s="86"/>
      <c r="AH245" s="86"/>
      <c r="AI245" s="86"/>
      <c r="AJ245" s="86"/>
      <c r="AK245" s="86"/>
      <c r="AL245" s="86"/>
      <c r="AM245" s="86"/>
      <c r="AN245" s="87"/>
      <c r="AO245" s="107"/>
      <c r="AP245" s="107"/>
      <c r="AQ245" s="107"/>
      <c r="AR245" s="107"/>
      <c r="AS245" s="107"/>
      <c r="AT245" s="107"/>
      <c r="AU245" s="107"/>
      <c r="AV245" s="107"/>
      <c r="AW245" s="106">
        <f>AS69/1038210.19*100</f>
        <v>100.00007801888364</v>
      </c>
      <c r="AX245" s="106"/>
      <c r="AY245" s="106"/>
      <c r="AZ245" s="106"/>
      <c r="BA245" s="106"/>
      <c r="BB245" s="106"/>
      <c r="BC245" s="106"/>
      <c r="BD245" s="106"/>
      <c r="BE245" s="106">
        <f t="shared" si="12"/>
        <v>100.00007801888364</v>
      </c>
      <c r="BF245" s="106"/>
      <c r="BG245" s="106"/>
      <c r="BH245" s="106"/>
      <c r="BI245" s="106"/>
      <c r="BJ245" s="106"/>
      <c r="BK245" s="106"/>
      <c r="BL245" s="106"/>
      <c r="BQ245" s="47"/>
      <c r="BR245" s="47"/>
      <c r="BS245" s="47"/>
      <c r="BT245" s="62">
        <f>BP69/1038210.19*100</f>
        <v>0</v>
      </c>
      <c r="BU245" s="62"/>
      <c r="BV245" s="62"/>
      <c r="BW245" s="62"/>
      <c r="BX245" s="62"/>
      <c r="BY245" s="62"/>
      <c r="BZ245" s="62"/>
      <c r="CA245" s="62"/>
      <c r="CB245" s="61"/>
    </row>
    <row r="246" spans="1:80" ht="54" customHeight="1" x14ac:dyDescent="0.2">
      <c r="A246" s="109"/>
      <c r="B246" s="110"/>
      <c r="C246" s="110"/>
      <c r="D246" s="110"/>
      <c r="E246" s="110"/>
      <c r="F246" s="111"/>
      <c r="G246" s="112" t="s">
        <v>317</v>
      </c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4"/>
      <c r="Z246" s="84" t="s">
        <v>51</v>
      </c>
      <c r="AA246" s="84"/>
      <c r="AB246" s="84"/>
      <c r="AC246" s="84"/>
      <c r="AD246" s="84"/>
      <c r="AE246" s="85" t="s">
        <v>61</v>
      </c>
      <c r="AF246" s="86"/>
      <c r="AG246" s="86"/>
      <c r="AH246" s="86"/>
      <c r="AI246" s="86"/>
      <c r="AJ246" s="86"/>
      <c r="AK246" s="86"/>
      <c r="AL246" s="86"/>
      <c r="AM246" s="86"/>
      <c r="AN246" s="87"/>
      <c r="AO246" s="107"/>
      <c r="AP246" s="107"/>
      <c r="AQ246" s="107"/>
      <c r="AR246" s="107"/>
      <c r="AS246" s="107"/>
      <c r="AT246" s="107"/>
      <c r="AU246" s="107"/>
      <c r="AV246" s="107"/>
      <c r="AW246" s="106">
        <v>78</v>
      </c>
      <c r="AX246" s="106"/>
      <c r="AY246" s="106"/>
      <c r="AZ246" s="106"/>
      <c r="BA246" s="106"/>
      <c r="BB246" s="106"/>
      <c r="BC246" s="106"/>
      <c r="BD246" s="106"/>
      <c r="BE246" s="106">
        <f>AW246</f>
        <v>78</v>
      </c>
      <c r="BF246" s="106"/>
      <c r="BG246" s="106"/>
      <c r="BH246" s="106"/>
      <c r="BI246" s="106"/>
      <c r="BJ246" s="106"/>
      <c r="BK246" s="106"/>
      <c r="BL246" s="106"/>
      <c r="BQ246" s="47"/>
      <c r="BR246" s="47"/>
      <c r="BS246" s="47"/>
      <c r="BT246" s="62">
        <f>(BP71+362316.88)/2163176*100</f>
        <v>16.749301952314561</v>
      </c>
      <c r="BU246" s="62"/>
      <c r="BV246" s="62"/>
      <c r="BW246" s="62"/>
      <c r="BX246" s="62"/>
      <c r="BY246" s="62"/>
      <c r="BZ246" s="62"/>
      <c r="CA246" s="62"/>
      <c r="CB246" s="61"/>
    </row>
    <row r="247" spans="1:80" ht="57" customHeight="1" x14ac:dyDescent="0.2">
      <c r="A247" s="109"/>
      <c r="B247" s="110"/>
      <c r="C247" s="110"/>
      <c r="D247" s="110"/>
      <c r="E247" s="110"/>
      <c r="F247" s="111"/>
      <c r="G247" s="112" t="s">
        <v>328</v>
      </c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4"/>
      <c r="Z247" s="84" t="s">
        <v>51</v>
      </c>
      <c r="AA247" s="84"/>
      <c r="AB247" s="84"/>
      <c r="AC247" s="84"/>
      <c r="AD247" s="84"/>
      <c r="AE247" s="85" t="s">
        <v>61</v>
      </c>
      <c r="AF247" s="86"/>
      <c r="AG247" s="86"/>
      <c r="AH247" s="86"/>
      <c r="AI247" s="86"/>
      <c r="AJ247" s="86"/>
      <c r="AK247" s="86"/>
      <c r="AL247" s="86"/>
      <c r="AM247" s="86"/>
      <c r="AN247" s="87"/>
      <c r="AO247" s="107"/>
      <c r="AP247" s="107"/>
      <c r="AQ247" s="107"/>
      <c r="AR247" s="107"/>
      <c r="AS247" s="107"/>
      <c r="AT247" s="107"/>
      <c r="AU247" s="107"/>
      <c r="AV247" s="107"/>
      <c r="AW247" s="106">
        <v>61</v>
      </c>
      <c r="AX247" s="106"/>
      <c r="AY247" s="106"/>
      <c r="AZ247" s="106"/>
      <c r="BA247" s="106"/>
      <c r="BB247" s="106"/>
      <c r="BC247" s="106"/>
      <c r="BD247" s="106"/>
      <c r="BE247" s="106">
        <f>AW247</f>
        <v>61</v>
      </c>
      <c r="BF247" s="106"/>
      <c r="BG247" s="106"/>
      <c r="BH247" s="106"/>
      <c r="BI247" s="106"/>
      <c r="BJ247" s="106"/>
      <c r="BK247" s="106"/>
      <c r="BL247" s="106"/>
      <c r="BQ247" s="47"/>
      <c r="BR247" s="47"/>
      <c r="BS247" s="47"/>
      <c r="BT247" s="62">
        <f>BP72/990371*100</f>
        <v>0</v>
      </c>
      <c r="BU247" s="62"/>
      <c r="BV247" s="62"/>
      <c r="BW247" s="62"/>
      <c r="BX247" s="62"/>
      <c r="BY247" s="62"/>
      <c r="BZ247" s="62"/>
      <c r="CA247" s="62"/>
      <c r="CB247" s="61"/>
    </row>
    <row r="248" spans="1:80" ht="65.25" customHeight="1" x14ac:dyDescent="0.2">
      <c r="A248" s="109"/>
      <c r="B248" s="110"/>
      <c r="C248" s="110"/>
      <c r="D248" s="110"/>
      <c r="E248" s="110"/>
      <c r="F248" s="111"/>
      <c r="G248" s="112" t="s">
        <v>318</v>
      </c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4"/>
      <c r="Z248" s="84" t="s">
        <v>51</v>
      </c>
      <c r="AA248" s="84"/>
      <c r="AB248" s="84"/>
      <c r="AC248" s="84"/>
      <c r="AD248" s="84"/>
      <c r="AE248" s="85" t="s">
        <v>61</v>
      </c>
      <c r="AF248" s="86"/>
      <c r="AG248" s="86"/>
      <c r="AH248" s="86"/>
      <c r="AI248" s="86"/>
      <c r="AJ248" s="86"/>
      <c r="AK248" s="86"/>
      <c r="AL248" s="86"/>
      <c r="AM248" s="86"/>
      <c r="AN248" s="87"/>
      <c r="AO248" s="107"/>
      <c r="AP248" s="107"/>
      <c r="AQ248" s="107"/>
      <c r="AR248" s="107"/>
      <c r="AS248" s="107"/>
      <c r="AT248" s="107"/>
      <c r="AU248" s="107"/>
      <c r="AV248" s="107"/>
      <c r="AW248" s="106">
        <f>AS75/2915336*100</f>
        <v>100</v>
      </c>
      <c r="AX248" s="106"/>
      <c r="AY248" s="106"/>
      <c r="AZ248" s="106"/>
      <c r="BA248" s="106"/>
      <c r="BB248" s="106"/>
      <c r="BC248" s="106"/>
      <c r="BD248" s="106"/>
      <c r="BE248" s="106">
        <f>AW248</f>
        <v>100</v>
      </c>
      <c r="BF248" s="106"/>
      <c r="BG248" s="106"/>
      <c r="BH248" s="106"/>
      <c r="BI248" s="106"/>
      <c r="BJ248" s="106"/>
      <c r="BK248" s="106"/>
      <c r="BL248" s="106"/>
      <c r="BQ248" s="47"/>
      <c r="BR248" s="47"/>
      <c r="BS248" s="47"/>
      <c r="BT248" s="62">
        <f>BP75/2915336*100</f>
        <v>0</v>
      </c>
      <c r="BU248" s="62"/>
      <c r="BV248" s="62"/>
      <c r="BW248" s="62"/>
      <c r="BX248" s="62"/>
      <c r="BY248" s="62"/>
      <c r="BZ248" s="62"/>
      <c r="CA248" s="62"/>
      <c r="CB248" s="61"/>
    </row>
    <row r="249" spans="1:80" ht="55.5" customHeight="1" x14ac:dyDescent="0.2">
      <c r="A249" s="109"/>
      <c r="B249" s="110"/>
      <c r="C249" s="110"/>
      <c r="D249" s="110"/>
      <c r="E249" s="110"/>
      <c r="F249" s="111"/>
      <c r="G249" s="112" t="s">
        <v>319</v>
      </c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4"/>
      <c r="Z249" s="84" t="s">
        <v>51</v>
      </c>
      <c r="AA249" s="84"/>
      <c r="AB249" s="84"/>
      <c r="AC249" s="84"/>
      <c r="AD249" s="84"/>
      <c r="AE249" s="85" t="s">
        <v>61</v>
      </c>
      <c r="AF249" s="86"/>
      <c r="AG249" s="86"/>
      <c r="AH249" s="86"/>
      <c r="AI249" s="86"/>
      <c r="AJ249" s="86"/>
      <c r="AK249" s="86"/>
      <c r="AL249" s="86"/>
      <c r="AM249" s="86"/>
      <c r="AN249" s="87"/>
      <c r="AO249" s="107"/>
      <c r="AP249" s="107"/>
      <c r="AQ249" s="107"/>
      <c r="AR249" s="107"/>
      <c r="AS249" s="107"/>
      <c r="AT249" s="107"/>
      <c r="AU249" s="107"/>
      <c r="AV249" s="107"/>
      <c r="AW249" s="106">
        <v>42</v>
      </c>
      <c r="AX249" s="106"/>
      <c r="AY249" s="106"/>
      <c r="AZ249" s="106"/>
      <c r="BA249" s="106"/>
      <c r="BB249" s="106"/>
      <c r="BC249" s="106"/>
      <c r="BD249" s="106"/>
      <c r="BE249" s="106">
        <f>AW249</f>
        <v>42</v>
      </c>
      <c r="BF249" s="106"/>
      <c r="BG249" s="106"/>
      <c r="BH249" s="106"/>
      <c r="BI249" s="106"/>
      <c r="BJ249" s="106"/>
      <c r="BK249" s="106"/>
      <c r="BL249" s="106"/>
      <c r="BQ249" s="47"/>
      <c r="BR249" s="47"/>
      <c r="BS249" s="47"/>
      <c r="BT249" s="62">
        <f>BP76/21842639*100</f>
        <v>0</v>
      </c>
      <c r="BU249" s="62"/>
      <c r="BV249" s="62"/>
      <c r="BW249" s="62"/>
      <c r="BX249" s="62"/>
      <c r="BY249" s="62"/>
      <c r="BZ249" s="62"/>
      <c r="CA249" s="62"/>
      <c r="CB249" s="61"/>
    </row>
    <row r="250" spans="1:80" ht="51.75" hidden="1" customHeight="1" x14ac:dyDescent="0.2">
      <c r="A250" s="109"/>
      <c r="B250" s="110"/>
      <c r="C250" s="110"/>
      <c r="D250" s="110"/>
      <c r="E250" s="110"/>
      <c r="F250" s="111"/>
      <c r="G250" s="112" t="s">
        <v>130</v>
      </c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4"/>
      <c r="Z250" s="84" t="s">
        <v>51</v>
      </c>
      <c r="AA250" s="84"/>
      <c r="AB250" s="84"/>
      <c r="AC250" s="84"/>
      <c r="AD250" s="84"/>
      <c r="AE250" s="85" t="s">
        <v>61</v>
      </c>
      <c r="AF250" s="86"/>
      <c r="AG250" s="86"/>
      <c r="AH250" s="86"/>
      <c r="AI250" s="86"/>
      <c r="AJ250" s="86"/>
      <c r="AK250" s="86"/>
      <c r="AL250" s="86"/>
      <c r="AM250" s="86"/>
      <c r="AN250" s="87"/>
      <c r="AO250" s="107"/>
      <c r="AP250" s="107"/>
      <c r="AQ250" s="107"/>
      <c r="AR250" s="107"/>
      <c r="AS250" s="107"/>
      <c r="AT250" s="107"/>
      <c r="AU250" s="107"/>
      <c r="AV250" s="107"/>
      <c r="AW250" s="106">
        <f>1165856.81/1442309*100</f>
        <v>80.832665538383253</v>
      </c>
      <c r="AX250" s="106"/>
      <c r="AY250" s="106"/>
      <c r="AZ250" s="106"/>
      <c r="BA250" s="106"/>
      <c r="BB250" s="106"/>
      <c r="BC250" s="106"/>
      <c r="BD250" s="106"/>
      <c r="BE250" s="106">
        <f>AW250</f>
        <v>80.832665538383253</v>
      </c>
      <c r="BF250" s="106"/>
      <c r="BG250" s="106"/>
      <c r="BH250" s="106"/>
      <c r="BI250" s="106"/>
      <c r="BJ250" s="106"/>
      <c r="BK250" s="106"/>
      <c r="BL250" s="106"/>
      <c r="BQ250" s="47"/>
      <c r="BR250" s="47"/>
      <c r="BS250" s="47"/>
      <c r="BT250" s="62">
        <f>1165856.81/1442309*100</f>
        <v>80.832665538383253</v>
      </c>
      <c r="BU250" s="62"/>
      <c r="BV250" s="62"/>
      <c r="BW250" s="62"/>
      <c r="BX250" s="62"/>
      <c r="BY250" s="62"/>
      <c r="BZ250" s="62"/>
      <c r="CA250" s="62"/>
      <c r="CB250" s="61"/>
    </row>
    <row r="251" spans="1:80" ht="51.75" customHeight="1" x14ac:dyDescent="0.2">
      <c r="A251" s="109"/>
      <c r="B251" s="110"/>
      <c r="C251" s="110"/>
      <c r="D251" s="110"/>
      <c r="E251" s="110"/>
      <c r="F251" s="111"/>
      <c r="G251" s="112" t="s">
        <v>320</v>
      </c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4"/>
      <c r="Z251" s="115" t="s">
        <v>51</v>
      </c>
      <c r="AA251" s="115"/>
      <c r="AB251" s="115"/>
      <c r="AC251" s="115"/>
      <c r="AD251" s="115"/>
      <c r="AE251" s="85" t="s">
        <v>61</v>
      </c>
      <c r="AF251" s="86"/>
      <c r="AG251" s="86"/>
      <c r="AH251" s="86"/>
      <c r="AI251" s="86"/>
      <c r="AJ251" s="86"/>
      <c r="AK251" s="86"/>
      <c r="AL251" s="86"/>
      <c r="AM251" s="86"/>
      <c r="AN251" s="87"/>
      <c r="AO251" s="107"/>
      <c r="AP251" s="107"/>
      <c r="AQ251" s="107"/>
      <c r="AR251" s="107"/>
      <c r="AS251" s="107"/>
      <c r="AT251" s="107"/>
      <c r="AU251" s="107"/>
      <c r="AV251" s="107"/>
      <c r="AW251" s="108">
        <v>100</v>
      </c>
      <c r="AX251" s="108"/>
      <c r="AY251" s="108"/>
      <c r="AZ251" s="108"/>
      <c r="BA251" s="108"/>
      <c r="BB251" s="108"/>
      <c r="BC251" s="108"/>
      <c r="BD251" s="108"/>
      <c r="BE251" s="106">
        <f t="shared" ref="BE251:BE257" si="13">AW251</f>
        <v>100</v>
      </c>
      <c r="BF251" s="106"/>
      <c r="BG251" s="106"/>
      <c r="BH251" s="106"/>
      <c r="BI251" s="106"/>
      <c r="BJ251" s="106"/>
      <c r="BK251" s="106"/>
      <c r="BL251" s="106"/>
      <c r="BQ251" s="47"/>
      <c r="BR251" s="47"/>
      <c r="BS251" s="47"/>
      <c r="BT251" s="62">
        <f>BP78/428388*100</f>
        <v>0</v>
      </c>
      <c r="BU251" s="62"/>
      <c r="BV251" s="62"/>
      <c r="BW251" s="62"/>
      <c r="BX251" s="62"/>
      <c r="BY251" s="62"/>
      <c r="BZ251" s="62"/>
      <c r="CA251" s="62"/>
      <c r="CB251" s="61"/>
    </row>
    <row r="252" spans="1:80" ht="51.75" customHeight="1" x14ac:dyDescent="0.2">
      <c r="A252" s="109"/>
      <c r="B252" s="110"/>
      <c r="C252" s="110"/>
      <c r="D252" s="110"/>
      <c r="E252" s="110"/>
      <c r="F252" s="111"/>
      <c r="G252" s="112" t="s">
        <v>321</v>
      </c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4"/>
      <c r="Z252" s="115" t="s">
        <v>51</v>
      </c>
      <c r="AA252" s="115"/>
      <c r="AB252" s="115"/>
      <c r="AC252" s="115"/>
      <c r="AD252" s="115"/>
      <c r="AE252" s="85" t="s">
        <v>61</v>
      </c>
      <c r="AF252" s="86"/>
      <c r="AG252" s="86"/>
      <c r="AH252" s="86"/>
      <c r="AI252" s="86"/>
      <c r="AJ252" s="86"/>
      <c r="AK252" s="86"/>
      <c r="AL252" s="86"/>
      <c r="AM252" s="86"/>
      <c r="AN252" s="87"/>
      <c r="AO252" s="107"/>
      <c r="AP252" s="107"/>
      <c r="AQ252" s="107"/>
      <c r="AR252" s="107"/>
      <c r="AS252" s="107"/>
      <c r="AT252" s="107"/>
      <c r="AU252" s="107"/>
      <c r="AV252" s="107"/>
      <c r="AW252" s="108">
        <v>100</v>
      </c>
      <c r="AX252" s="108"/>
      <c r="AY252" s="108"/>
      <c r="AZ252" s="108"/>
      <c r="BA252" s="108"/>
      <c r="BB252" s="108"/>
      <c r="BC252" s="108"/>
      <c r="BD252" s="108"/>
      <c r="BE252" s="106">
        <f t="shared" si="13"/>
        <v>100</v>
      </c>
      <c r="BF252" s="106"/>
      <c r="BG252" s="106"/>
      <c r="BH252" s="106"/>
      <c r="BI252" s="106"/>
      <c r="BJ252" s="106"/>
      <c r="BK252" s="106"/>
      <c r="BL252" s="106"/>
      <c r="BQ252" s="47"/>
      <c r="BR252" s="47"/>
      <c r="BS252" s="47"/>
      <c r="BT252" s="62">
        <f>BP79/3122498*100</f>
        <v>0</v>
      </c>
      <c r="BU252" s="62"/>
      <c r="BV252" s="62"/>
      <c r="BW252" s="62"/>
      <c r="BX252" s="62"/>
      <c r="BY252" s="62"/>
      <c r="BZ252" s="62"/>
      <c r="CA252" s="62"/>
      <c r="CB252" s="61"/>
    </row>
    <row r="253" spans="1:80" ht="40.5" customHeight="1" x14ac:dyDescent="0.2">
      <c r="A253" s="109"/>
      <c r="B253" s="110"/>
      <c r="C253" s="110"/>
      <c r="D253" s="110"/>
      <c r="E253" s="110"/>
      <c r="F253" s="111"/>
      <c r="G253" s="112" t="s">
        <v>322</v>
      </c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4"/>
      <c r="Z253" s="115" t="s">
        <v>51</v>
      </c>
      <c r="AA253" s="115"/>
      <c r="AB253" s="115"/>
      <c r="AC253" s="115"/>
      <c r="AD253" s="115"/>
      <c r="AE253" s="85" t="s">
        <v>61</v>
      </c>
      <c r="AF253" s="86"/>
      <c r="AG253" s="86"/>
      <c r="AH253" s="86"/>
      <c r="AI253" s="86"/>
      <c r="AJ253" s="86"/>
      <c r="AK253" s="86"/>
      <c r="AL253" s="86"/>
      <c r="AM253" s="86"/>
      <c r="AN253" s="87"/>
      <c r="AO253" s="107"/>
      <c r="AP253" s="107"/>
      <c r="AQ253" s="107"/>
      <c r="AR253" s="107"/>
      <c r="AS253" s="107"/>
      <c r="AT253" s="107"/>
      <c r="AU253" s="107"/>
      <c r="AV253" s="107"/>
      <c r="AW253" s="108">
        <v>100</v>
      </c>
      <c r="AX253" s="108"/>
      <c r="AY253" s="108"/>
      <c r="AZ253" s="108"/>
      <c r="BA253" s="108"/>
      <c r="BB253" s="108"/>
      <c r="BC253" s="108"/>
      <c r="BD253" s="108"/>
      <c r="BE253" s="106">
        <f t="shared" si="13"/>
        <v>100</v>
      </c>
      <c r="BF253" s="106"/>
      <c r="BG253" s="106"/>
      <c r="BH253" s="106"/>
      <c r="BI253" s="106"/>
      <c r="BJ253" s="106"/>
      <c r="BK253" s="106"/>
      <c r="BL253" s="106"/>
      <c r="BQ253" s="47"/>
      <c r="BR253" s="47"/>
      <c r="BS253" s="47"/>
      <c r="BT253" s="62">
        <f>BP80/738847*100</f>
        <v>0</v>
      </c>
      <c r="BU253" s="62"/>
      <c r="BV253" s="62"/>
      <c r="BW253" s="62"/>
      <c r="BX253" s="62"/>
      <c r="BY253" s="62"/>
      <c r="BZ253" s="62"/>
      <c r="CA253" s="62"/>
      <c r="CB253" s="61"/>
    </row>
    <row r="254" spans="1:80" ht="51.75" customHeight="1" x14ac:dyDescent="0.2">
      <c r="A254" s="109"/>
      <c r="B254" s="110"/>
      <c r="C254" s="110"/>
      <c r="D254" s="110"/>
      <c r="E254" s="110"/>
      <c r="F254" s="111"/>
      <c r="G254" s="112" t="s">
        <v>324</v>
      </c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4"/>
      <c r="Z254" s="115" t="s">
        <v>51</v>
      </c>
      <c r="AA254" s="115"/>
      <c r="AB254" s="115"/>
      <c r="AC254" s="115"/>
      <c r="AD254" s="115"/>
      <c r="AE254" s="85" t="s">
        <v>61</v>
      </c>
      <c r="AF254" s="86"/>
      <c r="AG254" s="86"/>
      <c r="AH254" s="86"/>
      <c r="AI254" s="86"/>
      <c r="AJ254" s="86"/>
      <c r="AK254" s="86"/>
      <c r="AL254" s="86"/>
      <c r="AM254" s="86"/>
      <c r="AN254" s="87"/>
      <c r="AO254" s="107"/>
      <c r="AP254" s="107"/>
      <c r="AQ254" s="107"/>
      <c r="AR254" s="107"/>
      <c r="AS254" s="107"/>
      <c r="AT254" s="107"/>
      <c r="AU254" s="107"/>
      <c r="AV254" s="107"/>
      <c r="AW254" s="108">
        <f>AS81/993698*100</f>
        <v>100</v>
      </c>
      <c r="AX254" s="108"/>
      <c r="AY254" s="108"/>
      <c r="AZ254" s="108"/>
      <c r="BA254" s="108"/>
      <c r="BB254" s="108"/>
      <c r="BC254" s="108"/>
      <c r="BD254" s="108"/>
      <c r="BE254" s="106">
        <f>AW254</f>
        <v>100</v>
      </c>
      <c r="BF254" s="106"/>
      <c r="BG254" s="106"/>
      <c r="BH254" s="106"/>
      <c r="BI254" s="106"/>
      <c r="BJ254" s="106"/>
      <c r="BK254" s="106"/>
      <c r="BL254" s="106"/>
      <c r="BQ254" s="47"/>
      <c r="BR254" s="47"/>
      <c r="BS254" s="47"/>
      <c r="BT254" s="62">
        <f>BP81/993698*100</f>
        <v>0</v>
      </c>
      <c r="BU254" s="62"/>
      <c r="BV254" s="62"/>
      <c r="BW254" s="62"/>
      <c r="BX254" s="62"/>
      <c r="BY254" s="62"/>
      <c r="BZ254" s="62"/>
      <c r="CA254" s="62"/>
      <c r="CB254" s="61"/>
    </row>
    <row r="255" spans="1:80" ht="47.25" customHeight="1" x14ac:dyDescent="0.2">
      <c r="A255" s="109"/>
      <c r="B255" s="110"/>
      <c r="C255" s="110"/>
      <c r="D255" s="110"/>
      <c r="E255" s="110"/>
      <c r="F255" s="111"/>
      <c r="G255" s="112" t="s">
        <v>323</v>
      </c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4"/>
      <c r="Z255" s="115" t="s">
        <v>51</v>
      </c>
      <c r="AA255" s="115"/>
      <c r="AB255" s="115"/>
      <c r="AC255" s="115"/>
      <c r="AD255" s="115"/>
      <c r="AE255" s="85" t="s">
        <v>61</v>
      </c>
      <c r="AF255" s="86"/>
      <c r="AG255" s="86"/>
      <c r="AH255" s="86"/>
      <c r="AI255" s="86"/>
      <c r="AJ255" s="86"/>
      <c r="AK255" s="86"/>
      <c r="AL255" s="86"/>
      <c r="AM255" s="86"/>
      <c r="AN255" s="87"/>
      <c r="AO255" s="107"/>
      <c r="AP255" s="107"/>
      <c r="AQ255" s="107"/>
      <c r="AR255" s="107"/>
      <c r="AS255" s="107"/>
      <c r="AT255" s="107"/>
      <c r="AU255" s="107"/>
      <c r="AV255" s="107"/>
      <c r="AW255" s="106">
        <f>AS82/993022*100</f>
        <v>100</v>
      </c>
      <c r="AX255" s="106"/>
      <c r="AY255" s="106"/>
      <c r="AZ255" s="106"/>
      <c r="BA255" s="106"/>
      <c r="BB255" s="106"/>
      <c r="BC255" s="106"/>
      <c r="BD255" s="106"/>
      <c r="BE255" s="106">
        <f>AW255</f>
        <v>100</v>
      </c>
      <c r="BF255" s="106"/>
      <c r="BG255" s="106"/>
      <c r="BH255" s="106"/>
      <c r="BI255" s="106"/>
      <c r="BJ255" s="106"/>
      <c r="BK255" s="106"/>
      <c r="BL255" s="106"/>
      <c r="BQ255" s="47"/>
      <c r="BR255" s="47"/>
      <c r="BS255" s="47"/>
      <c r="BT255" s="62">
        <f>BP82/993022*100</f>
        <v>0</v>
      </c>
      <c r="BU255" s="62"/>
      <c r="BV255" s="62"/>
      <c r="BW255" s="62"/>
      <c r="BX255" s="62"/>
      <c r="BY255" s="62"/>
      <c r="BZ255" s="62"/>
      <c r="CA255" s="62"/>
      <c r="CB255" s="61"/>
    </row>
    <row r="256" spans="1:80" ht="39" customHeight="1" x14ac:dyDescent="0.2">
      <c r="A256" s="109"/>
      <c r="B256" s="110"/>
      <c r="C256" s="110"/>
      <c r="D256" s="110"/>
      <c r="E256" s="110"/>
      <c r="F256" s="111"/>
      <c r="G256" s="112" t="s">
        <v>325</v>
      </c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4"/>
      <c r="Z256" s="115" t="s">
        <v>51</v>
      </c>
      <c r="AA256" s="115"/>
      <c r="AB256" s="115"/>
      <c r="AC256" s="115"/>
      <c r="AD256" s="115"/>
      <c r="AE256" s="85" t="s">
        <v>61</v>
      </c>
      <c r="AF256" s="86"/>
      <c r="AG256" s="86"/>
      <c r="AH256" s="86"/>
      <c r="AI256" s="86"/>
      <c r="AJ256" s="86"/>
      <c r="AK256" s="86"/>
      <c r="AL256" s="86"/>
      <c r="AM256" s="86"/>
      <c r="AN256" s="87"/>
      <c r="AO256" s="107"/>
      <c r="AP256" s="107"/>
      <c r="AQ256" s="107"/>
      <c r="AR256" s="107"/>
      <c r="AS256" s="107"/>
      <c r="AT256" s="107"/>
      <c r="AU256" s="107"/>
      <c r="AV256" s="107"/>
      <c r="AW256" s="106">
        <f>AS83/499889*100</f>
        <v>100</v>
      </c>
      <c r="AX256" s="106"/>
      <c r="AY256" s="106"/>
      <c r="AZ256" s="106"/>
      <c r="BA256" s="106"/>
      <c r="BB256" s="106"/>
      <c r="BC256" s="106"/>
      <c r="BD256" s="106"/>
      <c r="BE256" s="106">
        <f t="shared" si="13"/>
        <v>100</v>
      </c>
      <c r="BF256" s="106"/>
      <c r="BG256" s="106"/>
      <c r="BH256" s="106"/>
      <c r="BI256" s="106"/>
      <c r="BJ256" s="106"/>
      <c r="BK256" s="106"/>
      <c r="BL256" s="106"/>
      <c r="BQ256" s="47"/>
      <c r="BR256" s="47"/>
      <c r="BS256" s="47"/>
      <c r="BT256" s="62">
        <f>BP83/499889*100</f>
        <v>0</v>
      </c>
      <c r="BU256" s="62"/>
      <c r="BV256" s="62"/>
      <c r="BW256" s="62"/>
      <c r="BX256" s="62"/>
      <c r="BY256" s="62"/>
      <c r="BZ256" s="62"/>
      <c r="CA256" s="62"/>
      <c r="CB256" s="61"/>
    </row>
    <row r="257" spans="1:80" ht="51.75" customHeight="1" x14ac:dyDescent="0.2">
      <c r="A257" s="109"/>
      <c r="B257" s="110"/>
      <c r="C257" s="110"/>
      <c r="D257" s="110"/>
      <c r="E257" s="110"/>
      <c r="F257" s="111"/>
      <c r="G257" s="112" t="s">
        <v>326</v>
      </c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4"/>
      <c r="Z257" s="115" t="s">
        <v>51</v>
      </c>
      <c r="AA257" s="115"/>
      <c r="AB257" s="115"/>
      <c r="AC257" s="115"/>
      <c r="AD257" s="115"/>
      <c r="AE257" s="85" t="s">
        <v>61</v>
      </c>
      <c r="AF257" s="86"/>
      <c r="AG257" s="86"/>
      <c r="AH257" s="86"/>
      <c r="AI257" s="86"/>
      <c r="AJ257" s="86"/>
      <c r="AK257" s="86"/>
      <c r="AL257" s="86"/>
      <c r="AM257" s="86"/>
      <c r="AN257" s="87"/>
      <c r="AO257" s="107"/>
      <c r="AP257" s="107"/>
      <c r="AQ257" s="107"/>
      <c r="AR257" s="107"/>
      <c r="AS257" s="107"/>
      <c r="AT257" s="107"/>
      <c r="AU257" s="107"/>
      <c r="AV257" s="107"/>
      <c r="AW257" s="106">
        <f>100</f>
        <v>100</v>
      </c>
      <c r="AX257" s="106"/>
      <c r="AY257" s="106"/>
      <c r="AZ257" s="106"/>
      <c r="BA257" s="106"/>
      <c r="BB257" s="106"/>
      <c r="BC257" s="106"/>
      <c r="BD257" s="106"/>
      <c r="BE257" s="106">
        <f t="shared" si="13"/>
        <v>100</v>
      </c>
      <c r="BF257" s="106"/>
      <c r="BG257" s="106"/>
      <c r="BH257" s="106"/>
      <c r="BI257" s="106"/>
      <c r="BJ257" s="106"/>
      <c r="BK257" s="106"/>
      <c r="BL257" s="106"/>
      <c r="BT257" s="62">
        <f>BP84/923291*100</f>
        <v>0</v>
      </c>
      <c r="BU257" s="62"/>
      <c r="BV257" s="62"/>
      <c r="BW257" s="62"/>
      <c r="BX257" s="62"/>
      <c r="BY257" s="62"/>
      <c r="BZ257" s="62"/>
      <c r="CA257" s="62"/>
      <c r="CB257" s="61"/>
    </row>
    <row r="258" spans="1:80" ht="37.5" customHeight="1" x14ac:dyDescent="0.2">
      <c r="A258" s="78">
        <v>0</v>
      </c>
      <c r="B258" s="79"/>
      <c r="C258" s="79"/>
      <c r="D258" s="79"/>
      <c r="E258" s="79"/>
      <c r="F258" s="80"/>
      <c r="G258" s="190" t="s">
        <v>60</v>
      </c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84" t="s">
        <v>51</v>
      </c>
      <c r="AA258" s="84"/>
      <c r="AB258" s="84"/>
      <c r="AC258" s="84"/>
      <c r="AD258" s="84"/>
      <c r="AE258" s="85" t="s">
        <v>61</v>
      </c>
      <c r="AF258" s="86"/>
      <c r="AG258" s="86"/>
      <c r="AH258" s="86"/>
      <c r="AI258" s="86"/>
      <c r="AJ258" s="86"/>
      <c r="AK258" s="86"/>
      <c r="AL258" s="86"/>
      <c r="AM258" s="86"/>
      <c r="AN258" s="87"/>
      <c r="AO258" s="92"/>
      <c r="AP258" s="92"/>
      <c r="AQ258" s="92"/>
      <c r="AR258" s="92"/>
      <c r="AS258" s="92"/>
      <c r="AT258" s="92"/>
      <c r="AU258" s="92"/>
      <c r="AV258" s="92"/>
      <c r="AW258" s="137">
        <f>AW215/445748307.15*100</f>
        <v>27.450911565396847</v>
      </c>
      <c r="AX258" s="137"/>
      <c r="AY258" s="137"/>
      <c r="AZ258" s="137"/>
      <c r="BA258" s="137"/>
      <c r="BB258" s="137"/>
      <c r="BC258" s="137"/>
      <c r="BD258" s="137"/>
      <c r="BE258" s="92">
        <f>AO258+AW258</f>
        <v>27.450911565396847</v>
      </c>
      <c r="BF258" s="92"/>
      <c r="BG258" s="92"/>
      <c r="BH258" s="92"/>
      <c r="BI258" s="92"/>
      <c r="BJ258" s="92"/>
      <c r="BK258" s="92"/>
      <c r="BL258" s="92"/>
      <c r="BT258" s="61"/>
      <c r="BU258" s="61"/>
      <c r="BV258" s="61"/>
      <c r="BW258" s="61"/>
      <c r="BX258" s="61"/>
      <c r="BY258" s="61"/>
      <c r="BZ258" s="61"/>
      <c r="CA258" s="61"/>
      <c r="CB258" s="61"/>
    </row>
    <row r="259" spans="1:80" ht="35.25" customHeight="1" x14ac:dyDescent="0.2">
      <c r="A259" s="78"/>
      <c r="B259" s="79"/>
      <c r="C259" s="79"/>
      <c r="D259" s="79"/>
      <c r="E259" s="79"/>
      <c r="F259" s="80"/>
      <c r="G259" s="81" t="s">
        <v>137</v>
      </c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3"/>
      <c r="Z259" s="84" t="s">
        <v>51</v>
      </c>
      <c r="AA259" s="84"/>
      <c r="AB259" s="84"/>
      <c r="AC259" s="84"/>
      <c r="AD259" s="84"/>
      <c r="AE259" s="85" t="s">
        <v>61</v>
      </c>
      <c r="AF259" s="86"/>
      <c r="AG259" s="86"/>
      <c r="AH259" s="86"/>
      <c r="AI259" s="86"/>
      <c r="AJ259" s="86"/>
      <c r="AK259" s="86"/>
      <c r="AL259" s="86"/>
      <c r="AM259" s="86"/>
      <c r="AN259" s="87"/>
      <c r="AO259" s="92"/>
      <c r="AP259" s="92"/>
      <c r="AQ259" s="92"/>
      <c r="AR259" s="92"/>
      <c r="AS259" s="92"/>
      <c r="AT259" s="92"/>
      <c r="AU259" s="92"/>
      <c r="AV259" s="92"/>
      <c r="AW259" s="137">
        <v>100</v>
      </c>
      <c r="AX259" s="137"/>
      <c r="AY259" s="137"/>
      <c r="AZ259" s="137"/>
      <c r="BA259" s="137"/>
      <c r="BB259" s="137"/>
      <c r="BC259" s="137"/>
      <c r="BD259" s="137"/>
      <c r="BE259" s="92">
        <f>AO259+AW259</f>
        <v>100</v>
      </c>
      <c r="BF259" s="92"/>
      <c r="BG259" s="92"/>
      <c r="BH259" s="92"/>
      <c r="BI259" s="92"/>
      <c r="BJ259" s="92"/>
      <c r="BK259" s="92"/>
      <c r="BL259" s="92"/>
      <c r="BT259" s="61"/>
      <c r="BU259" s="61"/>
      <c r="BV259" s="61"/>
      <c r="BW259" s="61"/>
      <c r="BX259" s="61"/>
      <c r="BY259" s="61"/>
      <c r="BZ259" s="61"/>
      <c r="CA259" s="61"/>
      <c r="CB259" s="61"/>
    </row>
    <row r="260" spans="1:80" ht="9.75" customHeight="1" x14ac:dyDescent="0.2">
      <c r="A260" s="28"/>
      <c r="B260" s="28"/>
      <c r="C260" s="28"/>
      <c r="D260" s="28"/>
      <c r="E260" s="28"/>
      <c r="F260" s="28"/>
      <c r="G260" s="46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31"/>
      <c r="AA260" s="31"/>
      <c r="AB260" s="31"/>
      <c r="AC260" s="31"/>
      <c r="AD260" s="31"/>
      <c r="AE260" s="31"/>
      <c r="AF260" s="28"/>
      <c r="AG260" s="28"/>
      <c r="AH260" s="28"/>
      <c r="AI260" s="28"/>
      <c r="AJ260" s="28"/>
      <c r="AK260" s="28"/>
      <c r="AL260" s="28"/>
      <c r="AM260" s="28"/>
      <c r="AN260" s="28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T260" s="47"/>
      <c r="BU260" s="47"/>
      <c r="BV260" s="47"/>
      <c r="BW260" s="47"/>
      <c r="BX260" s="47"/>
      <c r="BY260" s="47"/>
      <c r="BZ260" s="47"/>
    </row>
    <row r="261" spans="1:80" ht="33" customHeight="1" x14ac:dyDescent="0.2">
      <c r="A261" s="78" t="s">
        <v>14</v>
      </c>
      <c r="B261" s="79"/>
      <c r="C261" s="79"/>
      <c r="D261" s="79"/>
      <c r="E261" s="79"/>
      <c r="F261" s="80"/>
      <c r="G261" s="88" t="s">
        <v>27</v>
      </c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 t="s">
        <v>2</v>
      </c>
      <c r="AA261" s="88"/>
      <c r="AB261" s="88"/>
      <c r="AC261" s="88"/>
      <c r="AD261" s="88"/>
      <c r="AE261" s="78" t="s">
        <v>1</v>
      </c>
      <c r="AF261" s="79"/>
      <c r="AG261" s="79"/>
      <c r="AH261" s="79"/>
      <c r="AI261" s="79"/>
      <c r="AJ261" s="79"/>
      <c r="AK261" s="79"/>
      <c r="AL261" s="79"/>
      <c r="AM261" s="79"/>
      <c r="AN261" s="80"/>
      <c r="AO261" s="88" t="s">
        <v>15</v>
      </c>
      <c r="AP261" s="88"/>
      <c r="AQ261" s="88"/>
      <c r="AR261" s="88"/>
      <c r="AS261" s="88"/>
      <c r="AT261" s="88"/>
      <c r="AU261" s="88"/>
      <c r="AV261" s="88"/>
      <c r="AW261" s="88" t="s">
        <v>16</v>
      </c>
      <c r="AX261" s="88"/>
      <c r="AY261" s="88"/>
      <c r="AZ261" s="88"/>
      <c r="BA261" s="88"/>
      <c r="BB261" s="88"/>
      <c r="BC261" s="88"/>
      <c r="BD261" s="88"/>
      <c r="BE261" s="88" t="s">
        <v>13</v>
      </c>
      <c r="BF261" s="88"/>
      <c r="BG261" s="88"/>
      <c r="BH261" s="88"/>
      <c r="BI261" s="88"/>
      <c r="BJ261" s="88"/>
      <c r="BK261" s="88"/>
      <c r="BL261" s="88"/>
      <c r="BT261" s="47"/>
      <c r="BU261" s="47"/>
      <c r="BV261" s="47"/>
      <c r="BW261" s="47"/>
      <c r="BX261" s="47"/>
      <c r="BY261" s="47"/>
      <c r="BZ261" s="47"/>
    </row>
    <row r="262" spans="1:80" ht="18" customHeight="1" x14ac:dyDescent="0.2">
      <c r="A262" s="78">
        <v>1</v>
      </c>
      <c r="B262" s="79"/>
      <c r="C262" s="79"/>
      <c r="D262" s="79"/>
      <c r="E262" s="79"/>
      <c r="F262" s="80"/>
      <c r="G262" s="78">
        <v>2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80"/>
      <c r="Z262" s="88">
        <v>3</v>
      </c>
      <c r="AA262" s="88"/>
      <c r="AB262" s="88"/>
      <c r="AC262" s="88"/>
      <c r="AD262" s="88"/>
      <c r="AE262" s="78">
        <v>4</v>
      </c>
      <c r="AF262" s="79"/>
      <c r="AG262" s="79"/>
      <c r="AH262" s="79"/>
      <c r="AI262" s="79"/>
      <c r="AJ262" s="79"/>
      <c r="AK262" s="79"/>
      <c r="AL262" s="79"/>
      <c r="AM262" s="79"/>
      <c r="AN262" s="80"/>
      <c r="AO262" s="88">
        <v>5</v>
      </c>
      <c r="AP262" s="88"/>
      <c r="AQ262" s="88"/>
      <c r="AR262" s="88"/>
      <c r="AS262" s="88"/>
      <c r="AT262" s="88"/>
      <c r="AU262" s="88"/>
      <c r="AV262" s="88"/>
      <c r="AW262" s="88">
        <v>6</v>
      </c>
      <c r="AX262" s="88"/>
      <c r="AY262" s="88"/>
      <c r="AZ262" s="88"/>
      <c r="BA262" s="88"/>
      <c r="BB262" s="88"/>
      <c r="BC262" s="88"/>
      <c r="BD262" s="88"/>
      <c r="BE262" s="88">
        <v>7</v>
      </c>
      <c r="BF262" s="88"/>
      <c r="BG262" s="88"/>
      <c r="BH262" s="88"/>
      <c r="BI262" s="88"/>
      <c r="BJ262" s="88"/>
      <c r="BK262" s="88"/>
      <c r="BL262" s="88"/>
      <c r="BT262" s="47"/>
      <c r="BU262" s="47"/>
      <c r="BV262" s="47"/>
      <c r="BW262" s="47"/>
      <c r="BX262" s="47"/>
      <c r="BY262" s="47"/>
      <c r="BZ262" s="47"/>
    </row>
    <row r="263" spans="1:80" ht="19.5" customHeight="1" x14ac:dyDescent="0.2">
      <c r="A263" s="78"/>
      <c r="B263" s="79"/>
      <c r="C263" s="79"/>
      <c r="D263" s="79"/>
      <c r="E263" s="79"/>
      <c r="F263" s="80"/>
      <c r="G263" s="208" t="s">
        <v>80</v>
      </c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4"/>
      <c r="BE263" s="133"/>
      <c r="BF263" s="133"/>
      <c r="BG263" s="133"/>
      <c r="BH263" s="133"/>
      <c r="BI263" s="133"/>
      <c r="BJ263" s="133"/>
      <c r="BK263" s="133"/>
      <c r="BL263" s="133"/>
      <c r="BT263" s="47"/>
      <c r="BU263" s="47"/>
      <c r="BV263" s="47"/>
      <c r="BW263" s="47"/>
      <c r="BX263" s="47"/>
      <c r="BY263" s="47"/>
      <c r="BZ263" s="47"/>
    </row>
    <row r="264" spans="1:80" ht="18" customHeight="1" x14ac:dyDescent="0.2">
      <c r="A264" s="109"/>
      <c r="B264" s="110"/>
      <c r="C264" s="110"/>
      <c r="D264" s="110"/>
      <c r="E264" s="110"/>
      <c r="F264" s="111"/>
      <c r="G264" s="187" t="s">
        <v>48</v>
      </c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200"/>
      <c r="Z264" s="144"/>
      <c r="AA264" s="144"/>
      <c r="AB264" s="144"/>
      <c r="AC264" s="144"/>
      <c r="AD264" s="144"/>
      <c r="AE264" s="187"/>
      <c r="AF264" s="199"/>
      <c r="AG264" s="199"/>
      <c r="AH264" s="199"/>
      <c r="AI264" s="199"/>
      <c r="AJ264" s="199"/>
      <c r="AK264" s="199"/>
      <c r="AL264" s="199"/>
      <c r="AM264" s="199"/>
      <c r="AN264" s="200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T264" s="47"/>
      <c r="BU264" s="47"/>
      <c r="BV264" s="47"/>
      <c r="BW264" s="47"/>
      <c r="BX264" s="47"/>
      <c r="BY264" s="47"/>
      <c r="BZ264" s="47"/>
    </row>
    <row r="265" spans="1:80" ht="18" customHeight="1" x14ac:dyDescent="0.2">
      <c r="A265" s="78"/>
      <c r="B265" s="79"/>
      <c r="C265" s="79"/>
      <c r="D265" s="79"/>
      <c r="E265" s="79"/>
      <c r="F265" s="80"/>
      <c r="G265" s="182" t="s">
        <v>82</v>
      </c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4"/>
      <c r="Z265" s="84" t="s">
        <v>49</v>
      </c>
      <c r="AA265" s="84"/>
      <c r="AB265" s="84"/>
      <c r="AC265" s="84"/>
      <c r="AD265" s="84"/>
      <c r="AE265" s="85" t="s">
        <v>66</v>
      </c>
      <c r="AF265" s="86"/>
      <c r="AG265" s="86"/>
      <c r="AH265" s="86"/>
      <c r="AI265" s="86"/>
      <c r="AJ265" s="86"/>
      <c r="AK265" s="86"/>
      <c r="AL265" s="86"/>
      <c r="AM265" s="86"/>
      <c r="AN265" s="87"/>
      <c r="AO265" s="92"/>
      <c r="AP265" s="92"/>
      <c r="AQ265" s="92"/>
      <c r="AR265" s="92"/>
      <c r="AS265" s="92"/>
      <c r="AT265" s="92"/>
      <c r="AU265" s="92"/>
      <c r="AV265" s="92"/>
      <c r="AW265" s="92">
        <f>SUM(AW266:BD269)</f>
        <v>81260262</v>
      </c>
      <c r="AX265" s="92"/>
      <c r="AY265" s="92"/>
      <c r="AZ265" s="92"/>
      <c r="BA265" s="92"/>
      <c r="BB265" s="92"/>
      <c r="BC265" s="92"/>
      <c r="BD265" s="92"/>
      <c r="BE265" s="92">
        <f>AO265+AW265</f>
        <v>81260262</v>
      </c>
      <c r="BF265" s="92"/>
      <c r="BG265" s="92"/>
      <c r="BH265" s="92"/>
      <c r="BI265" s="92"/>
      <c r="BJ265" s="92"/>
      <c r="BK265" s="92"/>
      <c r="BL265" s="92"/>
      <c r="BT265" s="47"/>
      <c r="BU265" s="47"/>
      <c r="BV265" s="47"/>
      <c r="BW265" s="47"/>
      <c r="BX265" s="47"/>
      <c r="BY265" s="47"/>
      <c r="BZ265" s="47"/>
    </row>
    <row r="266" spans="1:80" ht="64.5" customHeight="1" x14ac:dyDescent="0.2">
      <c r="A266" s="78"/>
      <c r="B266" s="79"/>
      <c r="C266" s="79"/>
      <c r="D266" s="79"/>
      <c r="E266" s="79"/>
      <c r="F266" s="80"/>
      <c r="G266" s="81" t="s">
        <v>169</v>
      </c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3"/>
      <c r="Z266" s="84" t="s">
        <v>49</v>
      </c>
      <c r="AA266" s="84"/>
      <c r="AB266" s="84"/>
      <c r="AC266" s="84"/>
      <c r="AD266" s="84"/>
      <c r="AE266" s="85" t="s">
        <v>66</v>
      </c>
      <c r="AF266" s="86"/>
      <c r="AG266" s="86"/>
      <c r="AH266" s="86"/>
      <c r="AI266" s="86"/>
      <c r="AJ266" s="86"/>
      <c r="AK266" s="86"/>
      <c r="AL266" s="86"/>
      <c r="AM266" s="86"/>
      <c r="AN266" s="87"/>
      <c r="AO266" s="92"/>
      <c r="AP266" s="92"/>
      <c r="AQ266" s="92"/>
      <c r="AR266" s="92"/>
      <c r="AS266" s="92"/>
      <c r="AT266" s="92"/>
      <c r="AU266" s="92"/>
      <c r="AV266" s="92"/>
      <c r="AW266" s="92">
        <f>AS109+AS110+AS111+AS113+AS114+AS115+AS116+AS117+AS118+AS119+AS120+AS121</f>
        <v>21536053</v>
      </c>
      <c r="AX266" s="92"/>
      <c r="AY266" s="92"/>
      <c r="AZ266" s="92"/>
      <c r="BA266" s="92"/>
      <c r="BB266" s="92"/>
      <c r="BC266" s="92"/>
      <c r="BD266" s="92"/>
      <c r="BE266" s="92">
        <f>AO266+AW266</f>
        <v>21536053</v>
      </c>
      <c r="BF266" s="92"/>
      <c r="BG266" s="92"/>
      <c r="BH266" s="92"/>
      <c r="BI266" s="92"/>
      <c r="BJ266" s="92"/>
      <c r="BK266" s="92"/>
      <c r="BL266" s="92"/>
      <c r="BT266" s="47"/>
      <c r="BU266" s="47"/>
      <c r="BV266" s="47"/>
      <c r="BW266" s="47"/>
      <c r="BX266" s="47"/>
      <c r="BY266" s="47"/>
      <c r="BZ266" s="47"/>
    </row>
    <row r="267" spans="1:80" ht="32.25" customHeight="1" x14ac:dyDescent="0.2">
      <c r="A267" s="78"/>
      <c r="B267" s="79"/>
      <c r="C267" s="79"/>
      <c r="D267" s="79"/>
      <c r="E267" s="79"/>
      <c r="F267" s="80"/>
      <c r="G267" s="81" t="s">
        <v>81</v>
      </c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3"/>
      <c r="Z267" s="84" t="s">
        <v>49</v>
      </c>
      <c r="AA267" s="84"/>
      <c r="AB267" s="84"/>
      <c r="AC267" s="84"/>
      <c r="AD267" s="84"/>
      <c r="AE267" s="85" t="s">
        <v>66</v>
      </c>
      <c r="AF267" s="86"/>
      <c r="AG267" s="86"/>
      <c r="AH267" s="86"/>
      <c r="AI267" s="86"/>
      <c r="AJ267" s="86"/>
      <c r="AK267" s="86"/>
      <c r="AL267" s="86"/>
      <c r="AM267" s="86"/>
      <c r="AN267" s="87"/>
      <c r="AO267" s="92"/>
      <c r="AP267" s="92"/>
      <c r="AQ267" s="92"/>
      <c r="AR267" s="92"/>
      <c r="AS267" s="92"/>
      <c r="AT267" s="92"/>
      <c r="AU267" s="92"/>
      <c r="AV267" s="92"/>
      <c r="AW267" s="70">
        <f>AS112</f>
        <v>5391470</v>
      </c>
      <c r="AX267" s="71"/>
      <c r="AY267" s="71"/>
      <c r="AZ267" s="71"/>
      <c r="BA267" s="71"/>
      <c r="BB267" s="71"/>
      <c r="BC267" s="71"/>
      <c r="BD267" s="72"/>
      <c r="BE267" s="92">
        <f>AO267+AW267</f>
        <v>5391470</v>
      </c>
      <c r="BF267" s="92"/>
      <c r="BG267" s="92"/>
      <c r="BH267" s="92"/>
      <c r="BI267" s="92"/>
      <c r="BJ267" s="92"/>
      <c r="BK267" s="92"/>
      <c r="BL267" s="92"/>
      <c r="BT267" s="47"/>
      <c r="BU267" s="47"/>
      <c r="BV267" s="47"/>
      <c r="BW267" s="47"/>
      <c r="BX267" s="47"/>
      <c r="BY267" s="47"/>
      <c r="BZ267" s="47"/>
    </row>
    <row r="268" spans="1:80" ht="36" customHeight="1" x14ac:dyDescent="0.2">
      <c r="A268" s="78"/>
      <c r="B268" s="79"/>
      <c r="C268" s="79"/>
      <c r="D268" s="79"/>
      <c r="E268" s="79"/>
      <c r="F268" s="80"/>
      <c r="G268" s="81" t="s">
        <v>99</v>
      </c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3"/>
      <c r="Z268" s="84" t="s">
        <v>49</v>
      </c>
      <c r="AA268" s="84"/>
      <c r="AB268" s="84"/>
      <c r="AC268" s="84"/>
      <c r="AD268" s="84"/>
      <c r="AE268" s="85" t="s">
        <v>66</v>
      </c>
      <c r="AF268" s="86"/>
      <c r="AG268" s="86"/>
      <c r="AH268" s="86"/>
      <c r="AI268" s="86"/>
      <c r="AJ268" s="86"/>
      <c r="AK268" s="86"/>
      <c r="AL268" s="86"/>
      <c r="AM268" s="86"/>
      <c r="AN268" s="87"/>
      <c r="AO268" s="92"/>
      <c r="AP268" s="92"/>
      <c r="AQ268" s="92"/>
      <c r="AR268" s="92"/>
      <c r="AS268" s="92"/>
      <c r="AT268" s="92"/>
      <c r="AU268" s="92"/>
      <c r="AV268" s="92"/>
      <c r="AW268" s="70">
        <f>AS123+AS124+AS125+AS126+AS127+AS128</f>
        <v>37489539</v>
      </c>
      <c r="AX268" s="71"/>
      <c r="AY268" s="71"/>
      <c r="AZ268" s="71"/>
      <c r="BA268" s="71"/>
      <c r="BB268" s="71"/>
      <c r="BC268" s="71"/>
      <c r="BD268" s="72"/>
      <c r="BE268" s="92">
        <f>AO268+AW268</f>
        <v>37489539</v>
      </c>
      <c r="BF268" s="92"/>
      <c r="BG268" s="92"/>
      <c r="BH268" s="92"/>
      <c r="BI268" s="92"/>
      <c r="BJ268" s="92"/>
      <c r="BK268" s="92"/>
      <c r="BL268" s="92"/>
      <c r="BT268" s="47"/>
      <c r="BU268" s="47"/>
      <c r="BV268" s="47"/>
      <c r="BW268" s="47"/>
      <c r="BX268" s="47"/>
      <c r="BY268" s="47"/>
      <c r="BZ268" s="47"/>
    </row>
    <row r="269" spans="1:80" ht="20.25" customHeight="1" x14ac:dyDescent="0.2">
      <c r="A269" s="78"/>
      <c r="B269" s="79"/>
      <c r="C269" s="79"/>
      <c r="D269" s="79"/>
      <c r="E269" s="79"/>
      <c r="F269" s="80"/>
      <c r="G269" s="81" t="s">
        <v>97</v>
      </c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3"/>
      <c r="Z269" s="84" t="s">
        <v>49</v>
      </c>
      <c r="AA269" s="84"/>
      <c r="AB269" s="84"/>
      <c r="AC269" s="84"/>
      <c r="AD269" s="84"/>
      <c r="AE269" s="85" t="s">
        <v>66</v>
      </c>
      <c r="AF269" s="86"/>
      <c r="AG269" s="86"/>
      <c r="AH269" s="86"/>
      <c r="AI269" s="86"/>
      <c r="AJ269" s="86"/>
      <c r="AK269" s="86"/>
      <c r="AL269" s="86"/>
      <c r="AM269" s="86"/>
      <c r="AN269" s="87"/>
      <c r="AO269" s="92"/>
      <c r="AP269" s="92"/>
      <c r="AQ269" s="92"/>
      <c r="AR269" s="92"/>
      <c r="AS269" s="92"/>
      <c r="AT269" s="92"/>
      <c r="AU269" s="92"/>
      <c r="AV269" s="92"/>
      <c r="AW269" s="70">
        <f>AS130+AS131</f>
        <v>16843200</v>
      </c>
      <c r="AX269" s="71"/>
      <c r="AY269" s="71"/>
      <c r="AZ269" s="71"/>
      <c r="BA269" s="71"/>
      <c r="BB269" s="71"/>
      <c r="BC269" s="71"/>
      <c r="BD269" s="72"/>
      <c r="BE269" s="92">
        <f>AO269+AW269</f>
        <v>16843200</v>
      </c>
      <c r="BF269" s="92"/>
      <c r="BG269" s="92"/>
      <c r="BH269" s="92"/>
      <c r="BI269" s="92"/>
      <c r="BJ269" s="92"/>
      <c r="BK269" s="92"/>
      <c r="BL269" s="92"/>
      <c r="BT269" s="47"/>
      <c r="BU269" s="47"/>
      <c r="BV269" s="47"/>
      <c r="BW269" s="47"/>
      <c r="BX269" s="47"/>
      <c r="BY269" s="47"/>
      <c r="BZ269" s="47"/>
    </row>
    <row r="270" spans="1:80" ht="18" customHeight="1" x14ac:dyDescent="0.2">
      <c r="A270" s="109"/>
      <c r="B270" s="110"/>
      <c r="C270" s="110"/>
      <c r="D270" s="110"/>
      <c r="E270" s="110"/>
      <c r="F270" s="111"/>
      <c r="G270" s="217" t="s">
        <v>65</v>
      </c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9"/>
      <c r="Z270" s="84"/>
      <c r="AA270" s="84"/>
      <c r="AB270" s="84"/>
      <c r="AC270" s="84"/>
      <c r="AD270" s="84"/>
      <c r="AE270" s="85"/>
      <c r="AF270" s="86"/>
      <c r="AG270" s="86"/>
      <c r="AH270" s="86"/>
      <c r="AI270" s="86"/>
      <c r="AJ270" s="86"/>
      <c r="AK270" s="86"/>
      <c r="AL270" s="86"/>
      <c r="AM270" s="86"/>
      <c r="AN270" s="8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T270" s="47"/>
      <c r="BU270" s="47"/>
      <c r="BV270" s="47"/>
      <c r="BW270" s="47"/>
      <c r="BX270" s="47"/>
      <c r="BY270" s="47"/>
      <c r="BZ270" s="47"/>
    </row>
    <row r="271" spans="1:80" ht="35.25" customHeight="1" x14ac:dyDescent="0.2">
      <c r="A271" s="109"/>
      <c r="B271" s="110"/>
      <c r="C271" s="110"/>
      <c r="D271" s="110"/>
      <c r="E271" s="110"/>
      <c r="F271" s="111"/>
      <c r="G271" s="112" t="s">
        <v>83</v>
      </c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4"/>
      <c r="Z271" s="84" t="s">
        <v>67</v>
      </c>
      <c r="AA271" s="84"/>
      <c r="AB271" s="84"/>
      <c r="AC271" s="84"/>
      <c r="AD271" s="84"/>
      <c r="AE271" s="85" t="s">
        <v>70</v>
      </c>
      <c r="AF271" s="86"/>
      <c r="AG271" s="86"/>
      <c r="AH271" s="86"/>
      <c r="AI271" s="86"/>
      <c r="AJ271" s="86"/>
      <c r="AK271" s="86"/>
      <c r="AL271" s="86"/>
      <c r="AM271" s="86"/>
      <c r="AN271" s="87"/>
      <c r="AO271" s="107"/>
      <c r="AP271" s="107"/>
      <c r="AQ271" s="107"/>
      <c r="AR271" s="107"/>
      <c r="AS271" s="107"/>
      <c r="AT271" s="107"/>
      <c r="AU271" s="107"/>
      <c r="AV271" s="107"/>
      <c r="AW271" s="106">
        <f>3+8+1-1</f>
        <v>11</v>
      </c>
      <c r="AX271" s="106"/>
      <c r="AY271" s="106"/>
      <c r="AZ271" s="106"/>
      <c r="BA271" s="106"/>
      <c r="BB271" s="106"/>
      <c r="BC271" s="106"/>
      <c r="BD271" s="106"/>
      <c r="BE271" s="106">
        <f>AW271</f>
        <v>11</v>
      </c>
      <c r="BF271" s="106"/>
      <c r="BG271" s="106"/>
      <c r="BH271" s="106"/>
      <c r="BI271" s="106"/>
      <c r="BJ271" s="106"/>
      <c r="BK271" s="106"/>
      <c r="BL271" s="106"/>
      <c r="BT271" s="47"/>
      <c r="BU271" s="47"/>
      <c r="BV271" s="47"/>
      <c r="BW271" s="47"/>
      <c r="BX271" s="47"/>
      <c r="BY271" s="47"/>
      <c r="BZ271" s="47"/>
    </row>
    <row r="272" spans="1:80" ht="35.25" customHeight="1" x14ac:dyDescent="0.2">
      <c r="A272" s="109"/>
      <c r="B272" s="110"/>
      <c r="C272" s="110"/>
      <c r="D272" s="110"/>
      <c r="E272" s="110"/>
      <c r="F272" s="111"/>
      <c r="G272" s="112" t="s">
        <v>100</v>
      </c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4"/>
      <c r="Z272" s="84" t="s">
        <v>67</v>
      </c>
      <c r="AA272" s="84"/>
      <c r="AB272" s="84"/>
      <c r="AC272" s="84"/>
      <c r="AD272" s="84"/>
      <c r="AE272" s="85" t="s">
        <v>70</v>
      </c>
      <c r="AF272" s="86"/>
      <c r="AG272" s="86"/>
      <c r="AH272" s="86"/>
      <c r="AI272" s="86"/>
      <c r="AJ272" s="86"/>
      <c r="AK272" s="86"/>
      <c r="AL272" s="86"/>
      <c r="AM272" s="86"/>
      <c r="AN272" s="87"/>
      <c r="AO272" s="107"/>
      <c r="AP272" s="107"/>
      <c r="AQ272" s="107"/>
      <c r="AR272" s="107"/>
      <c r="AS272" s="107"/>
      <c r="AT272" s="107"/>
      <c r="AU272" s="107"/>
      <c r="AV272" s="107"/>
      <c r="AW272" s="106">
        <f>(6+2)+5+3+50+7+2</f>
        <v>75</v>
      </c>
      <c r="AX272" s="106"/>
      <c r="AY272" s="106"/>
      <c r="AZ272" s="106"/>
      <c r="BA272" s="106"/>
      <c r="BB272" s="106"/>
      <c r="BC272" s="106"/>
      <c r="BD272" s="106"/>
      <c r="BE272" s="106">
        <f>AW272</f>
        <v>75</v>
      </c>
      <c r="BF272" s="106"/>
      <c r="BG272" s="106"/>
      <c r="BH272" s="106"/>
      <c r="BI272" s="106"/>
      <c r="BJ272" s="106"/>
      <c r="BK272" s="106"/>
      <c r="BL272" s="106"/>
      <c r="BT272" s="47"/>
      <c r="BU272" s="47"/>
      <c r="BV272" s="47"/>
      <c r="BW272" s="47"/>
      <c r="BX272" s="47"/>
      <c r="BY272" s="47"/>
      <c r="BZ272" s="47"/>
    </row>
    <row r="273" spans="1:78" ht="35.25" customHeight="1" x14ac:dyDescent="0.2">
      <c r="A273" s="109"/>
      <c r="B273" s="110"/>
      <c r="C273" s="110"/>
      <c r="D273" s="110"/>
      <c r="E273" s="110"/>
      <c r="F273" s="111"/>
      <c r="G273" s="112" t="s">
        <v>98</v>
      </c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4"/>
      <c r="Z273" s="84" t="s">
        <v>67</v>
      </c>
      <c r="AA273" s="84"/>
      <c r="AB273" s="84"/>
      <c r="AC273" s="84"/>
      <c r="AD273" s="84"/>
      <c r="AE273" s="85" t="s">
        <v>70</v>
      </c>
      <c r="AF273" s="86"/>
      <c r="AG273" s="86"/>
      <c r="AH273" s="86"/>
      <c r="AI273" s="86"/>
      <c r="AJ273" s="86"/>
      <c r="AK273" s="86"/>
      <c r="AL273" s="86"/>
      <c r="AM273" s="86"/>
      <c r="AN273" s="87"/>
      <c r="AO273" s="107"/>
      <c r="AP273" s="107"/>
      <c r="AQ273" s="107"/>
      <c r="AR273" s="107"/>
      <c r="AS273" s="107"/>
      <c r="AT273" s="107"/>
      <c r="AU273" s="107"/>
      <c r="AV273" s="107"/>
      <c r="AW273" s="106">
        <f>2+3</f>
        <v>5</v>
      </c>
      <c r="AX273" s="106"/>
      <c r="AY273" s="106"/>
      <c r="AZ273" s="106"/>
      <c r="BA273" s="106"/>
      <c r="BB273" s="106"/>
      <c r="BC273" s="106"/>
      <c r="BD273" s="106"/>
      <c r="BE273" s="106">
        <f>AW273</f>
        <v>5</v>
      </c>
      <c r="BF273" s="106"/>
      <c r="BG273" s="106"/>
      <c r="BH273" s="106"/>
      <c r="BI273" s="106"/>
      <c r="BJ273" s="106"/>
      <c r="BK273" s="106"/>
      <c r="BL273" s="106"/>
      <c r="BT273" s="47"/>
      <c r="BU273" s="47"/>
      <c r="BV273" s="47"/>
      <c r="BW273" s="47"/>
      <c r="BX273" s="47"/>
      <c r="BY273" s="47"/>
      <c r="BZ273" s="47"/>
    </row>
    <row r="274" spans="1:78" ht="18" customHeight="1" x14ac:dyDescent="0.2">
      <c r="A274" s="109"/>
      <c r="B274" s="110"/>
      <c r="C274" s="110"/>
      <c r="D274" s="110"/>
      <c r="E274" s="110"/>
      <c r="F274" s="111"/>
      <c r="G274" s="217" t="s">
        <v>72</v>
      </c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9"/>
      <c r="Z274" s="85"/>
      <c r="AA274" s="86"/>
      <c r="AB274" s="86"/>
      <c r="AC274" s="86"/>
      <c r="AD274" s="87"/>
      <c r="AE274" s="85"/>
      <c r="AF274" s="86"/>
      <c r="AG274" s="86"/>
      <c r="AH274" s="86"/>
      <c r="AI274" s="86"/>
      <c r="AJ274" s="86"/>
      <c r="AK274" s="86"/>
      <c r="AL274" s="86"/>
      <c r="AM274" s="86"/>
      <c r="AN274" s="87"/>
      <c r="AO274" s="107"/>
      <c r="AP274" s="107"/>
      <c r="AQ274" s="107"/>
      <c r="AR274" s="107"/>
      <c r="AS274" s="107"/>
      <c r="AT274" s="107"/>
      <c r="AU274" s="107"/>
      <c r="AV274" s="107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T274" s="47"/>
      <c r="BU274" s="47"/>
      <c r="BV274" s="47"/>
      <c r="BW274" s="47"/>
      <c r="BX274" s="47"/>
      <c r="BY274" s="47"/>
      <c r="BZ274" s="47"/>
    </row>
    <row r="275" spans="1:78" ht="35.25" customHeight="1" x14ac:dyDescent="0.2">
      <c r="A275" s="109"/>
      <c r="B275" s="110"/>
      <c r="C275" s="110"/>
      <c r="D275" s="110"/>
      <c r="E275" s="110"/>
      <c r="F275" s="111"/>
      <c r="G275" s="112" t="s">
        <v>84</v>
      </c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4"/>
      <c r="Z275" s="84" t="s">
        <v>49</v>
      </c>
      <c r="AA275" s="84"/>
      <c r="AB275" s="84"/>
      <c r="AC275" s="84"/>
      <c r="AD275" s="84"/>
      <c r="AE275" s="85" t="s">
        <v>61</v>
      </c>
      <c r="AF275" s="86"/>
      <c r="AG275" s="86"/>
      <c r="AH275" s="86"/>
      <c r="AI275" s="86"/>
      <c r="AJ275" s="86"/>
      <c r="AK275" s="86"/>
      <c r="AL275" s="86"/>
      <c r="AM275" s="86"/>
      <c r="AN275" s="87"/>
      <c r="AO275" s="107"/>
      <c r="AP275" s="107"/>
      <c r="AQ275" s="107"/>
      <c r="AR275" s="107"/>
      <c r="AS275" s="107"/>
      <c r="AT275" s="107"/>
      <c r="AU275" s="107"/>
      <c r="AV275" s="107"/>
      <c r="AW275" s="92">
        <f>AW266/AW271</f>
        <v>1957823</v>
      </c>
      <c r="AX275" s="92"/>
      <c r="AY275" s="92"/>
      <c r="AZ275" s="92"/>
      <c r="BA275" s="92"/>
      <c r="BB275" s="92"/>
      <c r="BC275" s="92"/>
      <c r="BD275" s="92"/>
      <c r="BE275" s="92">
        <f>AW275</f>
        <v>1957823</v>
      </c>
      <c r="BF275" s="92"/>
      <c r="BG275" s="92"/>
      <c r="BH275" s="92"/>
      <c r="BI275" s="92"/>
      <c r="BJ275" s="92"/>
      <c r="BK275" s="92"/>
      <c r="BL275" s="92"/>
      <c r="BT275" s="47"/>
      <c r="BU275" s="47"/>
      <c r="BV275" s="47"/>
      <c r="BW275" s="47"/>
      <c r="BX275" s="47"/>
      <c r="BY275" s="47"/>
      <c r="BZ275" s="47"/>
    </row>
    <row r="276" spans="1:78" ht="37.5" customHeight="1" x14ac:dyDescent="0.2">
      <c r="A276" s="226"/>
      <c r="B276" s="227"/>
      <c r="C276" s="227"/>
      <c r="D276" s="227"/>
      <c r="E276" s="227"/>
      <c r="F276" s="228"/>
      <c r="G276" s="112" t="s">
        <v>115</v>
      </c>
      <c r="H276" s="113" t="s">
        <v>78</v>
      </c>
      <c r="I276" s="113" t="s">
        <v>78</v>
      </c>
      <c r="J276" s="113" t="s">
        <v>78</v>
      </c>
      <c r="K276" s="113" t="s">
        <v>78</v>
      </c>
      <c r="L276" s="113" t="s">
        <v>78</v>
      </c>
      <c r="M276" s="113" t="s">
        <v>78</v>
      </c>
      <c r="N276" s="113" t="s">
        <v>78</v>
      </c>
      <c r="O276" s="113" t="s">
        <v>78</v>
      </c>
      <c r="P276" s="113" t="s">
        <v>78</v>
      </c>
      <c r="Q276" s="113" t="s">
        <v>78</v>
      </c>
      <c r="R276" s="113" t="s">
        <v>78</v>
      </c>
      <c r="S276" s="113" t="s">
        <v>78</v>
      </c>
      <c r="T276" s="113" t="s">
        <v>78</v>
      </c>
      <c r="U276" s="113" t="s">
        <v>78</v>
      </c>
      <c r="V276" s="113" t="s">
        <v>78</v>
      </c>
      <c r="W276" s="113" t="s">
        <v>78</v>
      </c>
      <c r="X276" s="113" t="s">
        <v>78</v>
      </c>
      <c r="Y276" s="114" t="s">
        <v>78</v>
      </c>
      <c r="Z276" s="201" t="s">
        <v>49</v>
      </c>
      <c r="AA276" s="201"/>
      <c r="AB276" s="201"/>
      <c r="AC276" s="201"/>
      <c r="AD276" s="201"/>
      <c r="AE276" s="205" t="s">
        <v>61</v>
      </c>
      <c r="AF276" s="206"/>
      <c r="AG276" s="206"/>
      <c r="AH276" s="206"/>
      <c r="AI276" s="206"/>
      <c r="AJ276" s="206"/>
      <c r="AK276" s="206"/>
      <c r="AL276" s="206"/>
      <c r="AM276" s="206"/>
      <c r="AN276" s="207"/>
      <c r="AO276" s="209"/>
      <c r="AP276" s="209"/>
      <c r="AQ276" s="209"/>
      <c r="AR276" s="209"/>
      <c r="AS276" s="209"/>
      <c r="AT276" s="209"/>
      <c r="AU276" s="209"/>
      <c r="AV276" s="209"/>
      <c r="AW276" s="137">
        <f>AW268/AW272</f>
        <v>499860.52</v>
      </c>
      <c r="AX276" s="137"/>
      <c r="AY276" s="137"/>
      <c r="AZ276" s="137"/>
      <c r="BA276" s="137"/>
      <c r="BB276" s="137"/>
      <c r="BC276" s="137"/>
      <c r="BD276" s="137"/>
      <c r="BE276" s="137">
        <f>AW276</f>
        <v>499860.52</v>
      </c>
      <c r="BF276" s="137"/>
      <c r="BG276" s="137"/>
      <c r="BH276" s="137"/>
      <c r="BI276" s="137"/>
      <c r="BJ276" s="137"/>
      <c r="BK276" s="137"/>
      <c r="BL276" s="137"/>
      <c r="BT276" s="47"/>
      <c r="BU276" s="47"/>
      <c r="BV276" s="47"/>
      <c r="BW276" s="47"/>
      <c r="BX276" s="47"/>
      <c r="BY276" s="47"/>
      <c r="BZ276" s="47"/>
    </row>
    <row r="277" spans="1:78" ht="35.25" customHeight="1" x14ac:dyDescent="0.2">
      <c r="A277" s="109"/>
      <c r="B277" s="110"/>
      <c r="C277" s="110"/>
      <c r="D277" s="110"/>
      <c r="E277" s="110"/>
      <c r="F277" s="111"/>
      <c r="G277" s="148" t="s">
        <v>112</v>
      </c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39" t="s">
        <v>104</v>
      </c>
      <c r="AA277" s="139"/>
      <c r="AB277" s="139"/>
      <c r="AC277" s="139"/>
      <c r="AD277" s="139"/>
      <c r="AE277" s="85" t="s">
        <v>61</v>
      </c>
      <c r="AF277" s="86"/>
      <c r="AG277" s="86"/>
      <c r="AH277" s="86"/>
      <c r="AI277" s="86"/>
      <c r="AJ277" s="86"/>
      <c r="AK277" s="86"/>
      <c r="AL277" s="86"/>
      <c r="AM277" s="86"/>
      <c r="AN277" s="87"/>
      <c r="AO277" s="107"/>
      <c r="AP277" s="107"/>
      <c r="AQ277" s="107"/>
      <c r="AR277" s="107"/>
      <c r="AS277" s="107"/>
      <c r="AT277" s="107"/>
      <c r="AU277" s="107"/>
      <c r="AV277" s="107"/>
      <c r="AW277" s="137">
        <f>AW269/AW273</f>
        <v>3368640</v>
      </c>
      <c r="AX277" s="137"/>
      <c r="AY277" s="137"/>
      <c r="AZ277" s="137"/>
      <c r="BA277" s="137"/>
      <c r="BB277" s="137"/>
      <c r="BC277" s="137"/>
      <c r="BD277" s="137"/>
      <c r="BE277" s="92">
        <f>AW277</f>
        <v>3368640</v>
      </c>
      <c r="BF277" s="92"/>
      <c r="BG277" s="92"/>
      <c r="BH277" s="92"/>
      <c r="BI277" s="92"/>
      <c r="BJ277" s="92"/>
      <c r="BK277" s="92"/>
      <c r="BL277" s="92"/>
      <c r="BT277" s="47"/>
      <c r="BU277" s="47"/>
      <c r="BV277" s="47"/>
      <c r="BW277" s="47"/>
      <c r="BX277" s="47"/>
      <c r="BY277" s="47"/>
      <c r="BZ277" s="47"/>
    </row>
    <row r="278" spans="1:78" ht="18" customHeight="1" x14ac:dyDescent="0.2">
      <c r="A278" s="109"/>
      <c r="B278" s="110"/>
      <c r="C278" s="110"/>
      <c r="D278" s="110"/>
      <c r="E278" s="110"/>
      <c r="F278" s="111"/>
      <c r="G278" s="229" t="s">
        <v>50</v>
      </c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  <c r="R278" s="230"/>
      <c r="S278" s="230"/>
      <c r="T278" s="230"/>
      <c r="U278" s="230"/>
      <c r="V278" s="230"/>
      <c r="W278" s="230"/>
      <c r="X278" s="230"/>
      <c r="Y278" s="231"/>
      <c r="Z278" s="85"/>
      <c r="AA278" s="86"/>
      <c r="AB278" s="86"/>
      <c r="AC278" s="86"/>
      <c r="AD278" s="87"/>
      <c r="AE278" s="85"/>
      <c r="AF278" s="86"/>
      <c r="AG278" s="86"/>
      <c r="AH278" s="86"/>
      <c r="AI278" s="86"/>
      <c r="AJ278" s="86"/>
      <c r="AK278" s="86"/>
      <c r="AL278" s="86"/>
      <c r="AM278" s="86"/>
      <c r="AN278" s="87"/>
      <c r="AO278" s="102"/>
      <c r="AP278" s="103"/>
      <c r="AQ278" s="103"/>
      <c r="AR278" s="103"/>
      <c r="AS278" s="103"/>
      <c r="AT278" s="103"/>
      <c r="AU278" s="103"/>
      <c r="AV278" s="104"/>
      <c r="AW278" s="220"/>
      <c r="AX278" s="221"/>
      <c r="AY278" s="221"/>
      <c r="AZ278" s="221"/>
      <c r="BA278" s="221"/>
      <c r="BB278" s="221"/>
      <c r="BC278" s="221"/>
      <c r="BD278" s="222"/>
      <c r="BE278" s="220"/>
      <c r="BF278" s="221"/>
      <c r="BG278" s="221"/>
      <c r="BH278" s="221"/>
      <c r="BI278" s="221"/>
      <c r="BJ278" s="221"/>
      <c r="BK278" s="221"/>
      <c r="BL278" s="222"/>
      <c r="BT278" s="47"/>
      <c r="BU278" s="47"/>
      <c r="BV278" s="47"/>
      <c r="BW278" s="47"/>
      <c r="BX278" s="47"/>
      <c r="BY278" s="47"/>
      <c r="BZ278" s="47"/>
    </row>
    <row r="279" spans="1:78" ht="33.75" customHeight="1" x14ac:dyDescent="0.2">
      <c r="A279" s="78">
        <v>0</v>
      </c>
      <c r="B279" s="79"/>
      <c r="C279" s="79"/>
      <c r="D279" s="79"/>
      <c r="E279" s="79"/>
      <c r="F279" s="80"/>
      <c r="G279" s="190" t="s">
        <v>60</v>
      </c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84" t="s">
        <v>51</v>
      </c>
      <c r="AA279" s="84"/>
      <c r="AB279" s="84"/>
      <c r="AC279" s="84"/>
      <c r="AD279" s="84"/>
      <c r="AE279" s="85" t="s">
        <v>61</v>
      </c>
      <c r="AF279" s="86"/>
      <c r="AG279" s="86"/>
      <c r="AH279" s="86"/>
      <c r="AI279" s="86"/>
      <c r="AJ279" s="86"/>
      <c r="AK279" s="86"/>
      <c r="AL279" s="86"/>
      <c r="AM279" s="86"/>
      <c r="AN279" s="87"/>
      <c r="AO279" s="92"/>
      <c r="AP279" s="92"/>
      <c r="AQ279" s="92"/>
      <c r="AR279" s="92"/>
      <c r="AS279" s="92"/>
      <c r="AT279" s="92"/>
      <c r="AU279" s="92"/>
      <c r="AV279" s="92"/>
      <c r="AW279" s="137">
        <f>AW265/212520004.34*100</f>
        <v>38.23652378154285</v>
      </c>
      <c r="AX279" s="137"/>
      <c r="AY279" s="137"/>
      <c r="AZ279" s="137"/>
      <c r="BA279" s="137"/>
      <c r="BB279" s="137"/>
      <c r="BC279" s="137"/>
      <c r="BD279" s="137"/>
      <c r="BE279" s="92">
        <f>AO279+AW279</f>
        <v>38.23652378154285</v>
      </c>
      <c r="BF279" s="92"/>
      <c r="BG279" s="92"/>
      <c r="BH279" s="92"/>
      <c r="BI279" s="92"/>
      <c r="BJ279" s="92"/>
      <c r="BK279" s="92"/>
      <c r="BL279" s="92"/>
      <c r="BT279" s="47"/>
      <c r="BU279" s="47"/>
      <c r="BV279" s="47"/>
      <c r="BW279" s="47"/>
      <c r="BX279" s="47"/>
      <c r="BY279" s="47"/>
      <c r="BZ279" s="47"/>
    </row>
    <row r="280" spans="1:78" ht="13.5" customHeight="1" x14ac:dyDescent="0.2">
      <c r="A280" s="28"/>
      <c r="B280" s="28"/>
      <c r="C280" s="28"/>
      <c r="D280" s="28"/>
      <c r="E280" s="28"/>
      <c r="F280" s="28"/>
      <c r="G280" s="46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31"/>
      <c r="AA280" s="31"/>
      <c r="AB280" s="31"/>
      <c r="AC280" s="31"/>
      <c r="AD280" s="31"/>
      <c r="AE280" s="31"/>
      <c r="AF280" s="28"/>
      <c r="AG280" s="28"/>
      <c r="AH280" s="28"/>
      <c r="AI280" s="28"/>
      <c r="AJ280" s="28"/>
      <c r="AK280" s="28"/>
      <c r="AL280" s="28"/>
      <c r="AM280" s="28"/>
      <c r="AN280" s="28"/>
      <c r="AO280" s="32"/>
      <c r="AP280" s="32"/>
      <c r="AQ280" s="32"/>
      <c r="AR280" s="32"/>
      <c r="AS280" s="32"/>
      <c r="AT280" s="32"/>
      <c r="AU280" s="32"/>
      <c r="AV280" s="32"/>
      <c r="AW280" s="51"/>
      <c r="AX280" s="51"/>
      <c r="AY280" s="51"/>
      <c r="AZ280" s="51"/>
      <c r="BA280" s="51"/>
      <c r="BB280" s="51"/>
      <c r="BC280" s="51"/>
      <c r="BD280" s="51"/>
      <c r="BE280" s="32"/>
      <c r="BF280" s="32"/>
      <c r="BG280" s="32"/>
      <c r="BH280" s="32"/>
      <c r="BI280" s="32"/>
      <c r="BJ280" s="32"/>
      <c r="BK280" s="32"/>
      <c r="BL280" s="32"/>
      <c r="BT280" s="47"/>
      <c r="BU280" s="47"/>
      <c r="BV280" s="47"/>
      <c r="BW280" s="47"/>
      <c r="BX280" s="47"/>
      <c r="BY280" s="47"/>
      <c r="BZ280" s="47"/>
    </row>
    <row r="281" spans="1:78" ht="33.75" customHeight="1" x14ac:dyDescent="0.2">
      <c r="A281" s="78" t="s">
        <v>14</v>
      </c>
      <c r="B281" s="79"/>
      <c r="C281" s="79"/>
      <c r="D281" s="79"/>
      <c r="E281" s="79"/>
      <c r="F281" s="80"/>
      <c r="G281" s="88" t="s">
        <v>27</v>
      </c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 t="s">
        <v>2</v>
      </c>
      <c r="AA281" s="88"/>
      <c r="AB281" s="88"/>
      <c r="AC281" s="88"/>
      <c r="AD281" s="88"/>
      <c r="AE281" s="78" t="s">
        <v>1</v>
      </c>
      <c r="AF281" s="79"/>
      <c r="AG281" s="79"/>
      <c r="AH281" s="79"/>
      <c r="AI281" s="79"/>
      <c r="AJ281" s="79"/>
      <c r="AK281" s="79"/>
      <c r="AL281" s="79"/>
      <c r="AM281" s="79"/>
      <c r="AN281" s="80"/>
      <c r="AO281" s="88" t="s">
        <v>15</v>
      </c>
      <c r="AP281" s="88"/>
      <c r="AQ281" s="88"/>
      <c r="AR281" s="88"/>
      <c r="AS281" s="88"/>
      <c r="AT281" s="88"/>
      <c r="AU281" s="88"/>
      <c r="AV281" s="88"/>
      <c r="AW281" s="88" t="s">
        <v>16</v>
      </c>
      <c r="AX281" s="88"/>
      <c r="AY281" s="88"/>
      <c r="AZ281" s="88"/>
      <c r="BA281" s="88"/>
      <c r="BB281" s="88"/>
      <c r="BC281" s="88"/>
      <c r="BD281" s="88"/>
      <c r="BE281" s="88" t="s">
        <v>13</v>
      </c>
      <c r="BF281" s="88"/>
      <c r="BG281" s="88"/>
      <c r="BH281" s="88"/>
      <c r="BI281" s="88"/>
      <c r="BJ281" s="88"/>
      <c r="BK281" s="88"/>
      <c r="BL281" s="88"/>
      <c r="BT281" s="47"/>
      <c r="BU281" s="47"/>
      <c r="BV281" s="47"/>
      <c r="BW281" s="47"/>
      <c r="BX281" s="47"/>
      <c r="BY281" s="47"/>
      <c r="BZ281" s="47"/>
    </row>
    <row r="282" spans="1:78" ht="18.75" customHeight="1" x14ac:dyDescent="0.2">
      <c r="A282" s="78">
        <v>1</v>
      </c>
      <c r="B282" s="79"/>
      <c r="C282" s="79"/>
      <c r="D282" s="79"/>
      <c r="E282" s="79"/>
      <c r="F282" s="80"/>
      <c r="G282" s="88">
        <v>2</v>
      </c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>
        <v>3</v>
      </c>
      <c r="AA282" s="88"/>
      <c r="AB282" s="88"/>
      <c r="AC282" s="88"/>
      <c r="AD282" s="88"/>
      <c r="AE282" s="78">
        <v>4</v>
      </c>
      <c r="AF282" s="79"/>
      <c r="AG282" s="79"/>
      <c r="AH282" s="79"/>
      <c r="AI282" s="79"/>
      <c r="AJ282" s="79"/>
      <c r="AK282" s="79"/>
      <c r="AL282" s="79"/>
      <c r="AM282" s="79"/>
      <c r="AN282" s="80"/>
      <c r="AO282" s="88">
        <v>5</v>
      </c>
      <c r="AP282" s="88"/>
      <c r="AQ282" s="88"/>
      <c r="AR282" s="88"/>
      <c r="AS282" s="88"/>
      <c r="AT282" s="88"/>
      <c r="AU282" s="88"/>
      <c r="AV282" s="88"/>
      <c r="AW282" s="88">
        <v>6</v>
      </c>
      <c r="AX282" s="88"/>
      <c r="AY282" s="88"/>
      <c r="AZ282" s="88"/>
      <c r="BA282" s="88"/>
      <c r="BB282" s="88"/>
      <c r="BC282" s="88"/>
      <c r="BD282" s="88"/>
      <c r="BE282" s="88">
        <v>7</v>
      </c>
      <c r="BF282" s="88"/>
      <c r="BG282" s="88"/>
      <c r="BH282" s="88"/>
      <c r="BI282" s="88"/>
      <c r="BJ282" s="88"/>
      <c r="BK282" s="88"/>
      <c r="BL282" s="88"/>
      <c r="BT282" s="47"/>
      <c r="BU282" s="47"/>
      <c r="BV282" s="47"/>
      <c r="BW282" s="47"/>
      <c r="BX282" s="47"/>
      <c r="BY282" s="47"/>
      <c r="BZ282" s="47"/>
    </row>
    <row r="283" spans="1:78" ht="20.25" customHeight="1" x14ac:dyDescent="0.2">
      <c r="A283" s="78"/>
      <c r="B283" s="79"/>
      <c r="C283" s="79"/>
      <c r="D283" s="79"/>
      <c r="E283" s="79"/>
      <c r="F283" s="80"/>
      <c r="G283" s="208" t="s">
        <v>103</v>
      </c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4"/>
      <c r="BE283" s="133"/>
      <c r="BF283" s="133"/>
      <c r="BG283" s="133"/>
      <c r="BH283" s="133"/>
      <c r="BI283" s="133"/>
      <c r="BJ283" s="133"/>
      <c r="BK283" s="133"/>
      <c r="BL283" s="133"/>
      <c r="BT283" s="47"/>
      <c r="BU283" s="47"/>
      <c r="BV283" s="47"/>
      <c r="BW283" s="47"/>
      <c r="BX283" s="47"/>
      <c r="BY283" s="47"/>
      <c r="BZ283" s="47"/>
    </row>
    <row r="284" spans="1:78" ht="18.75" customHeight="1" x14ac:dyDescent="0.2">
      <c r="A284" s="78"/>
      <c r="B284" s="79"/>
      <c r="C284" s="79"/>
      <c r="D284" s="79"/>
      <c r="E284" s="79"/>
      <c r="F284" s="80"/>
      <c r="G284" s="138" t="s">
        <v>48</v>
      </c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84"/>
      <c r="AA284" s="84"/>
      <c r="AB284" s="84"/>
      <c r="AC284" s="84"/>
      <c r="AD284" s="84"/>
      <c r="AE284" s="85"/>
      <c r="AF284" s="86"/>
      <c r="AG284" s="86"/>
      <c r="AH284" s="86"/>
      <c r="AI284" s="86"/>
      <c r="AJ284" s="86"/>
      <c r="AK284" s="86"/>
      <c r="AL284" s="86"/>
      <c r="AM284" s="86"/>
      <c r="AN284" s="87"/>
      <c r="AO284" s="92"/>
      <c r="AP284" s="92"/>
      <c r="AQ284" s="92"/>
      <c r="AR284" s="92"/>
      <c r="AS284" s="92"/>
      <c r="AT284" s="92"/>
      <c r="AU284" s="92"/>
      <c r="AV284" s="92"/>
      <c r="AW284" s="137"/>
      <c r="AX284" s="137"/>
      <c r="AY284" s="137"/>
      <c r="AZ284" s="137"/>
      <c r="BA284" s="137"/>
      <c r="BB284" s="137"/>
      <c r="BC284" s="137"/>
      <c r="BD284" s="137"/>
      <c r="BE284" s="133"/>
      <c r="BF284" s="133"/>
      <c r="BG284" s="133"/>
      <c r="BH284" s="133"/>
      <c r="BI284" s="133"/>
      <c r="BJ284" s="133"/>
      <c r="BK284" s="133"/>
      <c r="BL284" s="133"/>
      <c r="BT284" s="47"/>
      <c r="BU284" s="47"/>
      <c r="BV284" s="47"/>
      <c r="BW284" s="47"/>
      <c r="BX284" s="47"/>
      <c r="BY284" s="47"/>
      <c r="BZ284" s="47"/>
    </row>
    <row r="285" spans="1:78" ht="18.75" customHeight="1" x14ac:dyDescent="0.2">
      <c r="A285" s="78"/>
      <c r="B285" s="79"/>
      <c r="C285" s="79"/>
      <c r="D285" s="79"/>
      <c r="E285" s="79"/>
      <c r="F285" s="80"/>
      <c r="G285" s="190" t="s">
        <v>82</v>
      </c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84" t="s">
        <v>49</v>
      </c>
      <c r="AA285" s="84"/>
      <c r="AB285" s="84"/>
      <c r="AC285" s="84"/>
      <c r="AD285" s="84"/>
      <c r="AE285" s="85" t="s">
        <v>66</v>
      </c>
      <c r="AF285" s="86"/>
      <c r="AG285" s="86"/>
      <c r="AH285" s="86"/>
      <c r="AI285" s="86"/>
      <c r="AJ285" s="86"/>
      <c r="AK285" s="86"/>
      <c r="AL285" s="86"/>
      <c r="AM285" s="86"/>
      <c r="AN285" s="87"/>
      <c r="AO285" s="92"/>
      <c r="AP285" s="92"/>
      <c r="AQ285" s="92"/>
      <c r="AR285" s="92"/>
      <c r="AS285" s="92"/>
      <c r="AT285" s="92"/>
      <c r="AU285" s="92"/>
      <c r="AV285" s="92"/>
      <c r="AW285" s="137">
        <f>SUM(AW286:BD288)</f>
        <v>64779328</v>
      </c>
      <c r="AX285" s="137"/>
      <c r="AY285" s="137"/>
      <c r="AZ285" s="137"/>
      <c r="BA285" s="137"/>
      <c r="BB285" s="137"/>
      <c r="BC285" s="137"/>
      <c r="BD285" s="137"/>
      <c r="BE285" s="92">
        <f>AW285</f>
        <v>64779328</v>
      </c>
      <c r="BF285" s="92"/>
      <c r="BG285" s="92"/>
      <c r="BH285" s="92"/>
      <c r="BI285" s="92"/>
      <c r="BJ285" s="92"/>
      <c r="BK285" s="92"/>
      <c r="BL285" s="92"/>
      <c r="BT285" s="47"/>
      <c r="BU285" s="47"/>
      <c r="BV285" s="47"/>
      <c r="BW285" s="47"/>
      <c r="BX285" s="47"/>
      <c r="BY285" s="47"/>
      <c r="BZ285" s="47"/>
    </row>
    <row r="286" spans="1:78" ht="18.75" customHeight="1" x14ac:dyDescent="0.2">
      <c r="A286" s="78"/>
      <c r="B286" s="79"/>
      <c r="C286" s="79"/>
      <c r="D286" s="79"/>
      <c r="E286" s="79"/>
      <c r="F286" s="80"/>
      <c r="G286" s="105" t="s">
        <v>97</v>
      </c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84" t="s">
        <v>104</v>
      </c>
      <c r="AA286" s="84"/>
      <c r="AB286" s="84"/>
      <c r="AC286" s="84"/>
      <c r="AD286" s="84"/>
      <c r="AE286" s="85" t="s">
        <v>66</v>
      </c>
      <c r="AF286" s="86"/>
      <c r="AG286" s="86"/>
      <c r="AH286" s="86"/>
      <c r="AI286" s="86"/>
      <c r="AJ286" s="86"/>
      <c r="AK286" s="86"/>
      <c r="AL286" s="86"/>
      <c r="AM286" s="86"/>
      <c r="AN286" s="87"/>
      <c r="AO286" s="92"/>
      <c r="AP286" s="92"/>
      <c r="AQ286" s="92"/>
      <c r="AR286" s="92"/>
      <c r="AS286" s="92"/>
      <c r="AT286" s="92"/>
      <c r="AU286" s="92"/>
      <c r="AV286" s="92"/>
      <c r="AW286" s="137">
        <f>AS133</f>
        <v>61304675</v>
      </c>
      <c r="AX286" s="137"/>
      <c r="AY286" s="137"/>
      <c r="AZ286" s="137"/>
      <c r="BA286" s="137"/>
      <c r="BB286" s="137"/>
      <c r="BC286" s="137"/>
      <c r="BD286" s="137"/>
      <c r="BE286" s="92">
        <f>AW286</f>
        <v>61304675</v>
      </c>
      <c r="BF286" s="92"/>
      <c r="BG286" s="92"/>
      <c r="BH286" s="92"/>
      <c r="BI286" s="92"/>
      <c r="BJ286" s="92"/>
      <c r="BK286" s="92"/>
      <c r="BL286" s="92"/>
      <c r="BT286" s="47"/>
      <c r="BU286" s="47"/>
      <c r="BV286" s="47"/>
      <c r="BW286" s="47"/>
      <c r="BX286" s="47"/>
      <c r="BY286" s="47"/>
      <c r="BZ286" s="47"/>
    </row>
    <row r="287" spans="1:78" ht="79.5" customHeight="1" x14ac:dyDescent="0.2">
      <c r="A287" s="78"/>
      <c r="B287" s="79"/>
      <c r="C287" s="79"/>
      <c r="D287" s="79"/>
      <c r="E287" s="79"/>
      <c r="F287" s="80"/>
      <c r="G287" s="105" t="s">
        <v>158</v>
      </c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84" t="s">
        <v>104</v>
      </c>
      <c r="AA287" s="84"/>
      <c r="AB287" s="84"/>
      <c r="AC287" s="84"/>
      <c r="AD287" s="84"/>
      <c r="AE287" s="85" t="s">
        <v>66</v>
      </c>
      <c r="AF287" s="86"/>
      <c r="AG287" s="86"/>
      <c r="AH287" s="86"/>
      <c r="AI287" s="86"/>
      <c r="AJ287" s="86"/>
      <c r="AK287" s="86"/>
      <c r="AL287" s="86"/>
      <c r="AM287" s="86"/>
      <c r="AN287" s="87"/>
      <c r="AO287" s="92"/>
      <c r="AP287" s="92"/>
      <c r="AQ287" s="92"/>
      <c r="AR287" s="92"/>
      <c r="AS287" s="92"/>
      <c r="AT287" s="92"/>
      <c r="AU287" s="92"/>
      <c r="AV287" s="92"/>
      <c r="AW287" s="137">
        <f>AS144</f>
        <v>438523</v>
      </c>
      <c r="AX287" s="137"/>
      <c r="AY287" s="137"/>
      <c r="AZ287" s="137"/>
      <c r="BA287" s="137"/>
      <c r="BB287" s="137"/>
      <c r="BC287" s="137"/>
      <c r="BD287" s="137"/>
      <c r="BE287" s="92">
        <f>AW287</f>
        <v>438523</v>
      </c>
      <c r="BF287" s="92"/>
      <c r="BG287" s="92"/>
      <c r="BH287" s="92"/>
      <c r="BI287" s="92"/>
      <c r="BJ287" s="92"/>
      <c r="BK287" s="92"/>
      <c r="BL287" s="92"/>
      <c r="BT287" s="47"/>
      <c r="BU287" s="47"/>
      <c r="BV287" s="47"/>
      <c r="BW287" s="47"/>
      <c r="BX287" s="47"/>
      <c r="BY287" s="47"/>
      <c r="BZ287" s="47"/>
    </row>
    <row r="288" spans="1:78" ht="33.75" customHeight="1" x14ac:dyDescent="0.2">
      <c r="A288" s="78"/>
      <c r="B288" s="79"/>
      <c r="C288" s="79"/>
      <c r="D288" s="79"/>
      <c r="E288" s="79"/>
      <c r="F288" s="80"/>
      <c r="G288" s="81" t="s">
        <v>149</v>
      </c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3"/>
      <c r="Z288" s="84" t="s">
        <v>104</v>
      </c>
      <c r="AA288" s="84"/>
      <c r="AB288" s="84"/>
      <c r="AC288" s="84"/>
      <c r="AD288" s="84"/>
      <c r="AE288" s="85" t="s">
        <v>66</v>
      </c>
      <c r="AF288" s="86"/>
      <c r="AG288" s="86"/>
      <c r="AH288" s="86"/>
      <c r="AI288" s="86"/>
      <c r="AJ288" s="86"/>
      <c r="AK288" s="86"/>
      <c r="AL288" s="86"/>
      <c r="AM288" s="86"/>
      <c r="AN288" s="87"/>
      <c r="AO288" s="92"/>
      <c r="AP288" s="92"/>
      <c r="AQ288" s="92"/>
      <c r="AR288" s="92"/>
      <c r="AS288" s="92"/>
      <c r="AT288" s="92"/>
      <c r="AU288" s="92"/>
      <c r="AV288" s="92"/>
      <c r="AW288" s="137">
        <f>AS146+AS147+AS148+AS149</f>
        <v>3036130</v>
      </c>
      <c r="AX288" s="137"/>
      <c r="AY288" s="137"/>
      <c r="AZ288" s="137"/>
      <c r="BA288" s="137"/>
      <c r="BB288" s="137"/>
      <c r="BC288" s="137"/>
      <c r="BD288" s="137"/>
      <c r="BE288" s="92">
        <f>AW288</f>
        <v>3036130</v>
      </c>
      <c r="BF288" s="92"/>
      <c r="BG288" s="92"/>
      <c r="BH288" s="92"/>
      <c r="BI288" s="92"/>
      <c r="BJ288" s="92"/>
      <c r="BK288" s="92"/>
      <c r="BL288" s="92"/>
      <c r="BT288" s="47"/>
      <c r="BU288" s="47"/>
      <c r="BV288" s="47"/>
      <c r="BW288" s="47"/>
      <c r="BX288" s="47"/>
      <c r="BY288" s="47"/>
      <c r="BZ288" s="47"/>
    </row>
    <row r="289" spans="1:78" ht="21" customHeight="1" x14ac:dyDescent="0.2">
      <c r="A289" s="78"/>
      <c r="B289" s="79"/>
      <c r="C289" s="79"/>
      <c r="D289" s="79"/>
      <c r="E289" s="79"/>
      <c r="F289" s="80"/>
      <c r="G289" s="143" t="s">
        <v>101</v>
      </c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84"/>
      <c r="AA289" s="84"/>
      <c r="AB289" s="84"/>
      <c r="AC289" s="84"/>
      <c r="AD289" s="84"/>
      <c r="AE289" s="85"/>
      <c r="AF289" s="86"/>
      <c r="AG289" s="86"/>
      <c r="AH289" s="86"/>
      <c r="AI289" s="86"/>
      <c r="AJ289" s="86"/>
      <c r="AK289" s="86"/>
      <c r="AL289" s="86"/>
      <c r="AM289" s="86"/>
      <c r="AN289" s="87"/>
      <c r="AO289" s="92"/>
      <c r="AP289" s="92"/>
      <c r="AQ289" s="92"/>
      <c r="AR289" s="92"/>
      <c r="AS289" s="92"/>
      <c r="AT289" s="92"/>
      <c r="AU289" s="92"/>
      <c r="AV289" s="92"/>
      <c r="AW289" s="137"/>
      <c r="AX289" s="137"/>
      <c r="AY289" s="137"/>
      <c r="AZ289" s="137"/>
      <c r="BA289" s="137"/>
      <c r="BB289" s="137"/>
      <c r="BC289" s="137"/>
      <c r="BD289" s="137"/>
      <c r="BE289" s="133"/>
      <c r="BF289" s="133"/>
      <c r="BG289" s="133"/>
      <c r="BH289" s="133"/>
      <c r="BI289" s="133"/>
      <c r="BJ289" s="133"/>
      <c r="BK289" s="133"/>
      <c r="BL289" s="133"/>
      <c r="BT289" s="47"/>
      <c r="BU289" s="47"/>
      <c r="BV289" s="47"/>
      <c r="BW289" s="47"/>
      <c r="BX289" s="47"/>
      <c r="BY289" s="47"/>
      <c r="BZ289" s="47"/>
    </row>
    <row r="290" spans="1:78" ht="33.75" customHeight="1" x14ac:dyDescent="0.2">
      <c r="A290" s="78"/>
      <c r="B290" s="79"/>
      <c r="C290" s="79"/>
      <c r="D290" s="79"/>
      <c r="E290" s="79"/>
      <c r="F290" s="80"/>
      <c r="G290" s="148" t="s">
        <v>98</v>
      </c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84" t="s">
        <v>67</v>
      </c>
      <c r="AA290" s="84"/>
      <c r="AB290" s="84"/>
      <c r="AC290" s="84"/>
      <c r="AD290" s="84"/>
      <c r="AE290" s="85" t="s">
        <v>71</v>
      </c>
      <c r="AF290" s="86"/>
      <c r="AG290" s="86"/>
      <c r="AH290" s="86"/>
      <c r="AI290" s="86"/>
      <c r="AJ290" s="86"/>
      <c r="AK290" s="86"/>
      <c r="AL290" s="86"/>
      <c r="AM290" s="86"/>
      <c r="AN290" s="87"/>
      <c r="AO290" s="92"/>
      <c r="AP290" s="92"/>
      <c r="AQ290" s="92"/>
      <c r="AR290" s="92"/>
      <c r="AS290" s="92"/>
      <c r="AT290" s="92"/>
      <c r="AU290" s="92"/>
      <c r="AV290" s="92"/>
      <c r="AW290" s="149">
        <f>(1+5+1+1+2+3+5+1+1)+1-2</f>
        <v>19</v>
      </c>
      <c r="AX290" s="149"/>
      <c r="AY290" s="149"/>
      <c r="AZ290" s="149"/>
      <c r="BA290" s="149"/>
      <c r="BB290" s="149"/>
      <c r="BC290" s="149"/>
      <c r="BD290" s="149"/>
      <c r="BE290" s="106">
        <f>AW290</f>
        <v>19</v>
      </c>
      <c r="BF290" s="106"/>
      <c r="BG290" s="106"/>
      <c r="BH290" s="106"/>
      <c r="BI290" s="106"/>
      <c r="BJ290" s="106"/>
      <c r="BK290" s="106"/>
      <c r="BL290" s="106"/>
      <c r="BT290" s="47"/>
      <c r="BU290" s="47"/>
      <c r="BV290" s="47"/>
      <c r="BW290" s="47"/>
      <c r="BX290" s="47"/>
      <c r="BY290" s="47"/>
      <c r="BZ290" s="47"/>
    </row>
    <row r="291" spans="1:78" ht="18" customHeight="1" x14ac:dyDescent="0.2">
      <c r="A291" s="78"/>
      <c r="B291" s="79"/>
      <c r="C291" s="79"/>
      <c r="D291" s="79"/>
      <c r="E291" s="79"/>
      <c r="F291" s="80"/>
      <c r="G291" s="148" t="s">
        <v>111</v>
      </c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84" t="s">
        <v>67</v>
      </c>
      <c r="AA291" s="84"/>
      <c r="AB291" s="84"/>
      <c r="AC291" s="84"/>
      <c r="AD291" s="84"/>
      <c r="AE291" s="85" t="s">
        <v>71</v>
      </c>
      <c r="AF291" s="86"/>
      <c r="AG291" s="86"/>
      <c r="AH291" s="86"/>
      <c r="AI291" s="86"/>
      <c r="AJ291" s="86"/>
      <c r="AK291" s="86"/>
      <c r="AL291" s="86"/>
      <c r="AM291" s="86"/>
      <c r="AN291" s="87"/>
      <c r="AO291" s="92"/>
      <c r="AP291" s="92"/>
      <c r="AQ291" s="92"/>
      <c r="AR291" s="92"/>
      <c r="AS291" s="92"/>
      <c r="AT291" s="92"/>
      <c r="AU291" s="92"/>
      <c r="AV291" s="92"/>
      <c r="AW291" s="149">
        <v>1</v>
      </c>
      <c r="AX291" s="149"/>
      <c r="AY291" s="149"/>
      <c r="AZ291" s="149"/>
      <c r="BA291" s="149"/>
      <c r="BB291" s="149"/>
      <c r="BC291" s="149"/>
      <c r="BD291" s="149"/>
      <c r="BE291" s="106">
        <f>AW291</f>
        <v>1</v>
      </c>
      <c r="BF291" s="106"/>
      <c r="BG291" s="106"/>
      <c r="BH291" s="106"/>
      <c r="BI291" s="106"/>
      <c r="BJ291" s="106"/>
      <c r="BK291" s="106"/>
      <c r="BL291" s="106"/>
      <c r="BT291" s="47"/>
      <c r="BU291" s="47"/>
      <c r="BV291" s="47"/>
      <c r="BW291" s="47"/>
      <c r="BX291" s="47"/>
      <c r="BY291" s="47"/>
      <c r="BZ291" s="47"/>
    </row>
    <row r="292" spans="1:78" ht="36.75" customHeight="1" x14ac:dyDescent="0.2">
      <c r="A292" s="78"/>
      <c r="B292" s="79"/>
      <c r="C292" s="79"/>
      <c r="D292" s="79"/>
      <c r="E292" s="79"/>
      <c r="F292" s="80"/>
      <c r="G292" s="112" t="s">
        <v>151</v>
      </c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4"/>
      <c r="Z292" s="84" t="s">
        <v>67</v>
      </c>
      <c r="AA292" s="84"/>
      <c r="AB292" s="84"/>
      <c r="AC292" s="84"/>
      <c r="AD292" s="84"/>
      <c r="AE292" s="85" t="s">
        <v>71</v>
      </c>
      <c r="AF292" s="86"/>
      <c r="AG292" s="86"/>
      <c r="AH292" s="86"/>
      <c r="AI292" s="86"/>
      <c r="AJ292" s="86"/>
      <c r="AK292" s="86"/>
      <c r="AL292" s="86"/>
      <c r="AM292" s="86"/>
      <c r="AN292" s="87"/>
      <c r="AO292" s="92"/>
      <c r="AP292" s="92"/>
      <c r="AQ292" s="92"/>
      <c r="AR292" s="92"/>
      <c r="AS292" s="92"/>
      <c r="AT292" s="92"/>
      <c r="AU292" s="92"/>
      <c r="AV292" s="92"/>
      <c r="AW292" s="234">
        <f>1+3+5+1</f>
        <v>10</v>
      </c>
      <c r="AX292" s="235"/>
      <c r="AY292" s="235"/>
      <c r="AZ292" s="235"/>
      <c r="BA292" s="235"/>
      <c r="BB292" s="235"/>
      <c r="BC292" s="235"/>
      <c r="BD292" s="236"/>
      <c r="BE292" s="106">
        <f>AW292</f>
        <v>10</v>
      </c>
      <c r="BF292" s="106"/>
      <c r="BG292" s="106"/>
      <c r="BH292" s="106"/>
      <c r="BI292" s="106"/>
      <c r="BJ292" s="106"/>
      <c r="BK292" s="106"/>
      <c r="BL292" s="106"/>
      <c r="BT292" s="47"/>
      <c r="BU292" s="47"/>
      <c r="BV292" s="47"/>
      <c r="BW292" s="47"/>
      <c r="BX292" s="47"/>
      <c r="BY292" s="47"/>
      <c r="BZ292" s="47"/>
    </row>
    <row r="293" spans="1:78" ht="20.25" customHeight="1" x14ac:dyDescent="0.2">
      <c r="A293" s="78"/>
      <c r="B293" s="79"/>
      <c r="C293" s="79"/>
      <c r="D293" s="79"/>
      <c r="E293" s="79"/>
      <c r="F293" s="80"/>
      <c r="G293" s="143" t="s">
        <v>64</v>
      </c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84"/>
      <c r="AA293" s="84"/>
      <c r="AB293" s="84"/>
      <c r="AC293" s="84"/>
      <c r="AD293" s="84"/>
      <c r="AE293" s="85"/>
      <c r="AF293" s="86"/>
      <c r="AG293" s="86"/>
      <c r="AH293" s="86"/>
      <c r="AI293" s="86"/>
      <c r="AJ293" s="86"/>
      <c r="AK293" s="86"/>
      <c r="AL293" s="86"/>
      <c r="AM293" s="86"/>
      <c r="AN293" s="87"/>
      <c r="AO293" s="92"/>
      <c r="AP293" s="92"/>
      <c r="AQ293" s="92"/>
      <c r="AR293" s="92"/>
      <c r="AS293" s="92"/>
      <c r="AT293" s="92"/>
      <c r="AU293" s="92"/>
      <c r="AV293" s="92"/>
      <c r="AW293" s="137"/>
      <c r="AX293" s="137"/>
      <c r="AY293" s="137"/>
      <c r="AZ293" s="137"/>
      <c r="BA293" s="137"/>
      <c r="BB293" s="137"/>
      <c r="BC293" s="137"/>
      <c r="BD293" s="137"/>
      <c r="BE293" s="133"/>
      <c r="BF293" s="133"/>
      <c r="BG293" s="133"/>
      <c r="BH293" s="133"/>
      <c r="BI293" s="133"/>
      <c r="BJ293" s="133"/>
      <c r="BK293" s="133"/>
      <c r="BL293" s="133"/>
      <c r="BT293" s="47"/>
      <c r="BU293" s="47"/>
      <c r="BV293" s="47"/>
      <c r="BW293" s="47"/>
      <c r="BX293" s="47"/>
      <c r="BY293" s="47"/>
      <c r="BZ293" s="47"/>
    </row>
    <row r="294" spans="1:78" ht="35.25" customHeight="1" x14ac:dyDescent="0.2">
      <c r="A294" s="78"/>
      <c r="B294" s="79"/>
      <c r="C294" s="79"/>
      <c r="D294" s="79"/>
      <c r="E294" s="79"/>
      <c r="F294" s="80"/>
      <c r="G294" s="148" t="s">
        <v>112</v>
      </c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84" t="s">
        <v>104</v>
      </c>
      <c r="AA294" s="84"/>
      <c r="AB294" s="84"/>
      <c r="AC294" s="84"/>
      <c r="AD294" s="84"/>
      <c r="AE294" s="85" t="s">
        <v>61</v>
      </c>
      <c r="AF294" s="86"/>
      <c r="AG294" s="86"/>
      <c r="AH294" s="86"/>
      <c r="AI294" s="86"/>
      <c r="AJ294" s="86"/>
      <c r="AK294" s="86"/>
      <c r="AL294" s="86"/>
      <c r="AM294" s="86"/>
      <c r="AN294" s="87"/>
      <c r="AO294" s="92"/>
      <c r="AP294" s="92"/>
      <c r="AQ294" s="92"/>
      <c r="AR294" s="92"/>
      <c r="AS294" s="92"/>
      <c r="AT294" s="92"/>
      <c r="AU294" s="92"/>
      <c r="AV294" s="92"/>
      <c r="AW294" s="137">
        <f>AW286/AW290</f>
        <v>3226561.8421052634</v>
      </c>
      <c r="AX294" s="137"/>
      <c r="AY294" s="137"/>
      <c r="AZ294" s="137"/>
      <c r="BA294" s="137"/>
      <c r="BB294" s="137"/>
      <c r="BC294" s="137"/>
      <c r="BD294" s="137"/>
      <c r="BE294" s="92">
        <f>AW294</f>
        <v>3226561.8421052634</v>
      </c>
      <c r="BF294" s="92"/>
      <c r="BG294" s="92"/>
      <c r="BH294" s="92"/>
      <c r="BI294" s="92"/>
      <c r="BJ294" s="92"/>
      <c r="BK294" s="92"/>
      <c r="BL294" s="92"/>
      <c r="BT294" s="47"/>
      <c r="BU294" s="47"/>
      <c r="BV294" s="47"/>
      <c r="BW294" s="47"/>
      <c r="BX294" s="47"/>
      <c r="BY294" s="47"/>
      <c r="BZ294" s="47"/>
    </row>
    <row r="295" spans="1:78" ht="33" customHeight="1" x14ac:dyDescent="0.2">
      <c r="A295" s="78"/>
      <c r="B295" s="79"/>
      <c r="C295" s="79"/>
      <c r="D295" s="79"/>
      <c r="E295" s="79"/>
      <c r="F295" s="80"/>
      <c r="G295" s="148" t="s">
        <v>159</v>
      </c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84" t="s">
        <v>104</v>
      </c>
      <c r="AA295" s="84"/>
      <c r="AB295" s="84"/>
      <c r="AC295" s="84"/>
      <c r="AD295" s="84"/>
      <c r="AE295" s="85" t="s">
        <v>61</v>
      </c>
      <c r="AF295" s="86"/>
      <c r="AG295" s="86"/>
      <c r="AH295" s="86"/>
      <c r="AI295" s="86"/>
      <c r="AJ295" s="86"/>
      <c r="AK295" s="86"/>
      <c r="AL295" s="86"/>
      <c r="AM295" s="86"/>
      <c r="AN295" s="87"/>
      <c r="AO295" s="92"/>
      <c r="AP295" s="92"/>
      <c r="AQ295" s="92"/>
      <c r="AR295" s="92"/>
      <c r="AS295" s="92"/>
      <c r="AT295" s="92"/>
      <c r="AU295" s="92"/>
      <c r="AV295" s="92"/>
      <c r="AW295" s="137">
        <f>AW287/AW291</f>
        <v>438523</v>
      </c>
      <c r="AX295" s="137"/>
      <c r="AY295" s="137"/>
      <c r="AZ295" s="137"/>
      <c r="BA295" s="137"/>
      <c r="BB295" s="137"/>
      <c r="BC295" s="137"/>
      <c r="BD295" s="137"/>
      <c r="BE295" s="92">
        <f>AW295</f>
        <v>438523</v>
      </c>
      <c r="BF295" s="92"/>
      <c r="BG295" s="92"/>
      <c r="BH295" s="92"/>
      <c r="BI295" s="92"/>
      <c r="BJ295" s="92"/>
      <c r="BK295" s="92"/>
      <c r="BL295" s="92"/>
      <c r="BT295" s="47"/>
      <c r="BU295" s="47"/>
      <c r="BV295" s="47"/>
      <c r="BW295" s="47"/>
      <c r="BX295" s="47"/>
      <c r="BY295" s="47"/>
      <c r="BZ295" s="47"/>
    </row>
    <row r="296" spans="1:78" ht="35.25" customHeight="1" x14ac:dyDescent="0.2">
      <c r="A296" s="78"/>
      <c r="B296" s="79"/>
      <c r="C296" s="79"/>
      <c r="D296" s="79"/>
      <c r="E296" s="79"/>
      <c r="F296" s="80"/>
      <c r="G296" s="112" t="s">
        <v>151</v>
      </c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4"/>
      <c r="Z296" s="84" t="s">
        <v>104</v>
      </c>
      <c r="AA296" s="84"/>
      <c r="AB296" s="84"/>
      <c r="AC296" s="84"/>
      <c r="AD296" s="84"/>
      <c r="AE296" s="85" t="s">
        <v>61</v>
      </c>
      <c r="AF296" s="86"/>
      <c r="AG296" s="86"/>
      <c r="AH296" s="86"/>
      <c r="AI296" s="86"/>
      <c r="AJ296" s="86"/>
      <c r="AK296" s="86"/>
      <c r="AL296" s="86"/>
      <c r="AM296" s="86"/>
      <c r="AN296" s="87"/>
      <c r="AO296" s="92"/>
      <c r="AP296" s="92"/>
      <c r="AQ296" s="92"/>
      <c r="AR296" s="92"/>
      <c r="AS296" s="92"/>
      <c r="AT296" s="92"/>
      <c r="AU296" s="92"/>
      <c r="AV296" s="92"/>
      <c r="AW296" s="137">
        <f>AW288/AW292</f>
        <v>303613</v>
      </c>
      <c r="AX296" s="137"/>
      <c r="AY296" s="137"/>
      <c r="AZ296" s="137"/>
      <c r="BA296" s="137"/>
      <c r="BB296" s="137"/>
      <c r="BC296" s="137"/>
      <c r="BD296" s="137"/>
      <c r="BE296" s="92">
        <f>AW296</f>
        <v>303613</v>
      </c>
      <c r="BF296" s="92"/>
      <c r="BG296" s="92"/>
      <c r="BH296" s="92"/>
      <c r="BI296" s="92"/>
      <c r="BJ296" s="92"/>
      <c r="BK296" s="92"/>
      <c r="BL296" s="92"/>
      <c r="BT296" s="47"/>
      <c r="BU296" s="47"/>
      <c r="BV296" s="47"/>
      <c r="BW296" s="47"/>
      <c r="BX296" s="47"/>
      <c r="BY296" s="47"/>
      <c r="BZ296" s="47"/>
    </row>
    <row r="297" spans="1:78" ht="18.75" customHeight="1" x14ac:dyDescent="0.2">
      <c r="A297" s="78"/>
      <c r="B297" s="79"/>
      <c r="C297" s="79"/>
      <c r="D297" s="79"/>
      <c r="E297" s="79"/>
      <c r="F297" s="80"/>
      <c r="G297" s="138" t="s">
        <v>50</v>
      </c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84"/>
      <c r="AA297" s="84"/>
      <c r="AB297" s="84"/>
      <c r="AC297" s="84"/>
      <c r="AD297" s="84"/>
      <c r="AE297" s="85"/>
      <c r="AF297" s="86"/>
      <c r="AG297" s="86"/>
      <c r="AH297" s="86"/>
      <c r="AI297" s="86"/>
      <c r="AJ297" s="86"/>
      <c r="AK297" s="86"/>
      <c r="AL297" s="86"/>
      <c r="AM297" s="86"/>
      <c r="AN297" s="87"/>
      <c r="AO297" s="92"/>
      <c r="AP297" s="92"/>
      <c r="AQ297" s="92"/>
      <c r="AR297" s="92"/>
      <c r="AS297" s="92"/>
      <c r="AT297" s="92"/>
      <c r="AU297" s="92"/>
      <c r="AV297" s="92"/>
      <c r="AW297" s="137"/>
      <c r="AX297" s="137"/>
      <c r="AY297" s="137"/>
      <c r="AZ297" s="137"/>
      <c r="BA297" s="137"/>
      <c r="BB297" s="137"/>
      <c r="BC297" s="137"/>
      <c r="BD297" s="137"/>
      <c r="BE297" s="133"/>
      <c r="BF297" s="133"/>
      <c r="BG297" s="133"/>
      <c r="BH297" s="133"/>
      <c r="BI297" s="133"/>
      <c r="BJ297" s="133"/>
      <c r="BK297" s="133"/>
      <c r="BL297" s="133"/>
      <c r="BT297" s="47"/>
      <c r="BU297" s="47"/>
      <c r="BV297" s="47"/>
      <c r="BW297" s="47"/>
      <c r="BX297" s="47"/>
      <c r="BY297" s="47"/>
      <c r="BZ297" s="47"/>
    </row>
    <row r="298" spans="1:78" ht="33.75" customHeight="1" x14ac:dyDescent="0.2">
      <c r="A298" s="78"/>
      <c r="B298" s="79"/>
      <c r="C298" s="79"/>
      <c r="D298" s="79"/>
      <c r="E298" s="79"/>
      <c r="F298" s="80"/>
      <c r="G298" s="105" t="s">
        <v>60</v>
      </c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84" t="s">
        <v>141</v>
      </c>
      <c r="AA298" s="84"/>
      <c r="AB298" s="84"/>
      <c r="AC298" s="84"/>
      <c r="AD298" s="84"/>
      <c r="AE298" s="85" t="s">
        <v>61</v>
      </c>
      <c r="AF298" s="86"/>
      <c r="AG298" s="86"/>
      <c r="AH298" s="86"/>
      <c r="AI298" s="86"/>
      <c r="AJ298" s="86"/>
      <c r="AK298" s="86"/>
      <c r="AL298" s="86"/>
      <c r="AM298" s="86"/>
      <c r="AN298" s="87"/>
      <c r="AO298" s="92"/>
      <c r="AP298" s="92"/>
      <c r="AQ298" s="92"/>
      <c r="AR298" s="92"/>
      <c r="AS298" s="92"/>
      <c r="AT298" s="92"/>
      <c r="AU298" s="92"/>
      <c r="AV298" s="92"/>
      <c r="AW298" s="137">
        <f>AW285/56256217.28</f>
        <v>1.1515052225708411</v>
      </c>
      <c r="AX298" s="137"/>
      <c r="AY298" s="137">
        <f>AY290/56256217.25*100</f>
        <v>0</v>
      </c>
      <c r="AZ298" s="137"/>
      <c r="BA298" s="137">
        <f>BA290/56256217.25*100</f>
        <v>0</v>
      </c>
      <c r="BB298" s="137"/>
      <c r="BC298" s="137">
        <f>BC290/56256217.25*100</f>
        <v>0</v>
      </c>
      <c r="BD298" s="137"/>
      <c r="BE298" s="133">
        <f>AW298</f>
        <v>1.1515052225708411</v>
      </c>
      <c r="BF298" s="133"/>
      <c r="BG298" s="133"/>
      <c r="BH298" s="133"/>
      <c r="BI298" s="133"/>
      <c r="BJ298" s="133"/>
      <c r="BK298" s="133"/>
      <c r="BL298" s="133"/>
      <c r="BT298" s="47"/>
      <c r="BU298" s="47"/>
      <c r="BV298" s="47"/>
      <c r="BW298" s="47"/>
      <c r="BX298" s="47"/>
      <c r="BY298" s="47"/>
      <c r="BZ298" s="47"/>
    </row>
    <row r="299" spans="1:78" ht="17.25" customHeight="1" x14ac:dyDescent="0.2">
      <c r="A299" s="28"/>
      <c r="B299" s="28"/>
      <c r="C299" s="28"/>
      <c r="D299" s="28"/>
      <c r="E299" s="28"/>
      <c r="F299" s="28"/>
      <c r="G299" s="46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31"/>
      <c r="AA299" s="31"/>
      <c r="AB299" s="31"/>
      <c r="AC299" s="31"/>
      <c r="AD299" s="31"/>
      <c r="AE299" s="31"/>
      <c r="AF299" s="28"/>
      <c r="AG299" s="28"/>
      <c r="AH299" s="28"/>
      <c r="AI299" s="28"/>
      <c r="AJ299" s="28"/>
      <c r="AK299" s="28"/>
      <c r="AL299" s="28"/>
      <c r="AM299" s="28"/>
      <c r="AN299" s="28"/>
      <c r="AO299" s="32"/>
      <c r="AP299" s="32"/>
      <c r="AQ299" s="32"/>
      <c r="AR299" s="32"/>
      <c r="AS299" s="32"/>
      <c r="AT299" s="32"/>
      <c r="AU299" s="32"/>
      <c r="AV299" s="32"/>
      <c r="AW299" s="51"/>
      <c r="AX299" s="51"/>
      <c r="AY299" s="51"/>
      <c r="AZ299" s="51"/>
      <c r="BA299" s="51"/>
      <c r="BB299" s="51"/>
      <c r="BC299" s="51"/>
      <c r="BD299" s="51"/>
      <c r="BE299" s="32"/>
      <c r="BF299" s="32"/>
      <c r="BG299" s="32"/>
      <c r="BH299" s="32"/>
      <c r="BI299" s="32"/>
      <c r="BJ299" s="32"/>
      <c r="BK299" s="32"/>
      <c r="BL299" s="32"/>
      <c r="BT299" s="47"/>
      <c r="BU299" s="47"/>
      <c r="BV299" s="47"/>
      <c r="BW299" s="47"/>
      <c r="BX299" s="47"/>
      <c r="BY299" s="47"/>
      <c r="BZ299" s="47"/>
    </row>
    <row r="300" spans="1:78" ht="33.75" customHeight="1" x14ac:dyDescent="0.2">
      <c r="A300" s="78" t="s">
        <v>14</v>
      </c>
      <c r="B300" s="79"/>
      <c r="C300" s="79"/>
      <c r="D300" s="79"/>
      <c r="E300" s="79"/>
      <c r="F300" s="80"/>
      <c r="G300" s="88" t="s">
        <v>27</v>
      </c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 t="s">
        <v>2</v>
      </c>
      <c r="AA300" s="88"/>
      <c r="AB300" s="88"/>
      <c r="AC300" s="88"/>
      <c r="AD300" s="88"/>
      <c r="AE300" s="78" t="s">
        <v>1</v>
      </c>
      <c r="AF300" s="79"/>
      <c r="AG300" s="79"/>
      <c r="AH300" s="79"/>
      <c r="AI300" s="79"/>
      <c r="AJ300" s="79"/>
      <c r="AK300" s="79"/>
      <c r="AL300" s="79"/>
      <c r="AM300" s="79"/>
      <c r="AN300" s="80"/>
      <c r="AO300" s="88" t="s">
        <v>15</v>
      </c>
      <c r="AP300" s="88"/>
      <c r="AQ300" s="88"/>
      <c r="AR300" s="88"/>
      <c r="AS300" s="88"/>
      <c r="AT300" s="88"/>
      <c r="AU300" s="88"/>
      <c r="AV300" s="88"/>
      <c r="AW300" s="88" t="s">
        <v>16</v>
      </c>
      <c r="AX300" s="88"/>
      <c r="AY300" s="88"/>
      <c r="AZ300" s="88"/>
      <c r="BA300" s="88"/>
      <c r="BB300" s="88"/>
      <c r="BC300" s="88"/>
      <c r="BD300" s="88"/>
      <c r="BE300" s="88" t="s">
        <v>13</v>
      </c>
      <c r="BF300" s="88"/>
      <c r="BG300" s="88"/>
      <c r="BH300" s="88"/>
      <c r="BI300" s="88"/>
      <c r="BJ300" s="88"/>
      <c r="BK300" s="88"/>
      <c r="BL300" s="88"/>
      <c r="BT300" s="47"/>
      <c r="BU300" s="47"/>
      <c r="BV300" s="47"/>
      <c r="BW300" s="47"/>
      <c r="BX300" s="47"/>
      <c r="BY300" s="47"/>
      <c r="BZ300" s="47"/>
    </row>
    <row r="301" spans="1:78" ht="18.75" customHeight="1" x14ac:dyDescent="0.2">
      <c r="A301" s="78">
        <v>1</v>
      </c>
      <c r="B301" s="79"/>
      <c r="C301" s="79"/>
      <c r="D301" s="79"/>
      <c r="E301" s="79"/>
      <c r="F301" s="80"/>
      <c r="G301" s="78">
        <v>2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80"/>
      <c r="Z301" s="88">
        <v>3</v>
      </c>
      <c r="AA301" s="88"/>
      <c r="AB301" s="88"/>
      <c r="AC301" s="88"/>
      <c r="AD301" s="88"/>
      <c r="AE301" s="78">
        <v>4</v>
      </c>
      <c r="AF301" s="79"/>
      <c r="AG301" s="79"/>
      <c r="AH301" s="79"/>
      <c r="AI301" s="79"/>
      <c r="AJ301" s="79"/>
      <c r="AK301" s="79"/>
      <c r="AL301" s="79"/>
      <c r="AM301" s="79"/>
      <c r="AN301" s="80"/>
      <c r="AO301" s="88">
        <v>5</v>
      </c>
      <c r="AP301" s="88"/>
      <c r="AQ301" s="88"/>
      <c r="AR301" s="88"/>
      <c r="AS301" s="88"/>
      <c r="AT301" s="88"/>
      <c r="AU301" s="88"/>
      <c r="AV301" s="88"/>
      <c r="AW301" s="88">
        <v>6</v>
      </c>
      <c r="AX301" s="88"/>
      <c r="AY301" s="88"/>
      <c r="AZ301" s="88"/>
      <c r="BA301" s="88"/>
      <c r="BB301" s="88"/>
      <c r="BC301" s="88"/>
      <c r="BD301" s="88"/>
      <c r="BE301" s="88">
        <v>7</v>
      </c>
      <c r="BF301" s="88"/>
      <c r="BG301" s="88"/>
      <c r="BH301" s="88"/>
      <c r="BI301" s="88"/>
      <c r="BJ301" s="88"/>
      <c r="BK301" s="88"/>
      <c r="BL301" s="88"/>
      <c r="BT301" s="47"/>
      <c r="BU301" s="47"/>
      <c r="BV301" s="47"/>
      <c r="BW301" s="47"/>
      <c r="BX301" s="47"/>
      <c r="BY301" s="47"/>
      <c r="BZ301" s="47"/>
    </row>
    <row r="302" spans="1:78" ht="19.5" customHeight="1" x14ac:dyDescent="0.2">
      <c r="A302" s="78"/>
      <c r="B302" s="79"/>
      <c r="C302" s="79"/>
      <c r="D302" s="79"/>
      <c r="E302" s="79"/>
      <c r="F302" s="80"/>
      <c r="G302" s="208" t="s">
        <v>105</v>
      </c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4"/>
      <c r="BE302" s="133"/>
      <c r="BF302" s="133"/>
      <c r="BG302" s="133"/>
      <c r="BH302" s="133"/>
      <c r="BI302" s="133"/>
      <c r="BJ302" s="133"/>
      <c r="BK302" s="133"/>
      <c r="BL302" s="133"/>
      <c r="BT302" s="47"/>
      <c r="BU302" s="47"/>
      <c r="BV302" s="47"/>
      <c r="BW302" s="47"/>
      <c r="BX302" s="47"/>
      <c r="BY302" s="47"/>
      <c r="BZ302" s="47"/>
    </row>
    <row r="303" spans="1:78" ht="18.95" customHeight="1" x14ac:dyDescent="0.2">
      <c r="A303" s="78"/>
      <c r="B303" s="79"/>
      <c r="C303" s="79"/>
      <c r="D303" s="79"/>
      <c r="E303" s="79"/>
      <c r="F303" s="80"/>
      <c r="G303" s="138" t="s">
        <v>48</v>
      </c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84"/>
      <c r="AA303" s="84"/>
      <c r="AB303" s="84"/>
      <c r="AC303" s="84"/>
      <c r="AD303" s="84"/>
      <c r="AE303" s="85"/>
      <c r="AF303" s="86"/>
      <c r="AG303" s="86"/>
      <c r="AH303" s="86"/>
      <c r="AI303" s="86"/>
      <c r="AJ303" s="86"/>
      <c r="AK303" s="86"/>
      <c r="AL303" s="86"/>
      <c r="AM303" s="86"/>
      <c r="AN303" s="87"/>
      <c r="AO303" s="92"/>
      <c r="AP303" s="92"/>
      <c r="AQ303" s="92"/>
      <c r="AR303" s="92"/>
      <c r="AS303" s="92"/>
      <c r="AT303" s="92"/>
      <c r="AU303" s="92"/>
      <c r="AV303" s="92"/>
      <c r="AW303" s="137"/>
      <c r="AX303" s="137"/>
      <c r="AY303" s="137"/>
      <c r="AZ303" s="137"/>
      <c r="BA303" s="137"/>
      <c r="BB303" s="137"/>
      <c r="BC303" s="137"/>
      <c r="BD303" s="137"/>
      <c r="BE303" s="133"/>
      <c r="BF303" s="133"/>
      <c r="BG303" s="133"/>
      <c r="BH303" s="133"/>
      <c r="BI303" s="133"/>
      <c r="BJ303" s="133"/>
      <c r="BK303" s="133"/>
      <c r="BL303" s="133"/>
      <c r="BT303" s="47"/>
      <c r="BU303" s="47"/>
      <c r="BV303" s="47"/>
      <c r="BW303" s="47"/>
      <c r="BX303" s="47"/>
      <c r="BY303" s="47"/>
      <c r="BZ303" s="47"/>
    </row>
    <row r="304" spans="1:78" ht="18.95" customHeight="1" x14ac:dyDescent="0.2">
      <c r="A304" s="78"/>
      <c r="B304" s="79"/>
      <c r="C304" s="79"/>
      <c r="D304" s="79"/>
      <c r="E304" s="79"/>
      <c r="F304" s="80"/>
      <c r="G304" s="190" t="s">
        <v>82</v>
      </c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84" t="s">
        <v>49</v>
      </c>
      <c r="AA304" s="84"/>
      <c r="AB304" s="84"/>
      <c r="AC304" s="84"/>
      <c r="AD304" s="84"/>
      <c r="AE304" s="85" t="s">
        <v>66</v>
      </c>
      <c r="AF304" s="86"/>
      <c r="AG304" s="86"/>
      <c r="AH304" s="86"/>
      <c r="AI304" s="86"/>
      <c r="AJ304" s="86"/>
      <c r="AK304" s="86"/>
      <c r="AL304" s="86"/>
      <c r="AM304" s="86"/>
      <c r="AN304" s="87"/>
      <c r="AO304" s="92"/>
      <c r="AP304" s="92"/>
      <c r="AQ304" s="92"/>
      <c r="AR304" s="92"/>
      <c r="AS304" s="92"/>
      <c r="AT304" s="92"/>
      <c r="AU304" s="92"/>
      <c r="AV304" s="92"/>
      <c r="AW304" s="137">
        <f>AW305+AW306</f>
        <v>11355280</v>
      </c>
      <c r="AX304" s="137"/>
      <c r="AY304" s="137"/>
      <c r="AZ304" s="137"/>
      <c r="BA304" s="137"/>
      <c r="BB304" s="137"/>
      <c r="BC304" s="137"/>
      <c r="BD304" s="137"/>
      <c r="BE304" s="92">
        <f>AW304</f>
        <v>11355280</v>
      </c>
      <c r="BF304" s="92"/>
      <c r="BG304" s="92"/>
      <c r="BH304" s="92"/>
      <c r="BI304" s="92"/>
      <c r="BJ304" s="92"/>
      <c r="BK304" s="92"/>
      <c r="BL304" s="92"/>
      <c r="BT304" s="47"/>
      <c r="BU304" s="47"/>
      <c r="BV304" s="47"/>
      <c r="BW304" s="47"/>
      <c r="BX304" s="47"/>
      <c r="BY304" s="47"/>
      <c r="BZ304" s="47"/>
    </row>
    <row r="305" spans="1:78" ht="18.95" customHeight="1" x14ac:dyDescent="0.2">
      <c r="A305" s="78"/>
      <c r="B305" s="79"/>
      <c r="C305" s="79"/>
      <c r="D305" s="79"/>
      <c r="E305" s="79"/>
      <c r="F305" s="80"/>
      <c r="G305" s="105" t="s">
        <v>97</v>
      </c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84" t="s">
        <v>104</v>
      </c>
      <c r="AA305" s="84"/>
      <c r="AB305" s="84"/>
      <c r="AC305" s="84"/>
      <c r="AD305" s="84"/>
      <c r="AE305" s="85" t="s">
        <v>66</v>
      </c>
      <c r="AF305" s="86"/>
      <c r="AG305" s="86"/>
      <c r="AH305" s="86"/>
      <c r="AI305" s="86"/>
      <c r="AJ305" s="86"/>
      <c r="AK305" s="86"/>
      <c r="AL305" s="86"/>
      <c r="AM305" s="86"/>
      <c r="AN305" s="87"/>
      <c r="AO305" s="92"/>
      <c r="AP305" s="92"/>
      <c r="AQ305" s="92"/>
      <c r="AR305" s="92"/>
      <c r="AS305" s="92"/>
      <c r="AT305" s="92"/>
      <c r="AU305" s="92"/>
      <c r="AV305" s="92"/>
      <c r="AW305" s="137">
        <f>AS151+AS152+AS153+AS154+AS155+AS156+AS157+AS158</f>
        <v>10975280</v>
      </c>
      <c r="AX305" s="137"/>
      <c r="AY305" s="137"/>
      <c r="AZ305" s="137"/>
      <c r="BA305" s="137"/>
      <c r="BB305" s="137"/>
      <c r="BC305" s="137"/>
      <c r="BD305" s="137"/>
      <c r="BE305" s="92">
        <f>AW305</f>
        <v>10975280</v>
      </c>
      <c r="BF305" s="92"/>
      <c r="BG305" s="92"/>
      <c r="BH305" s="92"/>
      <c r="BI305" s="92"/>
      <c r="BJ305" s="92"/>
      <c r="BK305" s="92"/>
      <c r="BL305" s="92"/>
      <c r="BT305" s="47"/>
      <c r="BU305" s="47"/>
      <c r="BV305" s="47"/>
      <c r="BW305" s="47"/>
      <c r="BX305" s="47"/>
      <c r="BY305" s="47"/>
      <c r="BZ305" s="47"/>
    </row>
    <row r="306" spans="1:78" ht="37.5" customHeight="1" x14ac:dyDescent="0.2">
      <c r="A306" s="78"/>
      <c r="B306" s="79"/>
      <c r="C306" s="79"/>
      <c r="D306" s="79"/>
      <c r="E306" s="79"/>
      <c r="F306" s="80"/>
      <c r="G306" s="105" t="s">
        <v>152</v>
      </c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84" t="s">
        <v>104</v>
      </c>
      <c r="AA306" s="84"/>
      <c r="AB306" s="84"/>
      <c r="AC306" s="84"/>
      <c r="AD306" s="84"/>
      <c r="AE306" s="85" t="s">
        <v>66</v>
      </c>
      <c r="AF306" s="86"/>
      <c r="AG306" s="86"/>
      <c r="AH306" s="86"/>
      <c r="AI306" s="86"/>
      <c r="AJ306" s="86"/>
      <c r="AK306" s="86"/>
      <c r="AL306" s="86"/>
      <c r="AM306" s="86"/>
      <c r="AN306" s="87"/>
      <c r="AO306" s="92"/>
      <c r="AP306" s="92"/>
      <c r="AQ306" s="92"/>
      <c r="AR306" s="92"/>
      <c r="AS306" s="92"/>
      <c r="AT306" s="92"/>
      <c r="AU306" s="92"/>
      <c r="AV306" s="92"/>
      <c r="AW306" s="137">
        <f>AS159</f>
        <v>380000</v>
      </c>
      <c r="AX306" s="137"/>
      <c r="AY306" s="137"/>
      <c r="AZ306" s="137"/>
      <c r="BA306" s="137"/>
      <c r="BB306" s="137"/>
      <c r="BC306" s="137"/>
      <c r="BD306" s="137"/>
      <c r="BE306" s="92">
        <f>AW306</f>
        <v>380000</v>
      </c>
      <c r="BF306" s="92"/>
      <c r="BG306" s="92"/>
      <c r="BH306" s="92"/>
      <c r="BI306" s="92"/>
      <c r="BJ306" s="92"/>
      <c r="BK306" s="92"/>
      <c r="BL306" s="92"/>
      <c r="BT306" s="47"/>
      <c r="BU306" s="47"/>
      <c r="BV306" s="47"/>
      <c r="BW306" s="47"/>
      <c r="BX306" s="47"/>
      <c r="BY306" s="47"/>
      <c r="BZ306" s="47"/>
    </row>
    <row r="307" spans="1:78" ht="18.95" customHeight="1" x14ac:dyDescent="0.2">
      <c r="A307" s="78"/>
      <c r="B307" s="79"/>
      <c r="C307" s="79"/>
      <c r="D307" s="79"/>
      <c r="E307" s="79"/>
      <c r="F307" s="80"/>
      <c r="G307" s="143" t="s">
        <v>101</v>
      </c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39"/>
      <c r="AA307" s="139"/>
      <c r="AB307" s="139"/>
      <c r="AC307" s="139"/>
      <c r="AD307" s="139"/>
      <c r="AE307" s="85"/>
      <c r="AF307" s="86"/>
      <c r="AG307" s="86"/>
      <c r="AH307" s="86"/>
      <c r="AI307" s="86"/>
      <c r="AJ307" s="86"/>
      <c r="AK307" s="86"/>
      <c r="AL307" s="86"/>
      <c r="AM307" s="86"/>
      <c r="AN307" s="87"/>
      <c r="AO307" s="90"/>
      <c r="AP307" s="90"/>
      <c r="AQ307" s="90"/>
      <c r="AR307" s="90"/>
      <c r="AS307" s="90"/>
      <c r="AT307" s="90"/>
      <c r="AU307" s="90"/>
      <c r="AV307" s="90"/>
      <c r="AW307" s="137"/>
      <c r="AX307" s="137"/>
      <c r="AY307" s="137"/>
      <c r="AZ307" s="137"/>
      <c r="BA307" s="137"/>
      <c r="BB307" s="137"/>
      <c r="BC307" s="137"/>
      <c r="BD307" s="137"/>
      <c r="BE307" s="133"/>
      <c r="BF307" s="133"/>
      <c r="BG307" s="133"/>
      <c r="BH307" s="133"/>
      <c r="BI307" s="133"/>
      <c r="BJ307" s="133"/>
      <c r="BK307" s="133"/>
      <c r="BL307" s="133"/>
      <c r="BT307" s="47"/>
      <c r="BU307" s="47"/>
      <c r="BV307" s="47"/>
      <c r="BW307" s="47"/>
      <c r="BX307" s="47"/>
      <c r="BY307" s="47"/>
      <c r="BZ307" s="47"/>
    </row>
    <row r="308" spans="1:78" ht="33.75" customHeight="1" x14ac:dyDescent="0.2">
      <c r="A308" s="78"/>
      <c r="B308" s="79"/>
      <c r="C308" s="79"/>
      <c r="D308" s="79"/>
      <c r="E308" s="79"/>
      <c r="F308" s="80"/>
      <c r="G308" s="148" t="s">
        <v>98</v>
      </c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39" t="s">
        <v>67</v>
      </c>
      <c r="AA308" s="139"/>
      <c r="AB308" s="139"/>
      <c r="AC308" s="139"/>
      <c r="AD308" s="139"/>
      <c r="AE308" s="85" t="s">
        <v>71</v>
      </c>
      <c r="AF308" s="86"/>
      <c r="AG308" s="86"/>
      <c r="AH308" s="86"/>
      <c r="AI308" s="86"/>
      <c r="AJ308" s="86"/>
      <c r="AK308" s="86"/>
      <c r="AL308" s="86"/>
      <c r="AM308" s="86"/>
      <c r="AN308" s="87"/>
      <c r="AO308" s="90"/>
      <c r="AP308" s="90"/>
      <c r="AQ308" s="90"/>
      <c r="AR308" s="90"/>
      <c r="AS308" s="90"/>
      <c r="AT308" s="90"/>
      <c r="AU308" s="90"/>
      <c r="AV308" s="90"/>
      <c r="AW308" s="149">
        <f>4+4</f>
        <v>8</v>
      </c>
      <c r="AX308" s="149"/>
      <c r="AY308" s="149"/>
      <c r="AZ308" s="149"/>
      <c r="BA308" s="149"/>
      <c r="BB308" s="149"/>
      <c r="BC308" s="149"/>
      <c r="BD308" s="149"/>
      <c r="BE308" s="106">
        <f>AW308</f>
        <v>8</v>
      </c>
      <c r="BF308" s="106"/>
      <c r="BG308" s="106"/>
      <c r="BH308" s="106"/>
      <c r="BI308" s="106"/>
      <c r="BJ308" s="106"/>
      <c r="BK308" s="106"/>
      <c r="BL308" s="106"/>
      <c r="BT308" s="47"/>
      <c r="BU308" s="47"/>
      <c r="BV308" s="47"/>
      <c r="BW308" s="47"/>
      <c r="BX308" s="47"/>
      <c r="BY308" s="47"/>
      <c r="BZ308" s="47"/>
    </row>
    <row r="309" spans="1:78" ht="18" customHeight="1" x14ac:dyDescent="0.2">
      <c r="A309" s="78"/>
      <c r="B309" s="79"/>
      <c r="C309" s="79"/>
      <c r="D309" s="79"/>
      <c r="E309" s="79"/>
      <c r="F309" s="80"/>
      <c r="G309" s="112" t="s">
        <v>123</v>
      </c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4"/>
      <c r="Z309" s="139" t="s">
        <v>67</v>
      </c>
      <c r="AA309" s="139"/>
      <c r="AB309" s="139"/>
      <c r="AC309" s="139"/>
      <c r="AD309" s="139"/>
      <c r="AE309" s="85" t="s">
        <v>71</v>
      </c>
      <c r="AF309" s="86"/>
      <c r="AG309" s="86"/>
      <c r="AH309" s="86"/>
      <c r="AI309" s="86"/>
      <c r="AJ309" s="86"/>
      <c r="AK309" s="86"/>
      <c r="AL309" s="86"/>
      <c r="AM309" s="86"/>
      <c r="AN309" s="87"/>
      <c r="AO309" s="90"/>
      <c r="AP309" s="90"/>
      <c r="AQ309" s="90"/>
      <c r="AR309" s="90"/>
      <c r="AS309" s="90"/>
      <c r="AT309" s="90"/>
      <c r="AU309" s="90"/>
      <c r="AV309" s="90"/>
      <c r="AW309" s="149">
        <v>1</v>
      </c>
      <c r="AX309" s="149"/>
      <c r="AY309" s="149"/>
      <c r="AZ309" s="149"/>
      <c r="BA309" s="149"/>
      <c r="BB309" s="149"/>
      <c r="BC309" s="149"/>
      <c r="BD309" s="149"/>
      <c r="BE309" s="106">
        <f>AW309</f>
        <v>1</v>
      </c>
      <c r="BF309" s="106"/>
      <c r="BG309" s="106"/>
      <c r="BH309" s="106"/>
      <c r="BI309" s="106"/>
      <c r="BJ309" s="106"/>
      <c r="BK309" s="106"/>
      <c r="BL309" s="106"/>
      <c r="BT309" s="47"/>
      <c r="BU309" s="47"/>
      <c r="BV309" s="47"/>
      <c r="BW309" s="47"/>
      <c r="BX309" s="47"/>
      <c r="BY309" s="47"/>
      <c r="BZ309" s="47"/>
    </row>
    <row r="310" spans="1:78" ht="18.75" customHeight="1" x14ac:dyDescent="0.2">
      <c r="A310" s="78"/>
      <c r="B310" s="79"/>
      <c r="C310" s="79"/>
      <c r="D310" s="79"/>
      <c r="E310" s="79"/>
      <c r="F310" s="80"/>
      <c r="G310" s="143" t="s">
        <v>64</v>
      </c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39"/>
      <c r="AA310" s="139"/>
      <c r="AB310" s="139"/>
      <c r="AC310" s="139"/>
      <c r="AD310" s="139"/>
      <c r="AE310" s="85"/>
      <c r="AF310" s="86"/>
      <c r="AG310" s="86"/>
      <c r="AH310" s="86"/>
      <c r="AI310" s="86"/>
      <c r="AJ310" s="86"/>
      <c r="AK310" s="86"/>
      <c r="AL310" s="86"/>
      <c r="AM310" s="86"/>
      <c r="AN310" s="87"/>
      <c r="AO310" s="90"/>
      <c r="AP310" s="90"/>
      <c r="AQ310" s="90"/>
      <c r="AR310" s="90"/>
      <c r="AS310" s="90"/>
      <c r="AT310" s="90"/>
      <c r="AU310" s="90"/>
      <c r="AV310" s="90"/>
      <c r="AW310" s="137"/>
      <c r="AX310" s="137"/>
      <c r="AY310" s="137"/>
      <c r="AZ310" s="137"/>
      <c r="BA310" s="137"/>
      <c r="BB310" s="137"/>
      <c r="BC310" s="137"/>
      <c r="BD310" s="137"/>
      <c r="BE310" s="133"/>
      <c r="BF310" s="133"/>
      <c r="BG310" s="133"/>
      <c r="BH310" s="133"/>
      <c r="BI310" s="133"/>
      <c r="BJ310" s="133"/>
      <c r="BK310" s="133"/>
      <c r="BL310" s="133"/>
      <c r="BT310" s="47"/>
      <c r="BU310" s="47"/>
      <c r="BV310" s="47"/>
      <c r="BW310" s="47"/>
      <c r="BX310" s="47"/>
      <c r="BY310" s="47"/>
      <c r="BZ310" s="47"/>
    </row>
    <row r="311" spans="1:78" ht="33.75" customHeight="1" x14ac:dyDescent="0.2">
      <c r="A311" s="78"/>
      <c r="B311" s="79"/>
      <c r="C311" s="79"/>
      <c r="D311" s="79"/>
      <c r="E311" s="79"/>
      <c r="F311" s="80"/>
      <c r="G311" s="148" t="s">
        <v>112</v>
      </c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39" t="s">
        <v>104</v>
      </c>
      <c r="AA311" s="139"/>
      <c r="AB311" s="139"/>
      <c r="AC311" s="139"/>
      <c r="AD311" s="139"/>
      <c r="AE311" s="85" t="s">
        <v>61</v>
      </c>
      <c r="AF311" s="86"/>
      <c r="AG311" s="86"/>
      <c r="AH311" s="86"/>
      <c r="AI311" s="86"/>
      <c r="AJ311" s="86"/>
      <c r="AK311" s="86"/>
      <c r="AL311" s="86"/>
      <c r="AM311" s="86"/>
      <c r="AN311" s="87"/>
      <c r="AO311" s="90"/>
      <c r="AP311" s="90"/>
      <c r="AQ311" s="90"/>
      <c r="AR311" s="90"/>
      <c r="AS311" s="90"/>
      <c r="AT311" s="90"/>
      <c r="AU311" s="90"/>
      <c r="AV311" s="90"/>
      <c r="AW311" s="137">
        <f>AW305/AW308</f>
        <v>1371910</v>
      </c>
      <c r="AX311" s="137"/>
      <c r="AY311" s="137"/>
      <c r="AZ311" s="137"/>
      <c r="BA311" s="137"/>
      <c r="BB311" s="137"/>
      <c r="BC311" s="137"/>
      <c r="BD311" s="137"/>
      <c r="BE311" s="92">
        <f>AW311</f>
        <v>1371910</v>
      </c>
      <c r="BF311" s="92"/>
      <c r="BG311" s="92"/>
      <c r="BH311" s="92"/>
      <c r="BI311" s="92"/>
      <c r="BJ311" s="92"/>
      <c r="BK311" s="92"/>
      <c r="BL311" s="92"/>
      <c r="BT311" s="47"/>
      <c r="BU311" s="47"/>
      <c r="BV311" s="47"/>
      <c r="BW311" s="47"/>
      <c r="BX311" s="47"/>
      <c r="BY311" s="47"/>
      <c r="BZ311" s="47"/>
    </row>
    <row r="312" spans="1:78" ht="20.25" customHeight="1" x14ac:dyDescent="0.2">
      <c r="A312" s="78"/>
      <c r="B312" s="79"/>
      <c r="C312" s="79"/>
      <c r="D312" s="79"/>
      <c r="E312" s="79"/>
      <c r="F312" s="80"/>
      <c r="G312" s="112" t="s">
        <v>153</v>
      </c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4"/>
      <c r="Z312" s="139" t="s">
        <v>104</v>
      </c>
      <c r="AA312" s="139"/>
      <c r="AB312" s="139"/>
      <c r="AC312" s="139"/>
      <c r="AD312" s="139"/>
      <c r="AE312" s="85" t="s">
        <v>61</v>
      </c>
      <c r="AF312" s="86"/>
      <c r="AG312" s="86"/>
      <c r="AH312" s="86"/>
      <c r="AI312" s="86"/>
      <c r="AJ312" s="86"/>
      <c r="AK312" s="86"/>
      <c r="AL312" s="86"/>
      <c r="AM312" s="86"/>
      <c r="AN312" s="87"/>
      <c r="AO312" s="90"/>
      <c r="AP312" s="90"/>
      <c r="AQ312" s="90"/>
      <c r="AR312" s="90"/>
      <c r="AS312" s="90"/>
      <c r="AT312" s="90"/>
      <c r="AU312" s="90"/>
      <c r="AV312" s="90"/>
      <c r="AW312" s="137">
        <f>AW306/AW309</f>
        <v>380000</v>
      </c>
      <c r="AX312" s="137"/>
      <c r="AY312" s="137"/>
      <c r="AZ312" s="137"/>
      <c r="BA312" s="137"/>
      <c r="BB312" s="137"/>
      <c r="BC312" s="137"/>
      <c r="BD312" s="137"/>
      <c r="BE312" s="92">
        <f>AW312</f>
        <v>380000</v>
      </c>
      <c r="BF312" s="92"/>
      <c r="BG312" s="92"/>
      <c r="BH312" s="92"/>
      <c r="BI312" s="92"/>
      <c r="BJ312" s="92"/>
      <c r="BK312" s="92"/>
      <c r="BL312" s="92"/>
      <c r="BT312" s="47"/>
      <c r="BU312" s="47"/>
      <c r="BV312" s="47"/>
      <c r="BW312" s="47"/>
      <c r="BX312" s="47"/>
      <c r="BY312" s="47"/>
      <c r="BZ312" s="47"/>
    </row>
    <row r="313" spans="1:78" ht="19.5" customHeight="1" x14ac:dyDescent="0.2">
      <c r="A313" s="78"/>
      <c r="B313" s="79"/>
      <c r="C313" s="79"/>
      <c r="D313" s="79"/>
      <c r="E313" s="79"/>
      <c r="F313" s="80"/>
      <c r="G313" s="138" t="s">
        <v>50</v>
      </c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9"/>
      <c r="AA313" s="139"/>
      <c r="AB313" s="139"/>
      <c r="AC313" s="139"/>
      <c r="AD313" s="139"/>
      <c r="AE313" s="85"/>
      <c r="AF313" s="86"/>
      <c r="AG313" s="86"/>
      <c r="AH313" s="86"/>
      <c r="AI313" s="86"/>
      <c r="AJ313" s="86"/>
      <c r="AK313" s="86"/>
      <c r="AL313" s="86"/>
      <c r="AM313" s="86"/>
      <c r="AN313" s="87"/>
      <c r="AO313" s="90"/>
      <c r="AP313" s="90"/>
      <c r="AQ313" s="90"/>
      <c r="AR313" s="90"/>
      <c r="AS313" s="90"/>
      <c r="AT313" s="90"/>
      <c r="AU313" s="90"/>
      <c r="AV313" s="90"/>
      <c r="AW313" s="137"/>
      <c r="AX313" s="137"/>
      <c r="AY313" s="137"/>
      <c r="AZ313" s="137"/>
      <c r="BA313" s="137"/>
      <c r="BB313" s="137"/>
      <c r="BC313" s="137"/>
      <c r="BD313" s="137"/>
      <c r="BE313" s="133"/>
      <c r="BF313" s="133"/>
      <c r="BG313" s="133"/>
      <c r="BH313" s="133"/>
      <c r="BI313" s="133"/>
      <c r="BJ313" s="133"/>
      <c r="BK313" s="133"/>
      <c r="BL313" s="133"/>
      <c r="BT313" s="47"/>
      <c r="BU313" s="47"/>
      <c r="BV313" s="47"/>
      <c r="BW313" s="47"/>
      <c r="BX313" s="47"/>
      <c r="BY313" s="47"/>
      <c r="BZ313" s="47"/>
    </row>
    <row r="314" spans="1:78" ht="33.75" customHeight="1" x14ac:dyDescent="0.2">
      <c r="A314" s="78"/>
      <c r="B314" s="79"/>
      <c r="C314" s="79"/>
      <c r="D314" s="79"/>
      <c r="E314" s="79"/>
      <c r="F314" s="80"/>
      <c r="G314" s="105" t="s">
        <v>60</v>
      </c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87" t="s">
        <v>141</v>
      </c>
      <c r="AA314" s="84"/>
      <c r="AB314" s="84"/>
      <c r="AC314" s="84"/>
      <c r="AD314" s="84"/>
      <c r="AE314" s="85" t="s">
        <v>61</v>
      </c>
      <c r="AF314" s="86"/>
      <c r="AG314" s="86"/>
      <c r="AH314" s="86"/>
      <c r="AI314" s="86"/>
      <c r="AJ314" s="86"/>
      <c r="AK314" s="86"/>
      <c r="AL314" s="86"/>
      <c r="AM314" s="86"/>
      <c r="AN314" s="87"/>
      <c r="AO314" s="92"/>
      <c r="AP314" s="92"/>
      <c r="AQ314" s="92"/>
      <c r="AR314" s="92"/>
      <c r="AS314" s="92"/>
      <c r="AT314" s="92"/>
      <c r="AU314" s="92"/>
      <c r="AV314" s="92"/>
      <c r="AW314" s="134">
        <f>AW304/7843204.75</f>
        <v>1.4477857408988335</v>
      </c>
      <c r="AX314" s="135"/>
      <c r="AY314" s="135"/>
      <c r="AZ314" s="135"/>
      <c r="BA314" s="135"/>
      <c r="BB314" s="135"/>
      <c r="BC314" s="135"/>
      <c r="BD314" s="136"/>
      <c r="BE314" s="133">
        <f>AW314</f>
        <v>1.4477857408988335</v>
      </c>
      <c r="BF314" s="133"/>
      <c r="BG314" s="133"/>
      <c r="BH314" s="133"/>
      <c r="BI314" s="133"/>
      <c r="BJ314" s="133"/>
      <c r="BK314" s="133"/>
      <c r="BL314" s="133"/>
      <c r="BT314" s="47"/>
      <c r="BU314" s="47"/>
      <c r="BV314" s="47"/>
      <c r="BW314" s="47"/>
      <c r="BX314" s="47"/>
      <c r="BY314" s="47"/>
      <c r="BZ314" s="47"/>
    </row>
    <row r="315" spans="1:78" ht="13.5" customHeight="1" x14ac:dyDescent="0.2">
      <c r="A315" s="28"/>
      <c r="B315" s="28"/>
      <c r="C315" s="28"/>
      <c r="D315" s="28"/>
      <c r="E315" s="28"/>
      <c r="F315" s="28"/>
      <c r="G315" s="46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31"/>
      <c r="AA315" s="31"/>
      <c r="AB315" s="31"/>
      <c r="AC315" s="31"/>
      <c r="AD315" s="31"/>
      <c r="AE315" s="31"/>
      <c r="AF315" s="28"/>
      <c r="AG315" s="28"/>
      <c r="AH315" s="28"/>
      <c r="AI315" s="28"/>
      <c r="AJ315" s="28"/>
      <c r="AK315" s="28"/>
      <c r="AL315" s="28"/>
      <c r="AM315" s="28"/>
      <c r="AN315" s="28"/>
      <c r="AO315" s="32"/>
      <c r="AP315" s="32"/>
      <c r="AQ315" s="32"/>
      <c r="AR315" s="32"/>
      <c r="AS315" s="32"/>
      <c r="AT315" s="32"/>
      <c r="AU315" s="32"/>
      <c r="AV315" s="32"/>
      <c r="AW315" s="51"/>
      <c r="AX315" s="51"/>
      <c r="AY315" s="51"/>
      <c r="AZ315" s="51"/>
      <c r="BA315" s="51"/>
      <c r="BB315" s="51"/>
      <c r="BC315" s="51"/>
      <c r="BD315" s="51"/>
      <c r="BE315" s="32"/>
      <c r="BF315" s="32"/>
      <c r="BG315" s="32"/>
      <c r="BH315" s="32"/>
      <c r="BI315" s="32"/>
      <c r="BJ315" s="32"/>
      <c r="BK315" s="32"/>
      <c r="BL315" s="32"/>
      <c r="BT315" s="47"/>
      <c r="BU315" s="47"/>
      <c r="BV315" s="47"/>
      <c r="BW315" s="47"/>
      <c r="BX315" s="47"/>
      <c r="BY315" s="47"/>
      <c r="BZ315" s="47"/>
    </row>
    <row r="316" spans="1:78" ht="33.75" customHeight="1" x14ac:dyDescent="0.2">
      <c r="A316" s="78" t="s">
        <v>14</v>
      </c>
      <c r="B316" s="79"/>
      <c r="C316" s="79"/>
      <c r="D316" s="79"/>
      <c r="E316" s="79"/>
      <c r="F316" s="80"/>
      <c r="G316" s="88" t="s">
        <v>27</v>
      </c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 t="s">
        <v>2</v>
      </c>
      <c r="AA316" s="88"/>
      <c r="AB316" s="88"/>
      <c r="AC316" s="88"/>
      <c r="AD316" s="88"/>
      <c r="AE316" s="78" t="s">
        <v>1</v>
      </c>
      <c r="AF316" s="79"/>
      <c r="AG316" s="79"/>
      <c r="AH316" s="79"/>
      <c r="AI316" s="79"/>
      <c r="AJ316" s="79"/>
      <c r="AK316" s="79"/>
      <c r="AL316" s="79"/>
      <c r="AM316" s="79"/>
      <c r="AN316" s="80"/>
      <c r="AO316" s="88" t="s">
        <v>15</v>
      </c>
      <c r="AP316" s="88"/>
      <c r="AQ316" s="88"/>
      <c r="AR316" s="88"/>
      <c r="AS316" s="88"/>
      <c r="AT316" s="88"/>
      <c r="AU316" s="88"/>
      <c r="AV316" s="88"/>
      <c r="AW316" s="88" t="s">
        <v>16</v>
      </c>
      <c r="AX316" s="88"/>
      <c r="AY316" s="88"/>
      <c r="AZ316" s="88"/>
      <c r="BA316" s="88"/>
      <c r="BB316" s="88"/>
      <c r="BC316" s="88"/>
      <c r="BD316" s="88"/>
      <c r="BE316" s="88" t="s">
        <v>13</v>
      </c>
      <c r="BF316" s="88"/>
      <c r="BG316" s="88"/>
      <c r="BH316" s="88"/>
      <c r="BI316" s="88"/>
      <c r="BJ316" s="88"/>
      <c r="BK316" s="88"/>
      <c r="BL316" s="88"/>
      <c r="BT316" s="47"/>
      <c r="BU316" s="47"/>
      <c r="BV316" s="47"/>
      <c r="BW316" s="47"/>
      <c r="BX316" s="47"/>
      <c r="BY316" s="47"/>
      <c r="BZ316" s="47"/>
    </row>
    <row r="317" spans="1:78" ht="16.5" customHeight="1" x14ac:dyDescent="0.2">
      <c r="A317" s="78">
        <v>1</v>
      </c>
      <c r="B317" s="79"/>
      <c r="C317" s="79"/>
      <c r="D317" s="79"/>
      <c r="E317" s="79"/>
      <c r="F317" s="80"/>
      <c r="G317" s="78">
        <v>2</v>
      </c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80"/>
      <c r="Z317" s="88">
        <v>3</v>
      </c>
      <c r="AA317" s="88"/>
      <c r="AB317" s="88"/>
      <c r="AC317" s="88"/>
      <c r="AD317" s="88"/>
      <c r="AE317" s="78">
        <v>4</v>
      </c>
      <c r="AF317" s="79"/>
      <c r="AG317" s="79"/>
      <c r="AH317" s="79"/>
      <c r="AI317" s="79"/>
      <c r="AJ317" s="79"/>
      <c r="AK317" s="79"/>
      <c r="AL317" s="79"/>
      <c r="AM317" s="79"/>
      <c r="AN317" s="80"/>
      <c r="AO317" s="88">
        <v>5</v>
      </c>
      <c r="AP317" s="88"/>
      <c r="AQ317" s="88"/>
      <c r="AR317" s="88"/>
      <c r="AS317" s="88"/>
      <c r="AT317" s="88"/>
      <c r="AU317" s="88"/>
      <c r="AV317" s="88"/>
      <c r="AW317" s="88">
        <v>6</v>
      </c>
      <c r="AX317" s="88"/>
      <c r="AY317" s="88"/>
      <c r="AZ317" s="88"/>
      <c r="BA317" s="88"/>
      <c r="BB317" s="88"/>
      <c r="BC317" s="88"/>
      <c r="BD317" s="88"/>
      <c r="BE317" s="88">
        <v>7</v>
      </c>
      <c r="BF317" s="88"/>
      <c r="BG317" s="88"/>
      <c r="BH317" s="88"/>
      <c r="BI317" s="88"/>
      <c r="BJ317" s="88"/>
      <c r="BK317" s="88"/>
      <c r="BL317" s="88"/>
      <c r="BT317" s="47"/>
      <c r="BU317" s="47"/>
      <c r="BV317" s="47"/>
      <c r="BW317" s="47"/>
      <c r="BX317" s="47"/>
      <c r="BY317" s="47"/>
      <c r="BZ317" s="47"/>
    </row>
    <row r="318" spans="1:78" ht="18.75" customHeight="1" x14ac:dyDescent="0.2">
      <c r="A318" s="78"/>
      <c r="B318" s="79"/>
      <c r="C318" s="79"/>
      <c r="D318" s="79"/>
      <c r="E318" s="79"/>
      <c r="F318" s="80"/>
      <c r="G318" s="66" t="s">
        <v>106</v>
      </c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8"/>
      <c r="BT318" s="47"/>
      <c r="BU318" s="47"/>
      <c r="BV318" s="47"/>
      <c r="BW318" s="47"/>
      <c r="BX318" s="47"/>
      <c r="BY318" s="47"/>
      <c r="BZ318" s="47"/>
    </row>
    <row r="319" spans="1:78" ht="18.75" customHeight="1" x14ac:dyDescent="0.2">
      <c r="A319" s="109"/>
      <c r="B319" s="110"/>
      <c r="C319" s="110"/>
      <c r="D319" s="110"/>
      <c r="E319" s="110"/>
      <c r="F319" s="111"/>
      <c r="G319" s="187" t="s">
        <v>48</v>
      </c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200"/>
      <c r="Z319" s="144"/>
      <c r="AA319" s="144"/>
      <c r="AB319" s="144"/>
      <c r="AC319" s="144"/>
      <c r="AD319" s="144"/>
      <c r="AE319" s="187"/>
      <c r="AF319" s="199"/>
      <c r="AG319" s="199"/>
      <c r="AH319" s="199"/>
      <c r="AI319" s="199"/>
      <c r="AJ319" s="199"/>
      <c r="AK319" s="199"/>
      <c r="AL319" s="199"/>
      <c r="AM319" s="199"/>
      <c r="AN319" s="200"/>
      <c r="AO319" s="107"/>
      <c r="AP319" s="107"/>
      <c r="AQ319" s="107"/>
      <c r="AR319" s="107"/>
      <c r="AS319" s="107"/>
      <c r="AT319" s="107"/>
      <c r="AU319" s="107"/>
      <c r="AV319" s="107"/>
      <c r="AW319" s="107"/>
      <c r="AX319" s="107"/>
      <c r="AY319" s="107"/>
      <c r="AZ319" s="107"/>
      <c r="BA319" s="107"/>
      <c r="BB319" s="107"/>
      <c r="BC319" s="107"/>
      <c r="BD319" s="107"/>
      <c r="BE319" s="107"/>
      <c r="BF319" s="107"/>
      <c r="BG319" s="107"/>
      <c r="BH319" s="107"/>
      <c r="BI319" s="107"/>
      <c r="BJ319" s="107"/>
      <c r="BK319" s="107"/>
      <c r="BL319" s="107"/>
      <c r="BT319" s="47"/>
      <c r="BU319" s="47"/>
      <c r="BV319" s="47"/>
      <c r="BW319" s="47"/>
      <c r="BX319" s="47"/>
      <c r="BY319" s="47"/>
      <c r="BZ319" s="47"/>
    </row>
    <row r="320" spans="1:78" ht="18" customHeight="1" x14ac:dyDescent="0.2">
      <c r="A320" s="78"/>
      <c r="B320" s="79"/>
      <c r="C320" s="79"/>
      <c r="D320" s="79"/>
      <c r="E320" s="79"/>
      <c r="F320" s="80"/>
      <c r="G320" s="182" t="s">
        <v>82</v>
      </c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4"/>
      <c r="Z320" s="84" t="s">
        <v>49</v>
      </c>
      <c r="AA320" s="84"/>
      <c r="AB320" s="84"/>
      <c r="AC320" s="84"/>
      <c r="AD320" s="84"/>
      <c r="AE320" s="85" t="s">
        <v>66</v>
      </c>
      <c r="AF320" s="86"/>
      <c r="AG320" s="86"/>
      <c r="AH320" s="86"/>
      <c r="AI320" s="86"/>
      <c r="AJ320" s="86"/>
      <c r="AK320" s="86"/>
      <c r="AL320" s="86"/>
      <c r="AM320" s="86"/>
      <c r="AN320" s="87"/>
      <c r="AO320" s="92"/>
      <c r="AP320" s="92"/>
      <c r="AQ320" s="92"/>
      <c r="AR320" s="92"/>
      <c r="AS320" s="92"/>
      <c r="AT320" s="92"/>
      <c r="AU320" s="92"/>
      <c r="AV320" s="92"/>
      <c r="AW320" s="92">
        <f>SUM(AW321:BD324)</f>
        <v>4442375</v>
      </c>
      <c r="AX320" s="92"/>
      <c r="AY320" s="92"/>
      <c r="AZ320" s="92"/>
      <c r="BA320" s="92"/>
      <c r="BB320" s="92"/>
      <c r="BC320" s="92"/>
      <c r="BD320" s="92"/>
      <c r="BE320" s="92">
        <f>AO320+AW320</f>
        <v>4442375</v>
      </c>
      <c r="BF320" s="92"/>
      <c r="BG320" s="92"/>
      <c r="BH320" s="92"/>
      <c r="BI320" s="92"/>
      <c r="BJ320" s="92"/>
      <c r="BK320" s="92"/>
      <c r="BL320" s="92"/>
      <c r="BT320" s="47"/>
      <c r="BU320" s="47"/>
      <c r="BV320" s="47"/>
      <c r="BW320" s="47"/>
      <c r="BX320" s="47"/>
      <c r="BY320" s="47"/>
      <c r="BZ320" s="47"/>
    </row>
    <row r="321" spans="1:78" ht="33.75" customHeight="1" x14ac:dyDescent="0.2">
      <c r="A321" s="78"/>
      <c r="B321" s="79"/>
      <c r="C321" s="79"/>
      <c r="D321" s="79"/>
      <c r="E321" s="79"/>
      <c r="F321" s="80"/>
      <c r="G321" s="81" t="s">
        <v>113</v>
      </c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3"/>
      <c r="Z321" s="84" t="s">
        <v>49</v>
      </c>
      <c r="AA321" s="84"/>
      <c r="AB321" s="84"/>
      <c r="AC321" s="84"/>
      <c r="AD321" s="84"/>
      <c r="AE321" s="85" t="s">
        <v>66</v>
      </c>
      <c r="AF321" s="86"/>
      <c r="AG321" s="86"/>
      <c r="AH321" s="86"/>
      <c r="AI321" s="86"/>
      <c r="AJ321" s="86"/>
      <c r="AK321" s="86"/>
      <c r="AL321" s="86"/>
      <c r="AM321" s="86"/>
      <c r="AN321" s="87"/>
      <c r="AO321" s="92"/>
      <c r="AP321" s="92"/>
      <c r="AQ321" s="92"/>
      <c r="AR321" s="92"/>
      <c r="AS321" s="92"/>
      <c r="AT321" s="92"/>
      <c r="AU321" s="92"/>
      <c r="AV321" s="92"/>
      <c r="AW321" s="92">
        <f>AS161</f>
        <v>1230000</v>
      </c>
      <c r="AX321" s="92"/>
      <c r="AY321" s="92"/>
      <c r="AZ321" s="92"/>
      <c r="BA321" s="92"/>
      <c r="BB321" s="92"/>
      <c r="BC321" s="92"/>
      <c r="BD321" s="92"/>
      <c r="BE321" s="92">
        <f>AO321+AW321</f>
        <v>1230000</v>
      </c>
      <c r="BF321" s="92"/>
      <c r="BG321" s="92"/>
      <c r="BH321" s="92"/>
      <c r="BI321" s="92"/>
      <c r="BJ321" s="92"/>
      <c r="BK321" s="92"/>
      <c r="BL321" s="92"/>
      <c r="BT321" s="47"/>
      <c r="BU321" s="47"/>
      <c r="BV321" s="47"/>
      <c r="BW321" s="47"/>
      <c r="BX321" s="47"/>
      <c r="BY321" s="47"/>
      <c r="BZ321" s="47"/>
    </row>
    <row r="322" spans="1:78" ht="18" customHeight="1" x14ac:dyDescent="0.2">
      <c r="A322" s="78"/>
      <c r="B322" s="79"/>
      <c r="C322" s="79"/>
      <c r="D322" s="79"/>
      <c r="E322" s="79"/>
      <c r="F322" s="80"/>
      <c r="G322" s="81" t="s">
        <v>97</v>
      </c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3"/>
      <c r="Z322" s="84" t="s">
        <v>49</v>
      </c>
      <c r="AA322" s="84"/>
      <c r="AB322" s="84"/>
      <c r="AC322" s="84"/>
      <c r="AD322" s="84"/>
      <c r="AE322" s="85" t="s">
        <v>66</v>
      </c>
      <c r="AF322" s="86"/>
      <c r="AG322" s="86"/>
      <c r="AH322" s="86"/>
      <c r="AI322" s="86"/>
      <c r="AJ322" s="86"/>
      <c r="AK322" s="86"/>
      <c r="AL322" s="86"/>
      <c r="AM322" s="86"/>
      <c r="AN322" s="87"/>
      <c r="AO322" s="92"/>
      <c r="AP322" s="92"/>
      <c r="AQ322" s="92"/>
      <c r="AR322" s="92"/>
      <c r="AS322" s="92"/>
      <c r="AT322" s="92"/>
      <c r="AU322" s="92"/>
      <c r="AV322" s="92"/>
      <c r="AW322" s="70">
        <f>AS162+AS166</f>
        <v>2849375</v>
      </c>
      <c r="AX322" s="71"/>
      <c r="AY322" s="71"/>
      <c r="AZ322" s="71"/>
      <c r="BA322" s="71"/>
      <c r="BB322" s="71"/>
      <c r="BC322" s="71"/>
      <c r="BD322" s="72"/>
      <c r="BE322" s="92">
        <f>AO322+AW322</f>
        <v>2849375</v>
      </c>
      <c r="BF322" s="92"/>
      <c r="BG322" s="92"/>
      <c r="BH322" s="92"/>
      <c r="BI322" s="92"/>
      <c r="BJ322" s="92"/>
      <c r="BK322" s="92"/>
      <c r="BL322" s="92"/>
      <c r="BT322" s="47"/>
      <c r="BU322" s="47"/>
      <c r="BV322" s="47"/>
      <c r="BW322" s="47"/>
      <c r="BX322" s="47"/>
      <c r="BY322" s="47"/>
      <c r="BZ322" s="47"/>
    </row>
    <row r="323" spans="1:78" ht="33.75" customHeight="1" x14ac:dyDescent="0.2">
      <c r="A323" s="78"/>
      <c r="B323" s="79"/>
      <c r="C323" s="79"/>
      <c r="D323" s="79"/>
      <c r="E323" s="79"/>
      <c r="F323" s="80"/>
      <c r="G323" s="81" t="s">
        <v>99</v>
      </c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3"/>
      <c r="Z323" s="84" t="s">
        <v>49</v>
      </c>
      <c r="AA323" s="84"/>
      <c r="AB323" s="84"/>
      <c r="AC323" s="84"/>
      <c r="AD323" s="84"/>
      <c r="AE323" s="85" t="s">
        <v>66</v>
      </c>
      <c r="AF323" s="86"/>
      <c r="AG323" s="86"/>
      <c r="AH323" s="86"/>
      <c r="AI323" s="86"/>
      <c r="AJ323" s="86"/>
      <c r="AK323" s="86"/>
      <c r="AL323" s="86"/>
      <c r="AM323" s="86"/>
      <c r="AN323" s="87"/>
      <c r="AO323" s="92"/>
      <c r="AP323" s="92"/>
      <c r="AQ323" s="92"/>
      <c r="AR323" s="92"/>
      <c r="AS323" s="92"/>
      <c r="AT323" s="92"/>
      <c r="AU323" s="92"/>
      <c r="AV323" s="92"/>
      <c r="AW323" s="70">
        <f>AS163</f>
        <v>49000</v>
      </c>
      <c r="AX323" s="71"/>
      <c r="AY323" s="71"/>
      <c r="AZ323" s="71"/>
      <c r="BA323" s="71"/>
      <c r="BB323" s="71"/>
      <c r="BC323" s="71"/>
      <c r="BD323" s="72"/>
      <c r="BE323" s="92">
        <f>AO323+AW323</f>
        <v>49000</v>
      </c>
      <c r="BF323" s="92"/>
      <c r="BG323" s="92"/>
      <c r="BH323" s="92"/>
      <c r="BI323" s="92"/>
      <c r="BJ323" s="92"/>
      <c r="BK323" s="92"/>
      <c r="BL323" s="92"/>
      <c r="BT323" s="47"/>
      <c r="BU323" s="47"/>
      <c r="BV323" s="47"/>
      <c r="BW323" s="47"/>
      <c r="BX323" s="47"/>
      <c r="BY323" s="47"/>
      <c r="BZ323" s="47"/>
    </row>
    <row r="324" spans="1:78" ht="20.25" customHeight="1" x14ac:dyDescent="0.2">
      <c r="A324" s="78"/>
      <c r="B324" s="79"/>
      <c r="C324" s="79"/>
      <c r="D324" s="79"/>
      <c r="E324" s="79"/>
      <c r="F324" s="80"/>
      <c r="G324" s="81" t="s">
        <v>114</v>
      </c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3"/>
      <c r="Z324" s="84" t="s">
        <v>49</v>
      </c>
      <c r="AA324" s="84"/>
      <c r="AB324" s="84"/>
      <c r="AC324" s="84"/>
      <c r="AD324" s="84"/>
      <c r="AE324" s="85" t="s">
        <v>66</v>
      </c>
      <c r="AF324" s="86"/>
      <c r="AG324" s="86"/>
      <c r="AH324" s="86"/>
      <c r="AI324" s="86"/>
      <c r="AJ324" s="86"/>
      <c r="AK324" s="86"/>
      <c r="AL324" s="86"/>
      <c r="AM324" s="86"/>
      <c r="AN324" s="87"/>
      <c r="AO324" s="92"/>
      <c r="AP324" s="92"/>
      <c r="AQ324" s="92"/>
      <c r="AR324" s="92"/>
      <c r="AS324" s="92"/>
      <c r="AT324" s="92"/>
      <c r="AU324" s="92"/>
      <c r="AV324" s="92"/>
      <c r="AW324" s="70">
        <f>AS164</f>
        <v>314000</v>
      </c>
      <c r="AX324" s="71"/>
      <c r="AY324" s="71"/>
      <c r="AZ324" s="71"/>
      <c r="BA324" s="71"/>
      <c r="BB324" s="71"/>
      <c r="BC324" s="71"/>
      <c r="BD324" s="72"/>
      <c r="BE324" s="92">
        <f>AO324+AW324</f>
        <v>314000</v>
      </c>
      <c r="BF324" s="92"/>
      <c r="BG324" s="92"/>
      <c r="BH324" s="92"/>
      <c r="BI324" s="92"/>
      <c r="BJ324" s="92"/>
      <c r="BK324" s="92"/>
      <c r="BL324" s="92"/>
      <c r="BT324" s="47"/>
      <c r="BU324" s="47"/>
      <c r="BV324" s="47"/>
      <c r="BW324" s="47"/>
      <c r="BX324" s="47"/>
      <c r="BY324" s="47"/>
      <c r="BZ324" s="47"/>
    </row>
    <row r="325" spans="1:78" ht="19.5" customHeight="1" x14ac:dyDescent="0.2">
      <c r="A325" s="109"/>
      <c r="B325" s="110"/>
      <c r="C325" s="110"/>
      <c r="D325" s="110"/>
      <c r="E325" s="110"/>
      <c r="F325" s="111"/>
      <c r="G325" s="217" t="s">
        <v>65</v>
      </c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9"/>
      <c r="Z325" s="84"/>
      <c r="AA325" s="84"/>
      <c r="AB325" s="84"/>
      <c r="AC325" s="84"/>
      <c r="AD325" s="84"/>
      <c r="AE325" s="85"/>
      <c r="AF325" s="86"/>
      <c r="AG325" s="86"/>
      <c r="AH325" s="86"/>
      <c r="AI325" s="86"/>
      <c r="AJ325" s="86"/>
      <c r="AK325" s="86"/>
      <c r="AL325" s="86"/>
      <c r="AM325" s="86"/>
      <c r="AN325" s="87"/>
      <c r="AO325" s="107"/>
      <c r="AP325" s="107"/>
      <c r="AQ325" s="107"/>
      <c r="AR325" s="107"/>
      <c r="AS325" s="107"/>
      <c r="AT325" s="107"/>
      <c r="AU325" s="107"/>
      <c r="AV325" s="107"/>
      <c r="AW325" s="107"/>
      <c r="AX325" s="107"/>
      <c r="AY325" s="107"/>
      <c r="AZ325" s="107"/>
      <c r="BA325" s="107"/>
      <c r="BB325" s="107"/>
      <c r="BC325" s="107"/>
      <c r="BD325" s="107"/>
      <c r="BE325" s="107"/>
      <c r="BF325" s="107"/>
      <c r="BG325" s="107"/>
      <c r="BH325" s="107"/>
      <c r="BI325" s="107"/>
      <c r="BJ325" s="107"/>
      <c r="BK325" s="107"/>
      <c r="BL325" s="107"/>
      <c r="BT325" s="47"/>
      <c r="BU325" s="47"/>
      <c r="BV325" s="47"/>
      <c r="BW325" s="47"/>
      <c r="BX325" s="47"/>
      <c r="BY325" s="47"/>
      <c r="BZ325" s="47"/>
    </row>
    <row r="326" spans="1:78" ht="22.5" customHeight="1" x14ac:dyDescent="0.2">
      <c r="A326" s="109"/>
      <c r="B326" s="110"/>
      <c r="C326" s="110"/>
      <c r="D326" s="110"/>
      <c r="E326" s="110"/>
      <c r="F326" s="111"/>
      <c r="G326" s="112" t="s">
        <v>83</v>
      </c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4"/>
      <c r="Z326" s="84" t="s">
        <v>67</v>
      </c>
      <c r="AA326" s="84"/>
      <c r="AB326" s="84"/>
      <c r="AC326" s="84"/>
      <c r="AD326" s="84"/>
      <c r="AE326" s="85" t="s">
        <v>71</v>
      </c>
      <c r="AF326" s="86"/>
      <c r="AG326" s="86"/>
      <c r="AH326" s="86"/>
      <c r="AI326" s="86"/>
      <c r="AJ326" s="86"/>
      <c r="AK326" s="86"/>
      <c r="AL326" s="86"/>
      <c r="AM326" s="86"/>
      <c r="AN326" s="87"/>
      <c r="AO326" s="107"/>
      <c r="AP326" s="107"/>
      <c r="AQ326" s="107"/>
      <c r="AR326" s="107"/>
      <c r="AS326" s="107"/>
      <c r="AT326" s="107"/>
      <c r="AU326" s="107"/>
      <c r="AV326" s="107"/>
      <c r="AW326" s="106">
        <v>1</v>
      </c>
      <c r="AX326" s="106"/>
      <c r="AY326" s="106"/>
      <c r="AZ326" s="106"/>
      <c r="BA326" s="106"/>
      <c r="BB326" s="106"/>
      <c r="BC326" s="106"/>
      <c r="BD326" s="106"/>
      <c r="BE326" s="106">
        <f>AW326</f>
        <v>1</v>
      </c>
      <c r="BF326" s="106"/>
      <c r="BG326" s="106"/>
      <c r="BH326" s="106"/>
      <c r="BI326" s="106"/>
      <c r="BJ326" s="106"/>
      <c r="BK326" s="106"/>
      <c r="BL326" s="106"/>
      <c r="BT326" s="47"/>
      <c r="BU326" s="47"/>
      <c r="BV326" s="47"/>
      <c r="BW326" s="47"/>
      <c r="BX326" s="47"/>
      <c r="BY326" s="47"/>
      <c r="BZ326" s="47"/>
    </row>
    <row r="327" spans="1:78" ht="33.75" customHeight="1" x14ac:dyDescent="0.2">
      <c r="A327" s="109"/>
      <c r="B327" s="110"/>
      <c r="C327" s="110"/>
      <c r="D327" s="110"/>
      <c r="E327" s="110"/>
      <c r="F327" s="111"/>
      <c r="G327" s="112" t="s">
        <v>98</v>
      </c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4"/>
      <c r="Z327" s="84" t="s">
        <v>67</v>
      </c>
      <c r="AA327" s="84"/>
      <c r="AB327" s="84"/>
      <c r="AC327" s="84"/>
      <c r="AD327" s="84"/>
      <c r="AE327" s="85" t="s">
        <v>71</v>
      </c>
      <c r="AF327" s="86"/>
      <c r="AG327" s="86"/>
      <c r="AH327" s="86"/>
      <c r="AI327" s="86"/>
      <c r="AJ327" s="86"/>
      <c r="AK327" s="86"/>
      <c r="AL327" s="86"/>
      <c r="AM327" s="86"/>
      <c r="AN327" s="87"/>
      <c r="AO327" s="107"/>
      <c r="AP327" s="107"/>
      <c r="AQ327" s="107"/>
      <c r="AR327" s="107"/>
      <c r="AS327" s="107"/>
      <c r="AT327" s="107"/>
      <c r="AU327" s="107"/>
      <c r="AV327" s="107"/>
      <c r="AW327" s="106">
        <f>1+1</f>
        <v>2</v>
      </c>
      <c r="AX327" s="106"/>
      <c r="AY327" s="106"/>
      <c r="AZ327" s="106"/>
      <c r="BA327" s="106"/>
      <c r="BB327" s="106"/>
      <c r="BC327" s="106"/>
      <c r="BD327" s="106"/>
      <c r="BE327" s="106">
        <f>AW327</f>
        <v>2</v>
      </c>
      <c r="BF327" s="106"/>
      <c r="BG327" s="106"/>
      <c r="BH327" s="106"/>
      <c r="BI327" s="106"/>
      <c r="BJ327" s="106"/>
      <c r="BK327" s="106"/>
      <c r="BL327" s="106"/>
      <c r="BT327" s="47"/>
      <c r="BU327" s="47"/>
      <c r="BV327" s="47"/>
      <c r="BW327" s="47"/>
      <c r="BX327" s="47"/>
      <c r="BY327" s="47"/>
      <c r="BZ327" s="47"/>
    </row>
    <row r="328" spans="1:78" ht="33.75" customHeight="1" x14ac:dyDescent="0.2">
      <c r="A328" s="109"/>
      <c r="B328" s="110"/>
      <c r="C328" s="110"/>
      <c r="D328" s="110"/>
      <c r="E328" s="110"/>
      <c r="F328" s="111"/>
      <c r="G328" s="112" t="s">
        <v>100</v>
      </c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4"/>
      <c r="Z328" s="84" t="s">
        <v>67</v>
      </c>
      <c r="AA328" s="84"/>
      <c r="AB328" s="84"/>
      <c r="AC328" s="84"/>
      <c r="AD328" s="84"/>
      <c r="AE328" s="85" t="s">
        <v>71</v>
      </c>
      <c r="AF328" s="86"/>
      <c r="AG328" s="86"/>
      <c r="AH328" s="86"/>
      <c r="AI328" s="86"/>
      <c r="AJ328" s="86"/>
      <c r="AK328" s="86"/>
      <c r="AL328" s="86"/>
      <c r="AM328" s="86"/>
      <c r="AN328" s="87"/>
      <c r="AO328" s="107"/>
      <c r="AP328" s="107"/>
      <c r="AQ328" s="107"/>
      <c r="AR328" s="107"/>
      <c r="AS328" s="107"/>
      <c r="AT328" s="107"/>
      <c r="AU328" s="107"/>
      <c r="AV328" s="107"/>
      <c r="AW328" s="106">
        <f>1</f>
        <v>1</v>
      </c>
      <c r="AX328" s="106"/>
      <c r="AY328" s="106"/>
      <c r="AZ328" s="106"/>
      <c r="BA328" s="106"/>
      <c r="BB328" s="106"/>
      <c r="BC328" s="106"/>
      <c r="BD328" s="106"/>
      <c r="BE328" s="106">
        <f>AW328</f>
        <v>1</v>
      </c>
      <c r="BF328" s="106"/>
      <c r="BG328" s="106"/>
      <c r="BH328" s="106"/>
      <c r="BI328" s="106"/>
      <c r="BJ328" s="106"/>
      <c r="BK328" s="106"/>
      <c r="BL328" s="106"/>
      <c r="BT328" s="47"/>
      <c r="BU328" s="47"/>
      <c r="BV328" s="47"/>
      <c r="BW328" s="47"/>
      <c r="BX328" s="47"/>
      <c r="BY328" s="47"/>
      <c r="BZ328" s="47"/>
    </row>
    <row r="329" spans="1:78" ht="33.75" customHeight="1" x14ac:dyDescent="0.2">
      <c r="A329" s="109"/>
      <c r="B329" s="110"/>
      <c r="C329" s="110"/>
      <c r="D329" s="110"/>
      <c r="E329" s="110"/>
      <c r="F329" s="111"/>
      <c r="G329" s="112" t="s">
        <v>131</v>
      </c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4"/>
      <c r="Z329" s="84" t="s">
        <v>67</v>
      </c>
      <c r="AA329" s="84"/>
      <c r="AB329" s="84"/>
      <c r="AC329" s="84"/>
      <c r="AD329" s="84"/>
      <c r="AE329" s="85" t="s">
        <v>71</v>
      </c>
      <c r="AF329" s="86"/>
      <c r="AG329" s="86"/>
      <c r="AH329" s="86"/>
      <c r="AI329" s="86"/>
      <c r="AJ329" s="86"/>
      <c r="AK329" s="86"/>
      <c r="AL329" s="86"/>
      <c r="AM329" s="86"/>
      <c r="AN329" s="87"/>
      <c r="AO329" s="107"/>
      <c r="AP329" s="107"/>
      <c r="AQ329" s="107"/>
      <c r="AR329" s="107"/>
      <c r="AS329" s="107"/>
      <c r="AT329" s="107"/>
      <c r="AU329" s="107"/>
      <c r="AV329" s="107"/>
      <c r="AW329" s="106">
        <v>1</v>
      </c>
      <c r="AX329" s="106"/>
      <c r="AY329" s="106"/>
      <c r="AZ329" s="106"/>
      <c r="BA329" s="106"/>
      <c r="BB329" s="106"/>
      <c r="BC329" s="106"/>
      <c r="BD329" s="106"/>
      <c r="BE329" s="106">
        <f>AW329</f>
        <v>1</v>
      </c>
      <c r="BF329" s="106"/>
      <c r="BG329" s="106"/>
      <c r="BH329" s="106"/>
      <c r="BI329" s="106"/>
      <c r="BJ329" s="106"/>
      <c r="BK329" s="106"/>
      <c r="BL329" s="106"/>
      <c r="BT329" s="47"/>
      <c r="BU329" s="47"/>
      <c r="BV329" s="47"/>
      <c r="BW329" s="47"/>
      <c r="BX329" s="47"/>
      <c r="BY329" s="47"/>
      <c r="BZ329" s="47"/>
    </row>
    <row r="330" spans="1:78" ht="20.25" customHeight="1" x14ac:dyDescent="0.2">
      <c r="A330" s="109"/>
      <c r="B330" s="110"/>
      <c r="C330" s="110"/>
      <c r="D330" s="110"/>
      <c r="E330" s="110"/>
      <c r="F330" s="111"/>
      <c r="G330" s="217" t="s">
        <v>72</v>
      </c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9"/>
      <c r="Z330" s="85"/>
      <c r="AA330" s="86"/>
      <c r="AB330" s="86"/>
      <c r="AC330" s="86"/>
      <c r="AD330" s="87"/>
      <c r="AE330" s="85"/>
      <c r="AF330" s="86"/>
      <c r="AG330" s="86"/>
      <c r="AH330" s="86"/>
      <c r="AI330" s="86"/>
      <c r="AJ330" s="86"/>
      <c r="AK330" s="86"/>
      <c r="AL330" s="86"/>
      <c r="AM330" s="86"/>
      <c r="AN330" s="87"/>
      <c r="AO330" s="107"/>
      <c r="AP330" s="107"/>
      <c r="AQ330" s="107"/>
      <c r="AR330" s="107"/>
      <c r="AS330" s="107"/>
      <c r="AT330" s="107"/>
      <c r="AU330" s="107"/>
      <c r="AV330" s="107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T330" s="47"/>
      <c r="BU330" s="47"/>
      <c r="BV330" s="47"/>
      <c r="BW330" s="47"/>
      <c r="BX330" s="47"/>
      <c r="BY330" s="47"/>
      <c r="BZ330" s="47"/>
    </row>
    <row r="331" spans="1:78" ht="18.75" customHeight="1" x14ac:dyDescent="0.2">
      <c r="A331" s="109"/>
      <c r="B331" s="110"/>
      <c r="C331" s="110"/>
      <c r="D331" s="110"/>
      <c r="E331" s="110"/>
      <c r="F331" s="111"/>
      <c r="G331" s="112" t="s">
        <v>120</v>
      </c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4"/>
      <c r="Z331" s="84" t="s">
        <v>49</v>
      </c>
      <c r="AA331" s="84"/>
      <c r="AB331" s="84"/>
      <c r="AC331" s="84"/>
      <c r="AD331" s="84"/>
      <c r="AE331" s="85" t="s">
        <v>61</v>
      </c>
      <c r="AF331" s="86"/>
      <c r="AG331" s="86"/>
      <c r="AH331" s="86"/>
      <c r="AI331" s="86"/>
      <c r="AJ331" s="86"/>
      <c r="AK331" s="86"/>
      <c r="AL331" s="86"/>
      <c r="AM331" s="86"/>
      <c r="AN331" s="87"/>
      <c r="AO331" s="107"/>
      <c r="AP331" s="107"/>
      <c r="AQ331" s="107"/>
      <c r="AR331" s="107"/>
      <c r="AS331" s="107"/>
      <c r="AT331" s="107"/>
      <c r="AU331" s="107"/>
      <c r="AV331" s="107"/>
      <c r="AW331" s="92">
        <f>AW321/AW326</f>
        <v>1230000</v>
      </c>
      <c r="AX331" s="92"/>
      <c r="AY331" s="92"/>
      <c r="AZ331" s="92"/>
      <c r="BA331" s="92"/>
      <c r="BB331" s="92"/>
      <c r="BC331" s="92"/>
      <c r="BD331" s="92"/>
      <c r="BE331" s="92">
        <f>AW331</f>
        <v>1230000</v>
      </c>
      <c r="BF331" s="92"/>
      <c r="BG331" s="92"/>
      <c r="BH331" s="92"/>
      <c r="BI331" s="92"/>
      <c r="BJ331" s="92"/>
      <c r="BK331" s="92"/>
      <c r="BL331" s="92"/>
      <c r="BT331" s="47"/>
      <c r="BU331" s="47"/>
      <c r="BV331" s="47"/>
      <c r="BW331" s="47"/>
      <c r="BX331" s="47"/>
      <c r="BY331" s="47"/>
      <c r="BZ331" s="47"/>
    </row>
    <row r="332" spans="1:78" ht="20.100000000000001" customHeight="1" x14ac:dyDescent="0.2">
      <c r="A332" s="109"/>
      <c r="B332" s="110"/>
      <c r="C332" s="110"/>
      <c r="D332" s="110"/>
      <c r="E332" s="110"/>
      <c r="F332" s="111"/>
      <c r="G332" s="148" t="s">
        <v>102</v>
      </c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84" t="s">
        <v>49</v>
      </c>
      <c r="AA332" s="84"/>
      <c r="AB332" s="84"/>
      <c r="AC332" s="84"/>
      <c r="AD332" s="84"/>
      <c r="AE332" s="85" t="s">
        <v>61</v>
      </c>
      <c r="AF332" s="86"/>
      <c r="AG332" s="86"/>
      <c r="AH332" s="86"/>
      <c r="AI332" s="86"/>
      <c r="AJ332" s="86"/>
      <c r="AK332" s="86"/>
      <c r="AL332" s="86"/>
      <c r="AM332" s="86"/>
      <c r="AN332" s="87"/>
      <c r="AO332" s="107"/>
      <c r="AP332" s="107"/>
      <c r="AQ332" s="107"/>
      <c r="AR332" s="107"/>
      <c r="AS332" s="107"/>
      <c r="AT332" s="107"/>
      <c r="AU332" s="107"/>
      <c r="AV332" s="107"/>
      <c r="AW332" s="92">
        <f>AW322/AW327</f>
        <v>1424687.5</v>
      </c>
      <c r="AX332" s="92"/>
      <c r="AY332" s="92"/>
      <c r="AZ332" s="92"/>
      <c r="BA332" s="92"/>
      <c r="BB332" s="92"/>
      <c r="BC332" s="92"/>
      <c r="BD332" s="92"/>
      <c r="BE332" s="92">
        <f>AW332</f>
        <v>1424687.5</v>
      </c>
      <c r="BF332" s="92"/>
      <c r="BG332" s="92"/>
      <c r="BH332" s="92"/>
      <c r="BI332" s="92"/>
      <c r="BJ332" s="92"/>
      <c r="BK332" s="92"/>
      <c r="BL332" s="92"/>
      <c r="BT332" s="47"/>
      <c r="BU332" s="47"/>
      <c r="BV332" s="47"/>
      <c r="BW332" s="47"/>
      <c r="BX332" s="47"/>
      <c r="BY332" s="47"/>
      <c r="BZ332" s="47"/>
    </row>
    <row r="333" spans="1:78" ht="32.25" customHeight="1" x14ac:dyDescent="0.2">
      <c r="A333" s="109"/>
      <c r="B333" s="110"/>
      <c r="C333" s="110"/>
      <c r="D333" s="110"/>
      <c r="E333" s="110"/>
      <c r="F333" s="111"/>
      <c r="G333" s="112" t="s">
        <v>135</v>
      </c>
      <c r="H333" s="113" t="s">
        <v>78</v>
      </c>
      <c r="I333" s="113" t="s">
        <v>78</v>
      </c>
      <c r="J333" s="113" t="s">
        <v>78</v>
      </c>
      <c r="K333" s="113" t="s">
        <v>78</v>
      </c>
      <c r="L333" s="113" t="s">
        <v>78</v>
      </c>
      <c r="M333" s="113" t="s">
        <v>78</v>
      </c>
      <c r="N333" s="113" t="s">
        <v>78</v>
      </c>
      <c r="O333" s="113" t="s">
        <v>78</v>
      </c>
      <c r="P333" s="113" t="s">
        <v>78</v>
      </c>
      <c r="Q333" s="113" t="s">
        <v>78</v>
      </c>
      <c r="R333" s="113" t="s">
        <v>78</v>
      </c>
      <c r="S333" s="113" t="s">
        <v>78</v>
      </c>
      <c r="T333" s="113" t="s">
        <v>78</v>
      </c>
      <c r="U333" s="113" t="s">
        <v>78</v>
      </c>
      <c r="V333" s="113" t="s">
        <v>78</v>
      </c>
      <c r="W333" s="113" t="s">
        <v>78</v>
      </c>
      <c r="X333" s="113" t="s">
        <v>78</v>
      </c>
      <c r="Y333" s="114" t="s">
        <v>78</v>
      </c>
      <c r="Z333" s="84" t="s">
        <v>49</v>
      </c>
      <c r="AA333" s="84"/>
      <c r="AB333" s="84"/>
      <c r="AC333" s="84"/>
      <c r="AD333" s="84"/>
      <c r="AE333" s="85" t="s">
        <v>61</v>
      </c>
      <c r="AF333" s="86"/>
      <c r="AG333" s="86"/>
      <c r="AH333" s="86"/>
      <c r="AI333" s="86"/>
      <c r="AJ333" s="86"/>
      <c r="AK333" s="86"/>
      <c r="AL333" s="86"/>
      <c r="AM333" s="86"/>
      <c r="AN333" s="87"/>
      <c r="AO333" s="107"/>
      <c r="AP333" s="107"/>
      <c r="AQ333" s="107"/>
      <c r="AR333" s="107"/>
      <c r="AS333" s="107"/>
      <c r="AT333" s="107"/>
      <c r="AU333" s="107"/>
      <c r="AV333" s="107"/>
      <c r="AW333" s="92">
        <f>AW323/AW328</f>
        <v>49000</v>
      </c>
      <c r="AX333" s="92"/>
      <c r="AY333" s="92"/>
      <c r="AZ333" s="92"/>
      <c r="BA333" s="92"/>
      <c r="BB333" s="92"/>
      <c r="BC333" s="92"/>
      <c r="BD333" s="92"/>
      <c r="BE333" s="92">
        <f>AW333</f>
        <v>49000</v>
      </c>
      <c r="BF333" s="92"/>
      <c r="BG333" s="92"/>
      <c r="BH333" s="92"/>
      <c r="BI333" s="92"/>
      <c r="BJ333" s="92"/>
      <c r="BK333" s="92"/>
      <c r="BL333" s="92"/>
      <c r="BT333" s="47"/>
      <c r="BU333" s="47"/>
      <c r="BV333" s="47"/>
      <c r="BW333" s="47"/>
      <c r="BX333" s="47"/>
      <c r="BY333" s="47"/>
      <c r="BZ333" s="47"/>
    </row>
    <row r="334" spans="1:78" ht="20.100000000000001" customHeight="1" x14ac:dyDescent="0.2">
      <c r="A334" s="109"/>
      <c r="B334" s="110"/>
      <c r="C334" s="110"/>
      <c r="D334" s="110"/>
      <c r="E334" s="110"/>
      <c r="F334" s="111"/>
      <c r="G334" s="112" t="s">
        <v>116</v>
      </c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4"/>
      <c r="Z334" s="84" t="s">
        <v>49</v>
      </c>
      <c r="AA334" s="84"/>
      <c r="AB334" s="84"/>
      <c r="AC334" s="84"/>
      <c r="AD334" s="84"/>
      <c r="AE334" s="85" t="s">
        <v>61</v>
      </c>
      <c r="AF334" s="86"/>
      <c r="AG334" s="86"/>
      <c r="AH334" s="86"/>
      <c r="AI334" s="86"/>
      <c r="AJ334" s="86"/>
      <c r="AK334" s="86"/>
      <c r="AL334" s="86"/>
      <c r="AM334" s="86"/>
      <c r="AN334" s="87"/>
      <c r="AO334" s="107"/>
      <c r="AP334" s="107"/>
      <c r="AQ334" s="107"/>
      <c r="AR334" s="107"/>
      <c r="AS334" s="107"/>
      <c r="AT334" s="107"/>
      <c r="AU334" s="107"/>
      <c r="AV334" s="107"/>
      <c r="AW334" s="92">
        <f>AW324/AW329</f>
        <v>314000</v>
      </c>
      <c r="AX334" s="92"/>
      <c r="AY334" s="92"/>
      <c r="AZ334" s="92"/>
      <c r="BA334" s="92"/>
      <c r="BB334" s="92"/>
      <c r="BC334" s="92"/>
      <c r="BD334" s="92"/>
      <c r="BE334" s="92">
        <f>AW334</f>
        <v>314000</v>
      </c>
      <c r="BF334" s="92"/>
      <c r="BG334" s="92"/>
      <c r="BH334" s="92"/>
      <c r="BI334" s="92"/>
      <c r="BJ334" s="92"/>
      <c r="BK334" s="92"/>
      <c r="BL334" s="92"/>
      <c r="BT334" s="47"/>
      <c r="BU334" s="47"/>
      <c r="BV334" s="47"/>
      <c r="BW334" s="47"/>
      <c r="BX334" s="47"/>
      <c r="BY334" s="47"/>
      <c r="BZ334" s="47"/>
    </row>
    <row r="335" spans="1:78" ht="18.75" customHeight="1" x14ac:dyDescent="0.2">
      <c r="A335" s="109"/>
      <c r="B335" s="110"/>
      <c r="C335" s="110"/>
      <c r="D335" s="110"/>
      <c r="E335" s="110"/>
      <c r="F335" s="111"/>
      <c r="G335" s="229" t="s">
        <v>50</v>
      </c>
      <c r="H335" s="230"/>
      <c r="I335" s="230"/>
      <c r="J335" s="230"/>
      <c r="K335" s="230"/>
      <c r="L335" s="230"/>
      <c r="M335" s="230"/>
      <c r="N335" s="230"/>
      <c r="O335" s="230"/>
      <c r="P335" s="230"/>
      <c r="Q335" s="230"/>
      <c r="R335" s="230"/>
      <c r="S335" s="230"/>
      <c r="T335" s="230"/>
      <c r="U335" s="230"/>
      <c r="V335" s="230"/>
      <c r="W335" s="230"/>
      <c r="X335" s="230"/>
      <c r="Y335" s="231"/>
      <c r="Z335" s="85"/>
      <c r="AA335" s="86"/>
      <c r="AB335" s="86"/>
      <c r="AC335" s="86"/>
      <c r="AD335" s="87"/>
      <c r="AE335" s="85"/>
      <c r="AF335" s="86"/>
      <c r="AG335" s="86"/>
      <c r="AH335" s="86"/>
      <c r="AI335" s="86"/>
      <c r="AJ335" s="86"/>
      <c r="AK335" s="86"/>
      <c r="AL335" s="86"/>
      <c r="AM335" s="86"/>
      <c r="AN335" s="87"/>
      <c r="AO335" s="102"/>
      <c r="AP335" s="103"/>
      <c r="AQ335" s="103"/>
      <c r="AR335" s="103"/>
      <c r="AS335" s="103"/>
      <c r="AT335" s="103"/>
      <c r="AU335" s="103"/>
      <c r="AV335" s="104"/>
      <c r="AW335" s="220"/>
      <c r="AX335" s="221"/>
      <c r="AY335" s="221"/>
      <c r="AZ335" s="221"/>
      <c r="BA335" s="221"/>
      <c r="BB335" s="221"/>
      <c r="BC335" s="221"/>
      <c r="BD335" s="222"/>
      <c r="BE335" s="220"/>
      <c r="BF335" s="221"/>
      <c r="BG335" s="221"/>
      <c r="BH335" s="221"/>
      <c r="BI335" s="221"/>
      <c r="BJ335" s="221"/>
      <c r="BK335" s="221"/>
      <c r="BL335" s="222"/>
      <c r="BT335" s="47"/>
      <c r="BU335" s="47"/>
      <c r="BV335" s="47"/>
      <c r="BW335" s="47"/>
      <c r="BX335" s="47"/>
      <c r="BY335" s="47"/>
      <c r="BZ335" s="47"/>
    </row>
    <row r="336" spans="1:78" ht="38.25" customHeight="1" x14ac:dyDescent="0.2">
      <c r="A336" s="78">
        <v>0</v>
      </c>
      <c r="B336" s="79"/>
      <c r="C336" s="79"/>
      <c r="D336" s="79"/>
      <c r="E336" s="79"/>
      <c r="F336" s="80"/>
      <c r="G336" s="190" t="s">
        <v>60</v>
      </c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84" t="s">
        <v>51</v>
      </c>
      <c r="AA336" s="84"/>
      <c r="AB336" s="84"/>
      <c r="AC336" s="84"/>
      <c r="AD336" s="84"/>
      <c r="AE336" s="85" t="s">
        <v>61</v>
      </c>
      <c r="AF336" s="86"/>
      <c r="AG336" s="86"/>
      <c r="AH336" s="86"/>
      <c r="AI336" s="86"/>
      <c r="AJ336" s="86"/>
      <c r="AK336" s="86"/>
      <c r="AL336" s="86"/>
      <c r="AM336" s="86"/>
      <c r="AN336" s="87"/>
      <c r="AO336" s="92"/>
      <c r="AP336" s="92"/>
      <c r="AQ336" s="92"/>
      <c r="AR336" s="92"/>
      <c r="AS336" s="92"/>
      <c r="AT336" s="92"/>
      <c r="AU336" s="92"/>
      <c r="AV336" s="92"/>
      <c r="AW336" s="232">
        <f>AW320/9779752.59*100</f>
        <v>45.424206380664685</v>
      </c>
      <c r="AX336" s="232">
        <f>AX326/151003162.73*100</f>
        <v>0</v>
      </c>
      <c r="AY336" s="232">
        <f>AY325/6579752.59*100</f>
        <v>0</v>
      </c>
      <c r="AZ336" s="232">
        <f>AZ326/151003162.73*100</f>
        <v>0</v>
      </c>
      <c r="BA336" s="232">
        <f>BA325/6579752.59*100</f>
        <v>0</v>
      </c>
      <c r="BB336" s="232">
        <f>BB326/151003162.73*100</f>
        <v>0</v>
      </c>
      <c r="BC336" s="232">
        <f>BC325/6579752.59*100</f>
        <v>0</v>
      </c>
      <c r="BD336" s="232">
        <f>BD326/151003162.73*100</f>
        <v>0</v>
      </c>
      <c r="BE336" s="92">
        <f>AO336+AW336</f>
        <v>45.424206380664685</v>
      </c>
      <c r="BF336" s="92"/>
      <c r="BG336" s="92"/>
      <c r="BH336" s="92"/>
      <c r="BI336" s="92"/>
      <c r="BJ336" s="92"/>
      <c r="BK336" s="92"/>
      <c r="BL336" s="92"/>
      <c r="BT336" s="47"/>
      <c r="BU336" s="47"/>
      <c r="BV336" s="47"/>
      <c r="BW336" s="47"/>
      <c r="BX336" s="47"/>
      <c r="BY336" s="47"/>
      <c r="BZ336" s="47"/>
    </row>
    <row r="337" spans="1:78" ht="12.75" customHeight="1" x14ac:dyDescent="0.2">
      <c r="A337" s="28"/>
      <c r="B337" s="28"/>
      <c r="C337" s="28"/>
      <c r="D337" s="28"/>
      <c r="E337" s="28"/>
      <c r="F337" s="28"/>
      <c r="G337" s="46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31"/>
      <c r="AA337" s="31"/>
      <c r="AB337" s="31"/>
      <c r="AC337" s="31"/>
      <c r="AD337" s="31"/>
      <c r="AE337" s="31"/>
      <c r="AF337" s="28"/>
      <c r="AG337" s="28"/>
      <c r="AH337" s="28"/>
      <c r="AI337" s="28"/>
      <c r="AJ337" s="28"/>
      <c r="AK337" s="28"/>
      <c r="AL337" s="28"/>
      <c r="AM337" s="28"/>
      <c r="AN337" s="28"/>
      <c r="AO337" s="32"/>
      <c r="AP337" s="32"/>
      <c r="AQ337" s="32"/>
      <c r="AR337" s="32"/>
      <c r="AS337" s="32"/>
      <c r="AT337" s="32"/>
      <c r="AU337" s="32"/>
      <c r="AV337" s="32"/>
      <c r="AW337" s="51"/>
      <c r="AX337" s="51"/>
      <c r="AY337" s="51"/>
      <c r="AZ337" s="51"/>
      <c r="BA337" s="51"/>
      <c r="BB337" s="51"/>
      <c r="BC337" s="51"/>
      <c r="BD337" s="51"/>
      <c r="BE337" s="32"/>
      <c r="BF337" s="32"/>
      <c r="BG337" s="32"/>
      <c r="BH337" s="32"/>
      <c r="BI337" s="32"/>
      <c r="BJ337" s="32"/>
      <c r="BK337" s="32"/>
      <c r="BL337" s="32"/>
      <c r="BT337" s="47"/>
      <c r="BU337" s="47"/>
      <c r="BV337" s="47"/>
      <c r="BW337" s="47"/>
      <c r="BX337" s="47"/>
      <c r="BY337" s="47"/>
      <c r="BZ337" s="47"/>
    </row>
    <row r="338" spans="1:78" ht="33.75" customHeight="1" x14ac:dyDescent="0.2">
      <c r="A338" s="78" t="s">
        <v>14</v>
      </c>
      <c r="B338" s="79"/>
      <c r="C338" s="79"/>
      <c r="D338" s="79"/>
      <c r="E338" s="79"/>
      <c r="F338" s="80"/>
      <c r="G338" s="88" t="s">
        <v>27</v>
      </c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 t="s">
        <v>2</v>
      </c>
      <c r="AA338" s="88"/>
      <c r="AB338" s="88"/>
      <c r="AC338" s="88"/>
      <c r="AD338" s="88"/>
      <c r="AE338" s="78" t="s">
        <v>1</v>
      </c>
      <c r="AF338" s="79"/>
      <c r="AG338" s="79"/>
      <c r="AH338" s="79"/>
      <c r="AI338" s="79"/>
      <c r="AJ338" s="79"/>
      <c r="AK338" s="79"/>
      <c r="AL338" s="79"/>
      <c r="AM338" s="79"/>
      <c r="AN338" s="80"/>
      <c r="AO338" s="88" t="s">
        <v>15</v>
      </c>
      <c r="AP338" s="88"/>
      <c r="AQ338" s="88"/>
      <c r="AR338" s="88"/>
      <c r="AS338" s="88"/>
      <c r="AT338" s="88"/>
      <c r="AU338" s="88"/>
      <c r="AV338" s="88"/>
      <c r="AW338" s="88" t="s">
        <v>16</v>
      </c>
      <c r="AX338" s="88"/>
      <c r="AY338" s="88"/>
      <c r="AZ338" s="88"/>
      <c r="BA338" s="88"/>
      <c r="BB338" s="88"/>
      <c r="BC338" s="88"/>
      <c r="BD338" s="88"/>
      <c r="BE338" s="88" t="s">
        <v>13</v>
      </c>
      <c r="BF338" s="88"/>
      <c r="BG338" s="88"/>
      <c r="BH338" s="88"/>
      <c r="BI338" s="88"/>
      <c r="BJ338" s="88"/>
      <c r="BK338" s="88"/>
      <c r="BL338" s="88"/>
      <c r="BT338" s="47"/>
      <c r="BU338" s="47"/>
      <c r="BV338" s="47"/>
      <c r="BW338" s="47"/>
      <c r="BX338" s="47"/>
      <c r="BY338" s="47"/>
      <c r="BZ338" s="47"/>
    </row>
    <row r="339" spans="1:78" ht="18.75" customHeight="1" x14ac:dyDescent="0.2">
      <c r="A339" s="78">
        <v>1</v>
      </c>
      <c r="B339" s="79"/>
      <c r="C339" s="79"/>
      <c r="D339" s="79"/>
      <c r="E339" s="79"/>
      <c r="F339" s="80"/>
      <c r="G339" s="78">
        <v>2</v>
      </c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80"/>
      <c r="Z339" s="88">
        <v>3</v>
      </c>
      <c r="AA339" s="88"/>
      <c r="AB339" s="88"/>
      <c r="AC339" s="88"/>
      <c r="AD339" s="88"/>
      <c r="AE339" s="78">
        <v>4</v>
      </c>
      <c r="AF339" s="79"/>
      <c r="AG339" s="79"/>
      <c r="AH339" s="79"/>
      <c r="AI339" s="79"/>
      <c r="AJ339" s="79"/>
      <c r="AK339" s="79"/>
      <c r="AL339" s="79"/>
      <c r="AM339" s="79"/>
      <c r="AN339" s="80"/>
      <c r="AO339" s="88">
        <v>5</v>
      </c>
      <c r="AP339" s="88"/>
      <c r="AQ339" s="88"/>
      <c r="AR339" s="88"/>
      <c r="AS339" s="88"/>
      <c r="AT339" s="88"/>
      <c r="AU339" s="88"/>
      <c r="AV339" s="88"/>
      <c r="AW339" s="88">
        <v>6</v>
      </c>
      <c r="AX339" s="88"/>
      <c r="AY339" s="88"/>
      <c r="AZ339" s="88"/>
      <c r="BA339" s="88"/>
      <c r="BB339" s="88"/>
      <c r="BC339" s="88"/>
      <c r="BD339" s="88"/>
      <c r="BE339" s="88">
        <v>7</v>
      </c>
      <c r="BF339" s="88"/>
      <c r="BG339" s="88"/>
      <c r="BH339" s="88"/>
      <c r="BI339" s="88"/>
      <c r="BJ339" s="88"/>
      <c r="BK339" s="88"/>
      <c r="BL339" s="88"/>
      <c r="BT339" s="47"/>
      <c r="BU339" s="47"/>
      <c r="BV339" s="47"/>
      <c r="BW339" s="47"/>
      <c r="BX339" s="47"/>
      <c r="BY339" s="47"/>
      <c r="BZ339" s="47"/>
    </row>
    <row r="340" spans="1:78" ht="21.75" customHeight="1" x14ac:dyDescent="0.2">
      <c r="A340" s="78"/>
      <c r="B340" s="79"/>
      <c r="C340" s="79"/>
      <c r="D340" s="79"/>
      <c r="E340" s="79"/>
      <c r="F340" s="80"/>
      <c r="G340" s="208" t="s">
        <v>117</v>
      </c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83"/>
      <c r="BB340" s="183"/>
      <c r="BC340" s="183"/>
      <c r="BD340" s="184"/>
      <c r="BE340" s="133"/>
      <c r="BF340" s="133"/>
      <c r="BG340" s="133"/>
      <c r="BH340" s="133"/>
      <c r="BI340" s="133"/>
      <c r="BJ340" s="133"/>
      <c r="BK340" s="133"/>
      <c r="BL340" s="133"/>
      <c r="BT340" s="47"/>
      <c r="BU340" s="47"/>
      <c r="BV340" s="47"/>
      <c r="BW340" s="47"/>
      <c r="BX340" s="47"/>
      <c r="BY340" s="47"/>
      <c r="BZ340" s="47"/>
    </row>
    <row r="341" spans="1:78" ht="20.100000000000001" customHeight="1" x14ac:dyDescent="0.2">
      <c r="A341" s="78"/>
      <c r="B341" s="79"/>
      <c r="C341" s="79"/>
      <c r="D341" s="79"/>
      <c r="E341" s="79"/>
      <c r="F341" s="80"/>
      <c r="G341" s="138" t="s">
        <v>48</v>
      </c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84"/>
      <c r="AA341" s="84"/>
      <c r="AB341" s="84"/>
      <c r="AC341" s="84"/>
      <c r="AD341" s="84"/>
      <c r="AE341" s="85"/>
      <c r="AF341" s="86"/>
      <c r="AG341" s="86"/>
      <c r="AH341" s="86"/>
      <c r="AI341" s="86"/>
      <c r="AJ341" s="86"/>
      <c r="AK341" s="86"/>
      <c r="AL341" s="86"/>
      <c r="AM341" s="86"/>
      <c r="AN341" s="87"/>
      <c r="AO341" s="92"/>
      <c r="AP341" s="92"/>
      <c r="AQ341" s="92"/>
      <c r="AR341" s="92"/>
      <c r="AS341" s="92"/>
      <c r="AT341" s="92"/>
      <c r="AU341" s="92"/>
      <c r="AV341" s="92"/>
      <c r="AW341" s="137"/>
      <c r="AX341" s="137"/>
      <c r="AY341" s="137"/>
      <c r="AZ341" s="137"/>
      <c r="BA341" s="137"/>
      <c r="BB341" s="137"/>
      <c r="BC341" s="137"/>
      <c r="BD341" s="137"/>
      <c r="BE341" s="133"/>
      <c r="BF341" s="133"/>
      <c r="BG341" s="133"/>
      <c r="BH341" s="133"/>
      <c r="BI341" s="133"/>
      <c r="BJ341" s="133"/>
      <c r="BK341" s="133"/>
      <c r="BL341" s="133"/>
      <c r="BT341" s="47"/>
      <c r="BU341" s="47"/>
      <c r="BV341" s="47"/>
      <c r="BW341" s="47"/>
      <c r="BX341" s="47"/>
      <c r="BY341" s="47"/>
      <c r="BZ341" s="47"/>
    </row>
    <row r="342" spans="1:78" ht="20.100000000000001" customHeight="1" x14ac:dyDescent="0.2">
      <c r="A342" s="78"/>
      <c r="B342" s="79"/>
      <c r="C342" s="79"/>
      <c r="D342" s="79"/>
      <c r="E342" s="79"/>
      <c r="F342" s="80"/>
      <c r="G342" s="182" t="s">
        <v>82</v>
      </c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4"/>
      <c r="Z342" s="84" t="s">
        <v>49</v>
      </c>
      <c r="AA342" s="84"/>
      <c r="AB342" s="84"/>
      <c r="AC342" s="84"/>
      <c r="AD342" s="84"/>
      <c r="AE342" s="85" t="s">
        <v>66</v>
      </c>
      <c r="AF342" s="86"/>
      <c r="AG342" s="86"/>
      <c r="AH342" s="86"/>
      <c r="AI342" s="86"/>
      <c r="AJ342" s="86"/>
      <c r="AK342" s="86"/>
      <c r="AL342" s="86"/>
      <c r="AM342" s="86"/>
      <c r="AN342" s="87"/>
      <c r="AO342" s="92"/>
      <c r="AP342" s="92"/>
      <c r="AQ342" s="92"/>
      <c r="AR342" s="92"/>
      <c r="AS342" s="92"/>
      <c r="AT342" s="92"/>
      <c r="AU342" s="92"/>
      <c r="AV342" s="92"/>
      <c r="AW342" s="137">
        <f>AW343+AW344</f>
        <v>2365985</v>
      </c>
      <c r="AX342" s="137"/>
      <c r="AY342" s="137"/>
      <c r="AZ342" s="137"/>
      <c r="BA342" s="137"/>
      <c r="BB342" s="137"/>
      <c r="BC342" s="137"/>
      <c r="BD342" s="137"/>
      <c r="BE342" s="92">
        <f>AW342</f>
        <v>2365985</v>
      </c>
      <c r="BF342" s="92"/>
      <c r="BG342" s="92"/>
      <c r="BH342" s="92"/>
      <c r="BI342" s="92"/>
      <c r="BJ342" s="92"/>
      <c r="BK342" s="92"/>
      <c r="BL342" s="92"/>
      <c r="BT342" s="47"/>
      <c r="BU342" s="47"/>
      <c r="BV342" s="47"/>
      <c r="BW342" s="47"/>
      <c r="BX342" s="47"/>
      <c r="BY342" s="47"/>
      <c r="BZ342" s="47"/>
    </row>
    <row r="343" spans="1:78" ht="35.25" customHeight="1" x14ac:dyDescent="0.2">
      <c r="A343" s="78"/>
      <c r="B343" s="79"/>
      <c r="C343" s="79"/>
      <c r="D343" s="79"/>
      <c r="E343" s="79"/>
      <c r="F343" s="80"/>
      <c r="G343" s="81" t="s">
        <v>118</v>
      </c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3"/>
      <c r="Z343" s="84" t="s">
        <v>49</v>
      </c>
      <c r="AA343" s="84"/>
      <c r="AB343" s="84"/>
      <c r="AC343" s="84"/>
      <c r="AD343" s="84"/>
      <c r="AE343" s="85" t="s">
        <v>66</v>
      </c>
      <c r="AF343" s="86"/>
      <c r="AG343" s="86"/>
      <c r="AH343" s="86"/>
      <c r="AI343" s="86"/>
      <c r="AJ343" s="86"/>
      <c r="AK343" s="86"/>
      <c r="AL343" s="86"/>
      <c r="AM343" s="86"/>
      <c r="AN343" s="87"/>
      <c r="AO343" s="92"/>
      <c r="AP343" s="92"/>
      <c r="AQ343" s="92"/>
      <c r="AR343" s="92"/>
      <c r="AS343" s="92"/>
      <c r="AT343" s="92"/>
      <c r="AU343" s="92"/>
      <c r="AV343" s="92"/>
      <c r="AW343" s="137">
        <f>AS168</f>
        <v>1814685</v>
      </c>
      <c r="AX343" s="137"/>
      <c r="AY343" s="137"/>
      <c r="AZ343" s="137"/>
      <c r="BA343" s="137"/>
      <c r="BB343" s="137"/>
      <c r="BC343" s="137"/>
      <c r="BD343" s="137"/>
      <c r="BE343" s="92">
        <f>AW343</f>
        <v>1814685</v>
      </c>
      <c r="BF343" s="92"/>
      <c r="BG343" s="92"/>
      <c r="BH343" s="92"/>
      <c r="BI343" s="92"/>
      <c r="BJ343" s="92"/>
      <c r="BK343" s="92"/>
      <c r="BL343" s="92"/>
      <c r="BT343" s="47"/>
      <c r="BU343" s="47"/>
      <c r="BV343" s="47"/>
      <c r="BW343" s="47"/>
      <c r="BX343" s="47"/>
      <c r="BY343" s="47"/>
      <c r="BZ343" s="47"/>
    </row>
    <row r="344" spans="1:78" ht="35.25" customHeight="1" x14ac:dyDescent="0.2">
      <c r="A344" s="78"/>
      <c r="B344" s="79"/>
      <c r="C344" s="79"/>
      <c r="D344" s="79"/>
      <c r="E344" s="79"/>
      <c r="F344" s="80"/>
      <c r="G344" s="81" t="s">
        <v>99</v>
      </c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3"/>
      <c r="Z344" s="139" t="s">
        <v>104</v>
      </c>
      <c r="AA344" s="139"/>
      <c r="AB344" s="139"/>
      <c r="AC344" s="139"/>
      <c r="AD344" s="139"/>
      <c r="AE344" s="85" t="s">
        <v>66</v>
      </c>
      <c r="AF344" s="86"/>
      <c r="AG344" s="86"/>
      <c r="AH344" s="86"/>
      <c r="AI344" s="86"/>
      <c r="AJ344" s="86"/>
      <c r="AK344" s="86"/>
      <c r="AL344" s="86"/>
      <c r="AM344" s="86"/>
      <c r="AN344" s="87"/>
      <c r="AO344" s="90"/>
      <c r="AP344" s="90"/>
      <c r="AQ344" s="90"/>
      <c r="AR344" s="90"/>
      <c r="AS344" s="90"/>
      <c r="AT344" s="90"/>
      <c r="AU344" s="90"/>
      <c r="AV344" s="90"/>
      <c r="AW344" s="137">
        <f>AS169+AS170+AS171+AS172</f>
        <v>551300</v>
      </c>
      <c r="AX344" s="137"/>
      <c r="AY344" s="137"/>
      <c r="AZ344" s="137"/>
      <c r="BA344" s="137"/>
      <c r="BB344" s="137"/>
      <c r="BC344" s="137"/>
      <c r="BD344" s="137"/>
      <c r="BE344" s="92">
        <f>AW344</f>
        <v>551300</v>
      </c>
      <c r="BF344" s="92"/>
      <c r="BG344" s="92"/>
      <c r="BH344" s="92"/>
      <c r="BI344" s="92"/>
      <c r="BJ344" s="92"/>
      <c r="BK344" s="92"/>
      <c r="BL344" s="92"/>
      <c r="BT344" s="47"/>
      <c r="BU344" s="47"/>
      <c r="BV344" s="47"/>
      <c r="BW344" s="47"/>
      <c r="BX344" s="47"/>
      <c r="BY344" s="47"/>
      <c r="BZ344" s="47"/>
    </row>
    <row r="345" spans="1:78" ht="20.100000000000001" customHeight="1" x14ac:dyDescent="0.2">
      <c r="A345" s="78"/>
      <c r="B345" s="79"/>
      <c r="C345" s="79"/>
      <c r="D345" s="79"/>
      <c r="E345" s="79"/>
      <c r="F345" s="80"/>
      <c r="G345" s="143" t="s">
        <v>101</v>
      </c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39"/>
      <c r="AA345" s="139"/>
      <c r="AB345" s="139"/>
      <c r="AC345" s="139"/>
      <c r="AD345" s="139"/>
      <c r="AE345" s="85"/>
      <c r="AF345" s="86"/>
      <c r="AG345" s="86"/>
      <c r="AH345" s="86"/>
      <c r="AI345" s="86"/>
      <c r="AJ345" s="86"/>
      <c r="AK345" s="86"/>
      <c r="AL345" s="86"/>
      <c r="AM345" s="86"/>
      <c r="AN345" s="87"/>
      <c r="AO345" s="90"/>
      <c r="AP345" s="90"/>
      <c r="AQ345" s="90"/>
      <c r="AR345" s="90"/>
      <c r="AS345" s="90"/>
      <c r="AT345" s="90"/>
      <c r="AU345" s="90"/>
      <c r="AV345" s="90"/>
      <c r="AW345" s="137"/>
      <c r="AX345" s="137"/>
      <c r="AY345" s="137"/>
      <c r="AZ345" s="137"/>
      <c r="BA345" s="137"/>
      <c r="BB345" s="137"/>
      <c r="BC345" s="137"/>
      <c r="BD345" s="137"/>
      <c r="BE345" s="133"/>
      <c r="BF345" s="133"/>
      <c r="BG345" s="133"/>
      <c r="BH345" s="133"/>
      <c r="BI345" s="133"/>
      <c r="BJ345" s="133"/>
      <c r="BK345" s="133"/>
      <c r="BL345" s="133"/>
      <c r="BT345" s="47"/>
      <c r="BU345" s="47"/>
      <c r="BV345" s="47"/>
      <c r="BW345" s="47"/>
      <c r="BX345" s="47"/>
      <c r="BY345" s="47"/>
      <c r="BZ345" s="47"/>
    </row>
    <row r="346" spans="1:78" ht="33" customHeight="1" x14ac:dyDescent="0.2">
      <c r="A346" s="78"/>
      <c r="B346" s="79"/>
      <c r="C346" s="79"/>
      <c r="D346" s="79"/>
      <c r="E346" s="79"/>
      <c r="F346" s="80"/>
      <c r="G346" s="112" t="s">
        <v>123</v>
      </c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4"/>
      <c r="Z346" s="84" t="s">
        <v>67</v>
      </c>
      <c r="AA346" s="84"/>
      <c r="AB346" s="84"/>
      <c r="AC346" s="84"/>
      <c r="AD346" s="84"/>
      <c r="AE346" s="85" t="s">
        <v>119</v>
      </c>
      <c r="AF346" s="86"/>
      <c r="AG346" s="86"/>
      <c r="AH346" s="86"/>
      <c r="AI346" s="86"/>
      <c r="AJ346" s="86"/>
      <c r="AK346" s="86"/>
      <c r="AL346" s="86"/>
      <c r="AM346" s="86"/>
      <c r="AN346" s="87"/>
      <c r="AO346" s="90"/>
      <c r="AP346" s="90"/>
      <c r="AQ346" s="90"/>
      <c r="AR346" s="90"/>
      <c r="AS346" s="90"/>
      <c r="AT346" s="90"/>
      <c r="AU346" s="90"/>
      <c r="AV346" s="90"/>
      <c r="AW346" s="149">
        <v>1</v>
      </c>
      <c r="AX346" s="149"/>
      <c r="AY346" s="149"/>
      <c r="AZ346" s="149"/>
      <c r="BA346" s="149"/>
      <c r="BB346" s="149"/>
      <c r="BC346" s="149"/>
      <c r="BD346" s="149"/>
      <c r="BE346" s="106">
        <f>AW346</f>
        <v>1</v>
      </c>
      <c r="BF346" s="106"/>
      <c r="BG346" s="106"/>
      <c r="BH346" s="106"/>
      <c r="BI346" s="106"/>
      <c r="BJ346" s="106"/>
      <c r="BK346" s="106"/>
      <c r="BL346" s="106"/>
      <c r="BT346" s="47"/>
      <c r="BU346" s="47"/>
      <c r="BV346" s="47"/>
      <c r="BW346" s="47"/>
      <c r="BX346" s="47"/>
      <c r="BY346" s="47"/>
      <c r="BZ346" s="47"/>
    </row>
    <row r="347" spans="1:78" ht="33.75" customHeight="1" x14ac:dyDescent="0.2">
      <c r="A347" s="88"/>
      <c r="B347" s="88"/>
      <c r="C347" s="88"/>
      <c r="D347" s="88"/>
      <c r="E347" s="88"/>
      <c r="F347" s="88"/>
      <c r="G347" s="148" t="s">
        <v>100</v>
      </c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84" t="s">
        <v>67</v>
      </c>
      <c r="AA347" s="84"/>
      <c r="AB347" s="84"/>
      <c r="AC347" s="84"/>
      <c r="AD347" s="84"/>
      <c r="AE347" s="84" t="s">
        <v>71</v>
      </c>
      <c r="AF347" s="84"/>
      <c r="AG347" s="84"/>
      <c r="AH347" s="84"/>
      <c r="AI347" s="84"/>
      <c r="AJ347" s="84"/>
      <c r="AK347" s="84"/>
      <c r="AL347" s="84"/>
      <c r="AM347" s="84"/>
      <c r="AN347" s="84"/>
      <c r="AO347" s="92"/>
      <c r="AP347" s="92"/>
      <c r="AQ347" s="92"/>
      <c r="AR347" s="92"/>
      <c r="AS347" s="92"/>
      <c r="AT347" s="92"/>
      <c r="AU347" s="92"/>
      <c r="AV347" s="92"/>
      <c r="AW347" s="149">
        <v>4</v>
      </c>
      <c r="AX347" s="149"/>
      <c r="AY347" s="149"/>
      <c r="AZ347" s="149"/>
      <c r="BA347" s="149"/>
      <c r="BB347" s="149"/>
      <c r="BC347" s="149"/>
      <c r="BD347" s="149"/>
      <c r="BE347" s="106">
        <f>AW347</f>
        <v>4</v>
      </c>
      <c r="BF347" s="106"/>
      <c r="BG347" s="106"/>
      <c r="BH347" s="106"/>
      <c r="BI347" s="106"/>
      <c r="BJ347" s="106"/>
      <c r="BK347" s="106"/>
      <c r="BL347" s="106"/>
      <c r="BT347" s="47"/>
      <c r="BU347" s="47"/>
      <c r="BV347" s="47"/>
      <c r="BW347" s="47"/>
      <c r="BX347" s="47"/>
      <c r="BY347" s="47"/>
      <c r="BZ347" s="47"/>
    </row>
    <row r="348" spans="1:78" ht="18.75" customHeight="1" x14ac:dyDescent="0.2">
      <c r="A348" s="88"/>
      <c r="B348" s="88"/>
      <c r="C348" s="88"/>
      <c r="D348" s="88"/>
      <c r="E348" s="88"/>
      <c r="F348" s="88"/>
      <c r="G348" s="143" t="s">
        <v>64</v>
      </c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92"/>
      <c r="AP348" s="92"/>
      <c r="AQ348" s="92"/>
      <c r="AR348" s="92"/>
      <c r="AS348" s="92"/>
      <c r="AT348" s="92"/>
      <c r="AU348" s="92"/>
      <c r="AV348" s="92"/>
      <c r="AW348" s="137"/>
      <c r="AX348" s="137"/>
      <c r="AY348" s="137"/>
      <c r="AZ348" s="137"/>
      <c r="BA348" s="137"/>
      <c r="BB348" s="137"/>
      <c r="BC348" s="137"/>
      <c r="BD348" s="137"/>
      <c r="BE348" s="133"/>
      <c r="BF348" s="133"/>
      <c r="BG348" s="133"/>
      <c r="BH348" s="133"/>
      <c r="BI348" s="133"/>
      <c r="BJ348" s="133"/>
      <c r="BK348" s="133"/>
      <c r="BL348" s="133"/>
      <c r="BT348" s="47"/>
      <c r="BU348" s="47"/>
      <c r="BV348" s="47"/>
      <c r="BW348" s="47"/>
      <c r="BX348" s="47"/>
      <c r="BY348" s="47"/>
      <c r="BZ348" s="47"/>
    </row>
    <row r="349" spans="1:78" ht="18.75" customHeight="1" x14ac:dyDescent="0.2">
      <c r="A349" s="88"/>
      <c r="B349" s="88"/>
      <c r="C349" s="88"/>
      <c r="D349" s="88"/>
      <c r="E349" s="88"/>
      <c r="F349" s="88"/>
      <c r="G349" s="148" t="s">
        <v>120</v>
      </c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84" t="s">
        <v>49</v>
      </c>
      <c r="AA349" s="84"/>
      <c r="AB349" s="84"/>
      <c r="AC349" s="84"/>
      <c r="AD349" s="84"/>
      <c r="AE349" s="84" t="s">
        <v>61</v>
      </c>
      <c r="AF349" s="84"/>
      <c r="AG349" s="84"/>
      <c r="AH349" s="84"/>
      <c r="AI349" s="84"/>
      <c r="AJ349" s="84"/>
      <c r="AK349" s="84"/>
      <c r="AL349" s="84"/>
      <c r="AM349" s="84"/>
      <c r="AN349" s="84"/>
      <c r="AO349" s="92"/>
      <c r="AP349" s="92"/>
      <c r="AQ349" s="92"/>
      <c r="AR349" s="92"/>
      <c r="AS349" s="92"/>
      <c r="AT349" s="92"/>
      <c r="AU349" s="92"/>
      <c r="AV349" s="92"/>
      <c r="AW349" s="137">
        <f>AW343/AW346</f>
        <v>1814685</v>
      </c>
      <c r="AX349" s="137"/>
      <c r="AY349" s="137"/>
      <c r="AZ349" s="137"/>
      <c r="BA349" s="137"/>
      <c r="BB349" s="137"/>
      <c r="BC349" s="137"/>
      <c r="BD349" s="137"/>
      <c r="BE349" s="92">
        <f>AW349</f>
        <v>1814685</v>
      </c>
      <c r="BF349" s="92"/>
      <c r="BG349" s="92"/>
      <c r="BH349" s="92"/>
      <c r="BI349" s="92"/>
      <c r="BJ349" s="92"/>
      <c r="BK349" s="92"/>
      <c r="BL349" s="92"/>
      <c r="BT349" s="47"/>
      <c r="BU349" s="47"/>
      <c r="BV349" s="47"/>
      <c r="BW349" s="47"/>
      <c r="BX349" s="47"/>
      <c r="BY349" s="47"/>
      <c r="BZ349" s="47"/>
    </row>
    <row r="350" spans="1:78" ht="33.75" customHeight="1" x14ac:dyDescent="0.2">
      <c r="A350" s="88"/>
      <c r="B350" s="88"/>
      <c r="C350" s="88"/>
      <c r="D350" s="88"/>
      <c r="E350" s="88"/>
      <c r="F350" s="88"/>
      <c r="G350" s="148" t="s">
        <v>115</v>
      </c>
      <c r="H350" s="148" t="s">
        <v>78</v>
      </c>
      <c r="I350" s="148" t="s">
        <v>78</v>
      </c>
      <c r="J350" s="148" t="s">
        <v>78</v>
      </c>
      <c r="K350" s="148" t="s">
        <v>78</v>
      </c>
      <c r="L350" s="148" t="s">
        <v>78</v>
      </c>
      <c r="M350" s="148" t="s">
        <v>78</v>
      </c>
      <c r="N350" s="148" t="s">
        <v>78</v>
      </c>
      <c r="O350" s="148" t="s">
        <v>78</v>
      </c>
      <c r="P350" s="148" t="s">
        <v>78</v>
      </c>
      <c r="Q350" s="148" t="s">
        <v>78</v>
      </c>
      <c r="R350" s="148" t="s">
        <v>78</v>
      </c>
      <c r="S350" s="148" t="s">
        <v>78</v>
      </c>
      <c r="T350" s="148" t="s">
        <v>78</v>
      </c>
      <c r="U350" s="148" t="s">
        <v>78</v>
      </c>
      <c r="V350" s="148" t="s">
        <v>78</v>
      </c>
      <c r="W350" s="148" t="s">
        <v>78</v>
      </c>
      <c r="X350" s="148" t="s">
        <v>78</v>
      </c>
      <c r="Y350" s="148" t="s">
        <v>78</v>
      </c>
      <c r="Z350" s="84" t="s">
        <v>104</v>
      </c>
      <c r="AA350" s="84"/>
      <c r="AB350" s="84"/>
      <c r="AC350" s="84"/>
      <c r="AD350" s="84"/>
      <c r="AE350" s="84" t="s">
        <v>61</v>
      </c>
      <c r="AF350" s="84"/>
      <c r="AG350" s="84"/>
      <c r="AH350" s="84"/>
      <c r="AI350" s="84"/>
      <c r="AJ350" s="84"/>
      <c r="AK350" s="84"/>
      <c r="AL350" s="84"/>
      <c r="AM350" s="84"/>
      <c r="AN350" s="84"/>
      <c r="AO350" s="92"/>
      <c r="AP350" s="92"/>
      <c r="AQ350" s="92"/>
      <c r="AR350" s="92"/>
      <c r="AS350" s="92"/>
      <c r="AT350" s="92"/>
      <c r="AU350" s="92"/>
      <c r="AV350" s="92"/>
      <c r="AW350" s="137">
        <f>AW344/AW347</f>
        <v>137825</v>
      </c>
      <c r="AX350" s="137"/>
      <c r="AY350" s="137"/>
      <c r="AZ350" s="137"/>
      <c r="BA350" s="137"/>
      <c r="BB350" s="137"/>
      <c r="BC350" s="137"/>
      <c r="BD350" s="137"/>
      <c r="BE350" s="92">
        <f>AW350</f>
        <v>137825</v>
      </c>
      <c r="BF350" s="92"/>
      <c r="BG350" s="92"/>
      <c r="BH350" s="92"/>
      <c r="BI350" s="92"/>
      <c r="BJ350" s="92"/>
      <c r="BK350" s="92"/>
      <c r="BL350" s="92"/>
      <c r="BT350" s="47"/>
      <c r="BU350" s="47"/>
      <c r="BV350" s="47"/>
      <c r="BW350" s="47"/>
      <c r="BX350" s="47"/>
      <c r="BY350" s="47"/>
      <c r="BZ350" s="47"/>
    </row>
    <row r="351" spans="1:78" ht="19.5" customHeight="1" x14ac:dyDescent="0.2">
      <c r="A351" s="78"/>
      <c r="B351" s="79"/>
      <c r="C351" s="79"/>
      <c r="D351" s="79"/>
      <c r="E351" s="79"/>
      <c r="F351" s="80"/>
      <c r="G351" s="138" t="s">
        <v>50</v>
      </c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9"/>
      <c r="AA351" s="139"/>
      <c r="AB351" s="139"/>
      <c r="AC351" s="139"/>
      <c r="AD351" s="139"/>
      <c r="AE351" s="85"/>
      <c r="AF351" s="86"/>
      <c r="AG351" s="86"/>
      <c r="AH351" s="86"/>
      <c r="AI351" s="86"/>
      <c r="AJ351" s="86"/>
      <c r="AK351" s="86"/>
      <c r="AL351" s="86"/>
      <c r="AM351" s="86"/>
      <c r="AN351" s="87"/>
      <c r="AO351" s="90"/>
      <c r="AP351" s="90"/>
      <c r="AQ351" s="90"/>
      <c r="AR351" s="90"/>
      <c r="AS351" s="90"/>
      <c r="AT351" s="90"/>
      <c r="AU351" s="90"/>
      <c r="AV351" s="90"/>
      <c r="AW351" s="137"/>
      <c r="AX351" s="137"/>
      <c r="AY351" s="137"/>
      <c r="AZ351" s="137"/>
      <c r="BA351" s="137"/>
      <c r="BB351" s="137"/>
      <c r="BC351" s="137"/>
      <c r="BD351" s="137"/>
      <c r="BE351" s="133"/>
      <c r="BF351" s="133"/>
      <c r="BG351" s="133"/>
      <c r="BH351" s="133"/>
      <c r="BI351" s="133"/>
      <c r="BJ351" s="133"/>
      <c r="BK351" s="133"/>
      <c r="BL351" s="133"/>
      <c r="BT351" s="47"/>
      <c r="BU351" s="47"/>
      <c r="BV351" s="47"/>
      <c r="BW351" s="47"/>
      <c r="BX351" s="47"/>
      <c r="BY351" s="47"/>
      <c r="BZ351" s="47"/>
    </row>
    <row r="352" spans="1:78" ht="81.75" customHeight="1" x14ac:dyDescent="0.2">
      <c r="A352" s="78"/>
      <c r="B352" s="79"/>
      <c r="C352" s="79"/>
      <c r="D352" s="79"/>
      <c r="E352" s="79"/>
      <c r="F352" s="80"/>
      <c r="G352" s="112" t="s">
        <v>132</v>
      </c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4"/>
      <c r="Z352" s="84" t="s">
        <v>51</v>
      </c>
      <c r="AA352" s="84"/>
      <c r="AB352" s="84"/>
      <c r="AC352" s="84"/>
      <c r="AD352" s="84"/>
      <c r="AE352" s="85" t="s">
        <v>61</v>
      </c>
      <c r="AF352" s="86"/>
      <c r="AG352" s="86"/>
      <c r="AH352" s="86"/>
      <c r="AI352" s="86"/>
      <c r="AJ352" s="86"/>
      <c r="AK352" s="86"/>
      <c r="AL352" s="86"/>
      <c r="AM352" s="86"/>
      <c r="AN352" s="87"/>
      <c r="AO352" s="90"/>
      <c r="AP352" s="90"/>
      <c r="AQ352" s="90"/>
      <c r="AR352" s="90"/>
      <c r="AS352" s="90"/>
      <c r="AT352" s="90"/>
      <c r="AU352" s="90"/>
      <c r="AV352" s="90"/>
      <c r="AW352" s="137">
        <f>1814685/AW343*100</f>
        <v>100</v>
      </c>
      <c r="AX352" s="137"/>
      <c r="AY352" s="137"/>
      <c r="AZ352" s="137"/>
      <c r="BA352" s="137"/>
      <c r="BB352" s="137"/>
      <c r="BC352" s="137"/>
      <c r="BD352" s="137"/>
      <c r="BE352" s="133">
        <f>AW352</f>
        <v>100</v>
      </c>
      <c r="BF352" s="133"/>
      <c r="BG352" s="133"/>
      <c r="BH352" s="133"/>
      <c r="BI352" s="133"/>
      <c r="BJ352" s="133"/>
      <c r="BK352" s="133"/>
      <c r="BL352" s="133"/>
      <c r="BT352" s="47"/>
      <c r="BU352" s="47"/>
      <c r="BV352" s="47"/>
      <c r="BW352" s="47"/>
      <c r="BX352" s="47"/>
      <c r="BY352" s="47"/>
      <c r="BZ352" s="47"/>
    </row>
    <row r="353" spans="1:78" ht="33.75" customHeight="1" x14ac:dyDescent="0.2">
      <c r="A353" s="78"/>
      <c r="B353" s="79"/>
      <c r="C353" s="79"/>
      <c r="D353" s="79"/>
      <c r="E353" s="79"/>
      <c r="F353" s="80"/>
      <c r="G353" s="105" t="s">
        <v>60</v>
      </c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87" t="s">
        <v>141</v>
      </c>
      <c r="AA353" s="84"/>
      <c r="AB353" s="84"/>
      <c r="AC353" s="84"/>
      <c r="AD353" s="84"/>
      <c r="AE353" s="85" t="s">
        <v>61</v>
      </c>
      <c r="AF353" s="86"/>
      <c r="AG353" s="86"/>
      <c r="AH353" s="86"/>
      <c r="AI353" s="86"/>
      <c r="AJ353" s="86"/>
      <c r="AK353" s="86"/>
      <c r="AL353" s="86"/>
      <c r="AM353" s="86"/>
      <c r="AN353" s="87"/>
      <c r="AO353" s="92"/>
      <c r="AP353" s="92"/>
      <c r="AQ353" s="92"/>
      <c r="AR353" s="92"/>
      <c r="AS353" s="92"/>
      <c r="AT353" s="92"/>
      <c r="AU353" s="92"/>
      <c r="AV353" s="92"/>
      <c r="AW353" s="134">
        <f>AW342/100500</f>
        <v>23.542139303482585</v>
      </c>
      <c r="AX353" s="135"/>
      <c r="AY353" s="135">
        <f>AY342/100500</f>
        <v>0</v>
      </c>
      <c r="AZ353" s="135"/>
      <c r="BA353" s="135">
        <f>BA342/100500</f>
        <v>0</v>
      </c>
      <c r="BB353" s="135"/>
      <c r="BC353" s="135">
        <f>BC342/100500</f>
        <v>0</v>
      </c>
      <c r="BD353" s="136"/>
      <c r="BE353" s="133">
        <f>AW353</f>
        <v>23.542139303482585</v>
      </c>
      <c r="BF353" s="133"/>
      <c r="BG353" s="133"/>
      <c r="BH353" s="133"/>
      <c r="BI353" s="133"/>
      <c r="BJ353" s="133"/>
      <c r="BK353" s="133"/>
      <c r="BL353" s="133"/>
      <c r="BT353" s="47"/>
      <c r="BU353" s="47"/>
      <c r="BV353" s="47"/>
      <c r="BW353" s="47"/>
      <c r="BX353" s="47"/>
      <c r="BY353" s="47"/>
      <c r="BZ353" s="47"/>
    </row>
    <row r="354" spans="1:78" ht="11.25" customHeight="1" x14ac:dyDescent="0.2">
      <c r="A354" s="28"/>
      <c r="B354" s="28"/>
      <c r="C354" s="28"/>
      <c r="D354" s="28"/>
      <c r="E354" s="28"/>
      <c r="F354" s="28"/>
      <c r="G354" s="46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31"/>
      <c r="AA354" s="31"/>
      <c r="AB354" s="31"/>
      <c r="AC354" s="31"/>
      <c r="AD354" s="31"/>
      <c r="AE354" s="31"/>
      <c r="AF354" s="28"/>
      <c r="AG354" s="28"/>
      <c r="AH354" s="28"/>
      <c r="AI354" s="28"/>
      <c r="AJ354" s="28"/>
      <c r="AK354" s="28"/>
      <c r="AL354" s="28"/>
      <c r="AM354" s="28"/>
      <c r="AN354" s="28"/>
      <c r="AO354" s="32"/>
      <c r="AP354" s="32"/>
      <c r="AQ354" s="32"/>
      <c r="AR354" s="32"/>
      <c r="AS354" s="32"/>
      <c r="AT354" s="32"/>
      <c r="AU354" s="32"/>
      <c r="AV354" s="32"/>
      <c r="AW354" s="51"/>
      <c r="AX354" s="51"/>
      <c r="AY354" s="51"/>
      <c r="AZ354" s="51"/>
      <c r="BA354" s="51"/>
      <c r="BB354" s="51"/>
      <c r="BC354" s="51"/>
      <c r="BD354" s="51"/>
      <c r="BE354" s="32"/>
      <c r="BF354" s="32"/>
      <c r="BG354" s="32"/>
      <c r="BH354" s="32"/>
      <c r="BI354" s="32"/>
      <c r="BJ354" s="32"/>
      <c r="BK354" s="32"/>
      <c r="BL354" s="32"/>
      <c r="BT354" s="47"/>
      <c r="BU354" s="47"/>
      <c r="BV354" s="47"/>
      <c r="BW354" s="47"/>
      <c r="BX354" s="47"/>
      <c r="BY354" s="47"/>
      <c r="BZ354" s="47"/>
    </row>
    <row r="355" spans="1:78" ht="33.75" customHeight="1" x14ac:dyDescent="0.2">
      <c r="A355" s="88" t="s">
        <v>14</v>
      </c>
      <c r="B355" s="88"/>
      <c r="C355" s="88"/>
      <c r="D355" s="88"/>
      <c r="E355" s="88"/>
      <c r="F355" s="88"/>
      <c r="G355" s="88" t="s">
        <v>27</v>
      </c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 t="s">
        <v>2</v>
      </c>
      <c r="AA355" s="88"/>
      <c r="AB355" s="88"/>
      <c r="AC355" s="88"/>
      <c r="AD355" s="88"/>
      <c r="AE355" s="88" t="s">
        <v>1</v>
      </c>
      <c r="AF355" s="88"/>
      <c r="AG355" s="88"/>
      <c r="AH355" s="88"/>
      <c r="AI355" s="88"/>
      <c r="AJ355" s="88"/>
      <c r="AK355" s="88"/>
      <c r="AL355" s="88"/>
      <c r="AM355" s="88"/>
      <c r="AN355" s="88"/>
      <c r="AO355" s="88" t="s">
        <v>15</v>
      </c>
      <c r="AP355" s="88"/>
      <c r="AQ355" s="88"/>
      <c r="AR355" s="88"/>
      <c r="AS355" s="88"/>
      <c r="AT355" s="88"/>
      <c r="AU355" s="88"/>
      <c r="AV355" s="88"/>
      <c r="AW355" s="88" t="s">
        <v>16</v>
      </c>
      <c r="AX355" s="88"/>
      <c r="AY355" s="88"/>
      <c r="AZ355" s="88"/>
      <c r="BA355" s="88"/>
      <c r="BB355" s="88"/>
      <c r="BC355" s="88"/>
      <c r="BD355" s="88"/>
      <c r="BE355" s="88" t="s">
        <v>13</v>
      </c>
      <c r="BF355" s="88"/>
      <c r="BG355" s="88"/>
      <c r="BH355" s="88"/>
      <c r="BI355" s="88"/>
      <c r="BJ355" s="88"/>
      <c r="BK355" s="88"/>
      <c r="BL355" s="88"/>
      <c r="BT355" s="47"/>
      <c r="BU355" s="47"/>
      <c r="BV355" s="47"/>
      <c r="BW355" s="47"/>
      <c r="BX355" s="47"/>
      <c r="BY355" s="47"/>
      <c r="BZ355" s="47"/>
    </row>
    <row r="356" spans="1:78" ht="18" customHeight="1" x14ac:dyDescent="0.2">
      <c r="A356" s="88">
        <v>1</v>
      </c>
      <c r="B356" s="88"/>
      <c r="C356" s="88"/>
      <c r="D356" s="88"/>
      <c r="E356" s="88"/>
      <c r="F356" s="88"/>
      <c r="G356" s="88">
        <v>2</v>
      </c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>
        <v>3</v>
      </c>
      <c r="AA356" s="88"/>
      <c r="AB356" s="88"/>
      <c r="AC356" s="88"/>
      <c r="AD356" s="88"/>
      <c r="AE356" s="88">
        <v>4</v>
      </c>
      <c r="AF356" s="88"/>
      <c r="AG356" s="88"/>
      <c r="AH356" s="88"/>
      <c r="AI356" s="88"/>
      <c r="AJ356" s="88"/>
      <c r="AK356" s="88"/>
      <c r="AL356" s="88"/>
      <c r="AM356" s="88"/>
      <c r="AN356" s="88"/>
      <c r="AO356" s="88">
        <v>5</v>
      </c>
      <c r="AP356" s="88"/>
      <c r="AQ356" s="88"/>
      <c r="AR356" s="88"/>
      <c r="AS356" s="88"/>
      <c r="AT356" s="88"/>
      <c r="AU356" s="88"/>
      <c r="AV356" s="88"/>
      <c r="AW356" s="88">
        <v>6</v>
      </c>
      <c r="AX356" s="88"/>
      <c r="AY356" s="88"/>
      <c r="AZ356" s="88"/>
      <c r="BA356" s="88"/>
      <c r="BB356" s="88"/>
      <c r="BC356" s="88"/>
      <c r="BD356" s="88"/>
      <c r="BE356" s="88">
        <v>7</v>
      </c>
      <c r="BF356" s="88"/>
      <c r="BG356" s="88"/>
      <c r="BH356" s="88"/>
      <c r="BI356" s="88"/>
      <c r="BJ356" s="88"/>
      <c r="BK356" s="88"/>
      <c r="BL356" s="88"/>
      <c r="BT356" s="47"/>
      <c r="BU356" s="47"/>
      <c r="BV356" s="47"/>
      <c r="BW356" s="47"/>
      <c r="BX356" s="47"/>
      <c r="BY356" s="47"/>
      <c r="BZ356" s="47"/>
    </row>
    <row r="357" spans="1:78" ht="21" customHeight="1" x14ac:dyDescent="0.2">
      <c r="A357" s="88"/>
      <c r="B357" s="88"/>
      <c r="C357" s="88"/>
      <c r="D357" s="88"/>
      <c r="E357" s="88"/>
      <c r="F357" s="88"/>
      <c r="G357" s="191" t="s">
        <v>126</v>
      </c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  <c r="AA357" s="191"/>
      <c r="AB357" s="191"/>
      <c r="AC357" s="191"/>
      <c r="AD357" s="191"/>
      <c r="AE357" s="191"/>
      <c r="AF357" s="191"/>
      <c r="AG357" s="191"/>
      <c r="AH357" s="191"/>
      <c r="AI357" s="191"/>
      <c r="AJ357" s="191"/>
      <c r="AK357" s="191"/>
      <c r="AL357" s="191"/>
      <c r="AM357" s="191"/>
      <c r="AN357" s="191"/>
      <c r="AO357" s="191"/>
      <c r="AP357" s="191"/>
      <c r="AQ357" s="191"/>
      <c r="AR357" s="191"/>
      <c r="AS357" s="191"/>
      <c r="AT357" s="191"/>
      <c r="AU357" s="191"/>
      <c r="AV357" s="191"/>
      <c r="AW357" s="191"/>
      <c r="AX357" s="191"/>
      <c r="AY357" s="191"/>
      <c r="AZ357" s="191"/>
      <c r="BA357" s="191"/>
      <c r="BB357" s="191"/>
      <c r="BC357" s="191"/>
      <c r="BD357" s="191"/>
      <c r="BE357" s="133"/>
      <c r="BF357" s="133"/>
      <c r="BG357" s="133"/>
      <c r="BH357" s="133"/>
      <c r="BI357" s="133"/>
      <c r="BJ357" s="133"/>
      <c r="BK357" s="133"/>
      <c r="BL357" s="133"/>
      <c r="BT357" s="47"/>
      <c r="BU357" s="47"/>
      <c r="BV357" s="47"/>
      <c r="BW357" s="47"/>
      <c r="BX357" s="47"/>
      <c r="BY357" s="47"/>
      <c r="BZ357" s="47"/>
    </row>
    <row r="358" spans="1:78" ht="17.25" customHeight="1" x14ac:dyDescent="0.2">
      <c r="A358" s="88"/>
      <c r="B358" s="88"/>
      <c r="C358" s="88"/>
      <c r="D358" s="88"/>
      <c r="E358" s="88"/>
      <c r="F358" s="88"/>
      <c r="G358" s="138" t="s">
        <v>48</v>
      </c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92"/>
      <c r="AP358" s="92"/>
      <c r="AQ358" s="92"/>
      <c r="AR358" s="92"/>
      <c r="AS358" s="92"/>
      <c r="AT358" s="92"/>
      <c r="AU358" s="92"/>
      <c r="AV358" s="92"/>
      <c r="AW358" s="137"/>
      <c r="AX358" s="137"/>
      <c r="AY358" s="137"/>
      <c r="AZ358" s="137"/>
      <c r="BA358" s="137"/>
      <c r="BB358" s="137"/>
      <c r="BC358" s="137"/>
      <c r="BD358" s="137"/>
      <c r="BE358" s="133"/>
      <c r="BF358" s="133"/>
      <c r="BG358" s="133"/>
      <c r="BH358" s="133"/>
      <c r="BI358" s="133"/>
      <c r="BJ358" s="133"/>
      <c r="BK358" s="133"/>
      <c r="BL358" s="133"/>
      <c r="BT358" s="47"/>
      <c r="BU358" s="47"/>
      <c r="BV358" s="47"/>
      <c r="BW358" s="47"/>
      <c r="BX358" s="47"/>
      <c r="BY358" s="47"/>
      <c r="BZ358" s="47"/>
    </row>
    <row r="359" spans="1:78" ht="20.25" customHeight="1" x14ac:dyDescent="0.2">
      <c r="A359" s="88"/>
      <c r="B359" s="88"/>
      <c r="C359" s="88"/>
      <c r="D359" s="88"/>
      <c r="E359" s="88"/>
      <c r="F359" s="88"/>
      <c r="G359" s="105" t="s">
        <v>97</v>
      </c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84" t="s">
        <v>104</v>
      </c>
      <c r="AA359" s="84"/>
      <c r="AB359" s="84"/>
      <c r="AC359" s="84"/>
      <c r="AD359" s="84"/>
      <c r="AE359" s="84" t="s">
        <v>66</v>
      </c>
      <c r="AF359" s="84"/>
      <c r="AG359" s="84"/>
      <c r="AH359" s="84"/>
      <c r="AI359" s="84"/>
      <c r="AJ359" s="84"/>
      <c r="AK359" s="84"/>
      <c r="AL359" s="84"/>
      <c r="AM359" s="84"/>
      <c r="AN359" s="84"/>
      <c r="AO359" s="92"/>
      <c r="AP359" s="92"/>
      <c r="AQ359" s="92"/>
      <c r="AR359" s="92"/>
      <c r="AS359" s="92"/>
      <c r="AT359" s="92"/>
      <c r="AU359" s="92"/>
      <c r="AV359" s="92"/>
      <c r="AW359" s="137">
        <f>AS174+AS175+AS176</f>
        <v>3256678</v>
      </c>
      <c r="AX359" s="137"/>
      <c r="AY359" s="137"/>
      <c r="AZ359" s="137"/>
      <c r="BA359" s="137"/>
      <c r="BB359" s="137"/>
      <c r="BC359" s="137"/>
      <c r="BD359" s="137"/>
      <c r="BE359" s="92">
        <f>AW359</f>
        <v>3256678</v>
      </c>
      <c r="BF359" s="92"/>
      <c r="BG359" s="92"/>
      <c r="BH359" s="92"/>
      <c r="BI359" s="92"/>
      <c r="BJ359" s="92"/>
      <c r="BK359" s="92"/>
      <c r="BL359" s="92"/>
      <c r="BT359" s="47"/>
      <c r="BU359" s="47"/>
      <c r="BV359" s="47"/>
      <c r="BW359" s="47"/>
      <c r="BX359" s="47"/>
      <c r="BY359" s="47"/>
      <c r="BZ359" s="47"/>
    </row>
    <row r="360" spans="1:78" ht="18" customHeight="1" x14ac:dyDescent="0.2">
      <c r="A360" s="88"/>
      <c r="B360" s="88"/>
      <c r="C360" s="88"/>
      <c r="D360" s="88"/>
      <c r="E360" s="88"/>
      <c r="F360" s="88"/>
      <c r="G360" s="143" t="s">
        <v>101</v>
      </c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  <c r="AM360" s="84"/>
      <c r="AN360" s="84"/>
      <c r="AO360" s="92"/>
      <c r="AP360" s="92"/>
      <c r="AQ360" s="92"/>
      <c r="AR360" s="92"/>
      <c r="AS360" s="92"/>
      <c r="AT360" s="92"/>
      <c r="AU360" s="92"/>
      <c r="AV360" s="92"/>
      <c r="AW360" s="137"/>
      <c r="AX360" s="137"/>
      <c r="AY360" s="137"/>
      <c r="AZ360" s="137"/>
      <c r="BA360" s="137"/>
      <c r="BB360" s="137"/>
      <c r="BC360" s="137"/>
      <c r="BD360" s="137"/>
      <c r="BE360" s="133"/>
      <c r="BF360" s="133"/>
      <c r="BG360" s="133"/>
      <c r="BH360" s="133"/>
      <c r="BI360" s="133"/>
      <c r="BJ360" s="133"/>
      <c r="BK360" s="133"/>
      <c r="BL360" s="133"/>
      <c r="BT360" s="47"/>
      <c r="BU360" s="47"/>
      <c r="BV360" s="47"/>
      <c r="BW360" s="47"/>
      <c r="BX360" s="47"/>
      <c r="BY360" s="47"/>
      <c r="BZ360" s="47"/>
    </row>
    <row r="361" spans="1:78" ht="32.25" customHeight="1" x14ac:dyDescent="0.2">
      <c r="A361" s="88"/>
      <c r="B361" s="88"/>
      <c r="C361" s="88"/>
      <c r="D361" s="88"/>
      <c r="E361" s="88"/>
      <c r="F361" s="88"/>
      <c r="G361" s="148" t="s">
        <v>98</v>
      </c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84" t="s">
        <v>67</v>
      </c>
      <c r="AA361" s="84"/>
      <c r="AB361" s="84"/>
      <c r="AC361" s="84"/>
      <c r="AD361" s="84"/>
      <c r="AE361" s="84" t="s">
        <v>121</v>
      </c>
      <c r="AF361" s="84"/>
      <c r="AG361" s="84"/>
      <c r="AH361" s="84"/>
      <c r="AI361" s="84"/>
      <c r="AJ361" s="84"/>
      <c r="AK361" s="84"/>
      <c r="AL361" s="84"/>
      <c r="AM361" s="84"/>
      <c r="AN361" s="84"/>
      <c r="AO361" s="92"/>
      <c r="AP361" s="92"/>
      <c r="AQ361" s="92"/>
      <c r="AR361" s="92"/>
      <c r="AS361" s="92"/>
      <c r="AT361" s="92"/>
      <c r="AU361" s="92"/>
      <c r="AV361" s="92"/>
      <c r="AW361" s="149">
        <v>3</v>
      </c>
      <c r="AX361" s="149"/>
      <c r="AY361" s="149"/>
      <c r="AZ361" s="149"/>
      <c r="BA361" s="149"/>
      <c r="BB361" s="149"/>
      <c r="BC361" s="149"/>
      <c r="BD361" s="149"/>
      <c r="BE361" s="106">
        <f>AW361</f>
        <v>3</v>
      </c>
      <c r="BF361" s="106"/>
      <c r="BG361" s="106"/>
      <c r="BH361" s="106"/>
      <c r="BI361" s="106"/>
      <c r="BJ361" s="106"/>
      <c r="BK361" s="106"/>
      <c r="BL361" s="106"/>
      <c r="BT361" s="47"/>
      <c r="BU361" s="47"/>
      <c r="BV361" s="47"/>
      <c r="BW361" s="47"/>
      <c r="BX361" s="47"/>
      <c r="BY361" s="47"/>
      <c r="BZ361" s="47"/>
    </row>
    <row r="362" spans="1:78" ht="20.25" customHeight="1" x14ac:dyDescent="0.2">
      <c r="A362" s="78"/>
      <c r="B362" s="79"/>
      <c r="C362" s="79"/>
      <c r="D362" s="79"/>
      <c r="E362" s="79"/>
      <c r="F362" s="80"/>
      <c r="G362" s="143" t="s">
        <v>64</v>
      </c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84"/>
      <c r="AA362" s="84"/>
      <c r="AB362" s="84"/>
      <c r="AC362" s="84"/>
      <c r="AD362" s="84"/>
      <c r="AE362" s="85"/>
      <c r="AF362" s="86"/>
      <c r="AG362" s="86"/>
      <c r="AH362" s="86"/>
      <c r="AI362" s="86"/>
      <c r="AJ362" s="86"/>
      <c r="AK362" s="86"/>
      <c r="AL362" s="86"/>
      <c r="AM362" s="86"/>
      <c r="AN362" s="87"/>
      <c r="AO362" s="92"/>
      <c r="AP362" s="92"/>
      <c r="AQ362" s="92"/>
      <c r="AR362" s="92"/>
      <c r="AS362" s="92"/>
      <c r="AT362" s="92"/>
      <c r="AU362" s="92"/>
      <c r="AV362" s="92"/>
      <c r="AW362" s="137"/>
      <c r="AX362" s="137"/>
      <c r="AY362" s="137"/>
      <c r="AZ362" s="137"/>
      <c r="BA362" s="137"/>
      <c r="BB362" s="137"/>
      <c r="BC362" s="137"/>
      <c r="BD362" s="137"/>
      <c r="BE362" s="133"/>
      <c r="BF362" s="133"/>
      <c r="BG362" s="133"/>
      <c r="BH362" s="133"/>
      <c r="BI362" s="133"/>
      <c r="BJ362" s="133"/>
      <c r="BK362" s="133"/>
      <c r="BL362" s="133"/>
      <c r="BT362" s="47"/>
      <c r="BU362" s="47"/>
      <c r="BV362" s="47"/>
      <c r="BW362" s="47"/>
      <c r="BX362" s="47"/>
      <c r="BY362" s="47"/>
      <c r="BZ362" s="47"/>
    </row>
    <row r="363" spans="1:78" ht="33.75" customHeight="1" x14ac:dyDescent="0.2">
      <c r="A363" s="78"/>
      <c r="B363" s="79"/>
      <c r="C363" s="79"/>
      <c r="D363" s="79"/>
      <c r="E363" s="79"/>
      <c r="F363" s="80"/>
      <c r="G363" s="148" t="s">
        <v>112</v>
      </c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84" t="s">
        <v>104</v>
      </c>
      <c r="AA363" s="84"/>
      <c r="AB363" s="84"/>
      <c r="AC363" s="84"/>
      <c r="AD363" s="84"/>
      <c r="AE363" s="85" t="s">
        <v>61</v>
      </c>
      <c r="AF363" s="86"/>
      <c r="AG363" s="86"/>
      <c r="AH363" s="86"/>
      <c r="AI363" s="86"/>
      <c r="AJ363" s="86"/>
      <c r="AK363" s="86"/>
      <c r="AL363" s="86"/>
      <c r="AM363" s="86"/>
      <c r="AN363" s="87"/>
      <c r="AO363" s="92"/>
      <c r="AP363" s="92"/>
      <c r="AQ363" s="92"/>
      <c r="AR363" s="92"/>
      <c r="AS363" s="92"/>
      <c r="AT363" s="92"/>
      <c r="AU363" s="92"/>
      <c r="AV363" s="92"/>
      <c r="AW363" s="137">
        <f>AW359/AW361</f>
        <v>1085559.3333333333</v>
      </c>
      <c r="AX363" s="137"/>
      <c r="AY363" s="137"/>
      <c r="AZ363" s="137"/>
      <c r="BA363" s="137"/>
      <c r="BB363" s="137"/>
      <c r="BC363" s="137"/>
      <c r="BD363" s="137"/>
      <c r="BE363" s="92">
        <f>AW363</f>
        <v>1085559.3333333333</v>
      </c>
      <c r="BF363" s="92"/>
      <c r="BG363" s="92"/>
      <c r="BH363" s="92"/>
      <c r="BI363" s="92"/>
      <c r="BJ363" s="92"/>
      <c r="BK363" s="92"/>
      <c r="BL363" s="92"/>
      <c r="BT363" s="47"/>
      <c r="BU363" s="47"/>
      <c r="BV363" s="47"/>
      <c r="BW363" s="47"/>
      <c r="BX363" s="47"/>
      <c r="BY363" s="47"/>
      <c r="BZ363" s="47"/>
    </row>
    <row r="364" spans="1:78" ht="20.25" customHeight="1" x14ac:dyDescent="0.2">
      <c r="A364" s="78"/>
      <c r="B364" s="79"/>
      <c r="C364" s="79"/>
      <c r="D364" s="79"/>
      <c r="E364" s="79"/>
      <c r="F364" s="80"/>
      <c r="G364" s="138" t="s">
        <v>50</v>
      </c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9"/>
      <c r="AA364" s="139"/>
      <c r="AB364" s="139"/>
      <c r="AC364" s="139"/>
      <c r="AD364" s="139"/>
      <c r="AE364" s="85"/>
      <c r="AF364" s="86"/>
      <c r="AG364" s="86"/>
      <c r="AH364" s="86"/>
      <c r="AI364" s="86"/>
      <c r="AJ364" s="86"/>
      <c r="AK364" s="86"/>
      <c r="AL364" s="86"/>
      <c r="AM364" s="86"/>
      <c r="AN364" s="87"/>
      <c r="AO364" s="90"/>
      <c r="AP364" s="90"/>
      <c r="AQ364" s="90"/>
      <c r="AR364" s="90"/>
      <c r="AS364" s="90"/>
      <c r="AT364" s="90"/>
      <c r="AU364" s="90"/>
      <c r="AV364" s="90"/>
      <c r="AW364" s="137"/>
      <c r="AX364" s="137"/>
      <c r="AY364" s="137"/>
      <c r="AZ364" s="137"/>
      <c r="BA364" s="137"/>
      <c r="BB364" s="137"/>
      <c r="BC364" s="137"/>
      <c r="BD364" s="137"/>
      <c r="BE364" s="133"/>
      <c r="BF364" s="133"/>
      <c r="BG364" s="133"/>
      <c r="BH364" s="133"/>
      <c r="BI364" s="133"/>
      <c r="BJ364" s="133"/>
      <c r="BK364" s="133"/>
      <c r="BL364" s="133"/>
      <c r="BT364" s="47"/>
      <c r="BU364" s="47"/>
      <c r="BV364" s="47"/>
      <c r="BW364" s="47"/>
      <c r="BX364" s="47"/>
      <c r="BY364" s="47"/>
      <c r="BZ364" s="47"/>
    </row>
    <row r="365" spans="1:78" ht="39" customHeight="1" x14ac:dyDescent="0.2">
      <c r="A365" s="78"/>
      <c r="B365" s="79"/>
      <c r="C365" s="79"/>
      <c r="D365" s="79"/>
      <c r="E365" s="79"/>
      <c r="F365" s="80"/>
      <c r="G365" s="105" t="s">
        <v>60</v>
      </c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87" t="s">
        <v>141</v>
      </c>
      <c r="AA365" s="84"/>
      <c r="AB365" s="84"/>
      <c r="AC365" s="84"/>
      <c r="AD365" s="84"/>
      <c r="AE365" s="85" t="s">
        <v>61</v>
      </c>
      <c r="AF365" s="86"/>
      <c r="AG365" s="86"/>
      <c r="AH365" s="86"/>
      <c r="AI365" s="86"/>
      <c r="AJ365" s="86"/>
      <c r="AK365" s="86"/>
      <c r="AL365" s="86"/>
      <c r="AM365" s="86"/>
      <c r="AN365" s="87"/>
      <c r="AO365" s="92"/>
      <c r="AP365" s="92"/>
      <c r="AQ365" s="92"/>
      <c r="AR365" s="92"/>
      <c r="AS365" s="92"/>
      <c r="AT365" s="92"/>
      <c r="AU365" s="92"/>
      <c r="AV365" s="92"/>
      <c r="AW365" s="134">
        <f>AW359/1356719.16</f>
        <v>2.4004068756573029</v>
      </c>
      <c r="AX365" s="135"/>
      <c r="AY365" s="135">
        <f>AY359/1356719.16</f>
        <v>0</v>
      </c>
      <c r="AZ365" s="135"/>
      <c r="BA365" s="135">
        <f>BA359/1356719.16</f>
        <v>0</v>
      </c>
      <c r="BB365" s="135"/>
      <c r="BC365" s="135">
        <f>BC359/1356719.16</f>
        <v>0</v>
      </c>
      <c r="BD365" s="136"/>
      <c r="BE365" s="133">
        <f>AW365</f>
        <v>2.4004068756573029</v>
      </c>
      <c r="BF365" s="133"/>
      <c r="BG365" s="133"/>
      <c r="BH365" s="133"/>
      <c r="BI365" s="133"/>
      <c r="BJ365" s="133"/>
      <c r="BK365" s="133"/>
      <c r="BL365" s="133"/>
      <c r="BT365" s="47"/>
      <c r="BU365" s="47"/>
      <c r="BV365" s="47"/>
      <c r="BW365" s="47"/>
      <c r="BX365" s="47"/>
      <c r="BY365" s="47"/>
      <c r="BZ365" s="47"/>
    </row>
    <row r="366" spans="1:78" ht="14.25" customHeight="1" x14ac:dyDescent="0.2">
      <c r="A366" s="28"/>
      <c r="B366" s="28"/>
      <c r="C366" s="28"/>
      <c r="D366" s="28"/>
      <c r="E366" s="28"/>
      <c r="F366" s="28"/>
      <c r="G366" s="46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31"/>
      <c r="AA366" s="31"/>
      <c r="AB366" s="31"/>
      <c r="AC366" s="31"/>
      <c r="AD366" s="31"/>
      <c r="AE366" s="31"/>
      <c r="AF366" s="28"/>
      <c r="AG366" s="28"/>
      <c r="AH366" s="28"/>
      <c r="AI366" s="28"/>
      <c r="AJ366" s="28"/>
      <c r="AK366" s="28"/>
      <c r="AL366" s="28"/>
      <c r="AM366" s="28"/>
      <c r="AN366" s="28"/>
      <c r="AO366" s="32"/>
      <c r="AP366" s="32"/>
      <c r="AQ366" s="32"/>
      <c r="AR366" s="32"/>
      <c r="AS366" s="32"/>
      <c r="AT366" s="32"/>
      <c r="AU366" s="32"/>
      <c r="AV366" s="32"/>
      <c r="AW366" s="51"/>
      <c r="AX366" s="51"/>
      <c r="AY366" s="51"/>
      <c r="AZ366" s="51"/>
      <c r="BA366" s="51"/>
      <c r="BB366" s="51"/>
      <c r="BC366" s="51"/>
      <c r="BD366" s="51"/>
      <c r="BE366" s="32"/>
      <c r="BF366" s="32"/>
      <c r="BG366" s="32"/>
      <c r="BH366" s="32"/>
      <c r="BI366" s="32"/>
      <c r="BJ366" s="32"/>
      <c r="BK366" s="32"/>
      <c r="BL366" s="32"/>
      <c r="BT366" s="47"/>
      <c r="BU366" s="47"/>
      <c r="BV366" s="47"/>
      <c r="BW366" s="47"/>
      <c r="BX366" s="47"/>
      <c r="BY366" s="47"/>
      <c r="BZ366" s="47"/>
    </row>
    <row r="367" spans="1:78" ht="37.5" customHeight="1" x14ac:dyDescent="0.2">
      <c r="A367" s="78" t="s">
        <v>14</v>
      </c>
      <c r="B367" s="79"/>
      <c r="C367" s="79"/>
      <c r="D367" s="79"/>
      <c r="E367" s="79"/>
      <c r="F367" s="80"/>
      <c r="G367" s="88" t="s">
        <v>27</v>
      </c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 t="s">
        <v>2</v>
      </c>
      <c r="AA367" s="88"/>
      <c r="AB367" s="88"/>
      <c r="AC367" s="88"/>
      <c r="AD367" s="88"/>
      <c r="AE367" s="78" t="s">
        <v>1</v>
      </c>
      <c r="AF367" s="79"/>
      <c r="AG367" s="79"/>
      <c r="AH367" s="79"/>
      <c r="AI367" s="79"/>
      <c r="AJ367" s="79"/>
      <c r="AK367" s="79"/>
      <c r="AL367" s="79"/>
      <c r="AM367" s="79"/>
      <c r="AN367" s="80"/>
      <c r="AO367" s="88" t="s">
        <v>15</v>
      </c>
      <c r="AP367" s="88"/>
      <c r="AQ367" s="88"/>
      <c r="AR367" s="88"/>
      <c r="AS367" s="88"/>
      <c r="AT367" s="88"/>
      <c r="AU367" s="88"/>
      <c r="AV367" s="88"/>
      <c r="AW367" s="88" t="s">
        <v>16</v>
      </c>
      <c r="AX367" s="88"/>
      <c r="AY367" s="88"/>
      <c r="AZ367" s="88"/>
      <c r="BA367" s="88"/>
      <c r="BB367" s="88"/>
      <c r="BC367" s="88"/>
      <c r="BD367" s="88"/>
      <c r="BE367" s="88" t="s">
        <v>13</v>
      </c>
      <c r="BF367" s="88"/>
      <c r="BG367" s="88"/>
      <c r="BH367" s="88"/>
      <c r="BI367" s="88"/>
      <c r="BJ367" s="88"/>
      <c r="BK367" s="88"/>
      <c r="BL367" s="88"/>
      <c r="BT367" s="47"/>
      <c r="BU367" s="47"/>
      <c r="BV367" s="47"/>
      <c r="BW367" s="47"/>
      <c r="BX367" s="47"/>
      <c r="BY367" s="47"/>
      <c r="BZ367" s="47"/>
    </row>
    <row r="368" spans="1:78" ht="18.95" customHeight="1" x14ac:dyDescent="0.2">
      <c r="A368" s="88">
        <v>1</v>
      </c>
      <c r="B368" s="88"/>
      <c r="C368" s="88"/>
      <c r="D368" s="88"/>
      <c r="E368" s="88"/>
      <c r="F368" s="88"/>
      <c r="G368" s="88">
        <v>2</v>
      </c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>
        <v>3</v>
      </c>
      <c r="AA368" s="88"/>
      <c r="AB368" s="88"/>
      <c r="AC368" s="88"/>
      <c r="AD368" s="88"/>
      <c r="AE368" s="88">
        <v>4</v>
      </c>
      <c r="AF368" s="88"/>
      <c r="AG368" s="88"/>
      <c r="AH368" s="88"/>
      <c r="AI368" s="88"/>
      <c r="AJ368" s="88"/>
      <c r="AK368" s="88"/>
      <c r="AL368" s="88"/>
      <c r="AM368" s="88"/>
      <c r="AN368" s="88"/>
      <c r="AO368" s="88">
        <v>5</v>
      </c>
      <c r="AP368" s="88"/>
      <c r="AQ368" s="88"/>
      <c r="AR368" s="88"/>
      <c r="AS368" s="88"/>
      <c r="AT368" s="88"/>
      <c r="AU368" s="88"/>
      <c r="AV368" s="88"/>
      <c r="AW368" s="88">
        <v>6</v>
      </c>
      <c r="AX368" s="88"/>
      <c r="AY368" s="88"/>
      <c r="AZ368" s="88"/>
      <c r="BA368" s="88"/>
      <c r="BB368" s="88"/>
      <c r="BC368" s="88"/>
      <c r="BD368" s="88"/>
      <c r="BE368" s="88">
        <v>7</v>
      </c>
      <c r="BF368" s="88"/>
      <c r="BG368" s="88"/>
      <c r="BH368" s="88"/>
      <c r="BI368" s="88"/>
      <c r="BJ368" s="88"/>
      <c r="BK368" s="88"/>
      <c r="BL368" s="88"/>
      <c r="BT368" s="47"/>
      <c r="BU368" s="47"/>
      <c r="BV368" s="47"/>
      <c r="BW368" s="47"/>
      <c r="BX368" s="47"/>
      <c r="BY368" s="47"/>
      <c r="BZ368" s="47"/>
    </row>
    <row r="369" spans="1:78" ht="21" customHeight="1" x14ac:dyDescent="0.2">
      <c r="A369" s="88"/>
      <c r="B369" s="88"/>
      <c r="C369" s="88"/>
      <c r="D369" s="88"/>
      <c r="E369" s="88"/>
      <c r="F369" s="88"/>
      <c r="G369" s="191" t="s">
        <v>109</v>
      </c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1"/>
      <c r="AT369" s="191"/>
      <c r="AU369" s="191"/>
      <c r="AV369" s="191"/>
      <c r="AW369" s="191"/>
      <c r="AX369" s="191"/>
      <c r="AY369" s="191"/>
      <c r="AZ369" s="191"/>
      <c r="BA369" s="191"/>
      <c r="BB369" s="191"/>
      <c r="BC369" s="191"/>
      <c r="BD369" s="191"/>
      <c r="BE369" s="133"/>
      <c r="BF369" s="133"/>
      <c r="BG369" s="133"/>
      <c r="BH369" s="133"/>
      <c r="BI369" s="133"/>
      <c r="BJ369" s="133"/>
      <c r="BK369" s="133"/>
      <c r="BL369" s="133"/>
      <c r="BT369" s="47"/>
      <c r="BU369" s="47"/>
      <c r="BV369" s="47"/>
      <c r="BW369" s="47"/>
      <c r="BX369" s="47"/>
      <c r="BY369" s="47"/>
      <c r="BZ369" s="47"/>
    </row>
    <row r="370" spans="1:78" ht="21" customHeight="1" x14ac:dyDescent="0.2">
      <c r="A370" s="88"/>
      <c r="B370" s="88"/>
      <c r="C370" s="88"/>
      <c r="D370" s="88"/>
      <c r="E370" s="88"/>
      <c r="F370" s="88"/>
      <c r="G370" s="138" t="s">
        <v>48</v>
      </c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92"/>
      <c r="AP370" s="92"/>
      <c r="AQ370" s="92"/>
      <c r="AR370" s="92"/>
      <c r="AS370" s="92"/>
      <c r="AT370" s="92"/>
      <c r="AU370" s="92"/>
      <c r="AV370" s="92"/>
      <c r="AW370" s="137"/>
      <c r="AX370" s="137"/>
      <c r="AY370" s="137"/>
      <c r="AZ370" s="137"/>
      <c r="BA370" s="137"/>
      <c r="BB370" s="137"/>
      <c r="BC370" s="137"/>
      <c r="BD370" s="137"/>
      <c r="BE370" s="133"/>
      <c r="BF370" s="133"/>
      <c r="BG370" s="133"/>
      <c r="BH370" s="133"/>
      <c r="BI370" s="133"/>
      <c r="BJ370" s="133"/>
      <c r="BK370" s="133"/>
      <c r="BL370" s="133"/>
      <c r="BT370" s="47"/>
      <c r="BU370" s="47"/>
      <c r="BV370" s="47"/>
      <c r="BW370" s="47"/>
      <c r="BX370" s="47"/>
      <c r="BY370" s="47"/>
      <c r="BZ370" s="47"/>
    </row>
    <row r="371" spans="1:78" ht="21" customHeight="1" x14ac:dyDescent="0.2">
      <c r="A371" s="88"/>
      <c r="B371" s="88"/>
      <c r="C371" s="88"/>
      <c r="D371" s="88"/>
      <c r="E371" s="88"/>
      <c r="F371" s="88"/>
      <c r="G371" s="190" t="s">
        <v>82</v>
      </c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84" t="s">
        <v>49</v>
      </c>
      <c r="AA371" s="84"/>
      <c r="AB371" s="84"/>
      <c r="AC371" s="84"/>
      <c r="AD371" s="84"/>
      <c r="AE371" s="84" t="s">
        <v>66</v>
      </c>
      <c r="AF371" s="84"/>
      <c r="AG371" s="84"/>
      <c r="AH371" s="84"/>
      <c r="AI371" s="84"/>
      <c r="AJ371" s="84"/>
      <c r="AK371" s="84"/>
      <c r="AL371" s="84"/>
      <c r="AM371" s="84"/>
      <c r="AN371" s="84"/>
      <c r="AO371" s="92"/>
      <c r="AP371" s="92"/>
      <c r="AQ371" s="92"/>
      <c r="AR371" s="92"/>
      <c r="AS371" s="92"/>
      <c r="AT371" s="92"/>
      <c r="AU371" s="92"/>
      <c r="AV371" s="92"/>
      <c r="AW371" s="137">
        <f>SUM(AW372:BD375)</f>
        <v>25157745</v>
      </c>
      <c r="AX371" s="137"/>
      <c r="AY371" s="137"/>
      <c r="AZ371" s="137"/>
      <c r="BA371" s="137"/>
      <c r="BB371" s="137"/>
      <c r="BC371" s="137"/>
      <c r="BD371" s="137"/>
      <c r="BE371" s="92">
        <f>AW371</f>
        <v>25157745</v>
      </c>
      <c r="BF371" s="92"/>
      <c r="BG371" s="92"/>
      <c r="BH371" s="92"/>
      <c r="BI371" s="92"/>
      <c r="BJ371" s="92"/>
      <c r="BK371" s="92"/>
      <c r="BL371" s="92"/>
      <c r="BT371" s="47"/>
      <c r="BU371" s="47"/>
      <c r="BV371" s="47"/>
      <c r="BW371" s="47"/>
      <c r="BX371" s="47"/>
      <c r="BY371" s="47"/>
      <c r="BZ371" s="47"/>
    </row>
    <row r="372" spans="1:78" ht="33.75" customHeight="1" x14ac:dyDescent="0.2">
      <c r="A372" s="88"/>
      <c r="B372" s="88"/>
      <c r="C372" s="88"/>
      <c r="D372" s="88"/>
      <c r="E372" s="88"/>
      <c r="F372" s="88"/>
      <c r="G372" s="105" t="s">
        <v>122</v>
      </c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84" t="s">
        <v>49</v>
      </c>
      <c r="AA372" s="84"/>
      <c r="AB372" s="84"/>
      <c r="AC372" s="84"/>
      <c r="AD372" s="84"/>
      <c r="AE372" s="84" t="s">
        <v>66</v>
      </c>
      <c r="AF372" s="84"/>
      <c r="AG372" s="84"/>
      <c r="AH372" s="84"/>
      <c r="AI372" s="84"/>
      <c r="AJ372" s="84"/>
      <c r="AK372" s="84"/>
      <c r="AL372" s="84"/>
      <c r="AM372" s="84"/>
      <c r="AN372" s="84"/>
      <c r="AO372" s="92"/>
      <c r="AP372" s="92"/>
      <c r="AQ372" s="92"/>
      <c r="AR372" s="92"/>
      <c r="AS372" s="92"/>
      <c r="AT372" s="92"/>
      <c r="AU372" s="92"/>
      <c r="AV372" s="92"/>
      <c r="AW372" s="137">
        <f>AS179</f>
        <v>4500000</v>
      </c>
      <c r="AX372" s="137"/>
      <c r="AY372" s="137"/>
      <c r="AZ372" s="137"/>
      <c r="BA372" s="137"/>
      <c r="BB372" s="137"/>
      <c r="BC372" s="137"/>
      <c r="BD372" s="137"/>
      <c r="BE372" s="92">
        <f>AW372</f>
        <v>4500000</v>
      </c>
      <c r="BF372" s="92"/>
      <c r="BG372" s="92"/>
      <c r="BH372" s="92"/>
      <c r="BI372" s="92"/>
      <c r="BJ372" s="92"/>
      <c r="BK372" s="92"/>
      <c r="BL372" s="92"/>
      <c r="BT372" s="47"/>
      <c r="BU372" s="47"/>
      <c r="BV372" s="47"/>
      <c r="BW372" s="47"/>
      <c r="BX372" s="47"/>
      <c r="BY372" s="47"/>
      <c r="BZ372" s="47"/>
    </row>
    <row r="373" spans="1:78" ht="18.95" customHeight="1" x14ac:dyDescent="0.2">
      <c r="A373" s="88"/>
      <c r="B373" s="88"/>
      <c r="C373" s="88"/>
      <c r="D373" s="88"/>
      <c r="E373" s="88"/>
      <c r="F373" s="88"/>
      <c r="G373" s="105" t="s">
        <v>97</v>
      </c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84" t="s">
        <v>104</v>
      </c>
      <c r="AA373" s="84"/>
      <c r="AB373" s="84"/>
      <c r="AC373" s="84"/>
      <c r="AD373" s="84"/>
      <c r="AE373" s="84" t="s">
        <v>66</v>
      </c>
      <c r="AF373" s="84"/>
      <c r="AG373" s="84"/>
      <c r="AH373" s="84"/>
      <c r="AI373" s="84"/>
      <c r="AJ373" s="84"/>
      <c r="AK373" s="84"/>
      <c r="AL373" s="84"/>
      <c r="AM373" s="84"/>
      <c r="AN373" s="84"/>
      <c r="AO373" s="92"/>
      <c r="AP373" s="92"/>
      <c r="AQ373" s="92"/>
      <c r="AR373" s="92"/>
      <c r="AS373" s="92"/>
      <c r="AT373" s="92"/>
      <c r="AU373" s="92"/>
      <c r="AV373" s="92"/>
      <c r="AW373" s="137">
        <f>AS180+AS181</f>
        <v>20169000</v>
      </c>
      <c r="AX373" s="137"/>
      <c r="AY373" s="137"/>
      <c r="AZ373" s="137"/>
      <c r="BA373" s="137"/>
      <c r="BB373" s="137"/>
      <c r="BC373" s="137"/>
      <c r="BD373" s="137"/>
      <c r="BE373" s="92">
        <f>AW373</f>
        <v>20169000</v>
      </c>
      <c r="BF373" s="92"/>
      <c r="BG373" s="92"/>
      <c r="BH373" s="92"/>
      <c r="BI373" s="92"/>
      <c r="BJ373" s="92"/>
      <c r="BK373" s="92"/>
      <c r="BL373" s="92"/>
      <c r="BT373" s="47"/>
      <c r="BU373" s="47"/>
      <c r="BV373" s="47"/>
      <c r="BW373" s="47"/>
      <c r="BX373" s="47"/>
      <c r="BY373" s="47"/>
      <c r="BZ373" s="47"/>
    </row>
    <row r="374" spans="1:78" ht="33.75" customHeight="1" x14ac:dyDescent="0.2">
      <c r="A374" s="88"/>
      <c r="B374" s="88"/>
      <c r="C374" s="88"/>
      <c r="D374" s="88"/>
      <c r="E374" s="88"/>
      <c r="F374" s="88"/>
      <c r="G374" s="105" t="s">
        <v>155</v>
      </c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84" t="s">
        <v>104</v>
      </c>
      <c r="AA374" s="84"/>
      <c r="AB374" s="84"/>
      <c r="AC374" s="84"/>
      <c r="AD374" s="84"/>
      <c r="AE374" s="84" t="s">
        <v>66</v>
      </c>
      <c r="AF374" s="84"/>
      <c r="AG374" s="84"/>
      <c r="AH374" s="84"/>
      <c r="AI374" s="84"/>
      <c r="AJ374" s="84"/>
      <c r="AK374" s="84"/>
      <c r="AL374" s="84"/>
      <c r="AM374" s="84"/>
      <c r="AN374" s="84"/>
      <c r="AO374" s="92"/>
      <c r="AP374" s="92"/>
      <c r="AQ374" s="92"/>
      <c r="AR374" s="92"/>
      <c r="AS374" s="92"/>
      <c r="AT374" s="92"/>
      <c r="AU374" s="92"/>
      <c r="AV374" s="92"/>
      <c r="AW374" s="137">
        <f>AS182</f>
        <v>96120</v>
      </c>
      <c r="AX374" s="137"/>
      <c r="AY374" s="137"/>
      <c r="AZ374" s="137"/>
      <c r="BA374" s="137"/>
      <c r="BB374" s="137"/>
      <c r="BC374" s="137"/>
      <c r="BD374" s="137"/>
      <c r="BE374" s="92">
        <f>AW374</f>
        <v>96120</v>
      </c>
      <c r="BF374" s="92"/>
      <c r="BG374" s="92"/>
      <c r="BH374" s="92"/>
      <c r="BI374" s="92"/>
      <c r="BJ374" s="92"/>
      <c r="BK374" s="92"/>
      <c r="BL374" s="92"/>
      <c r="BT374" s="47"/>
      <c r="BU374" s="47"/>
      <c r="BV374" s="47"/>
      <c r="BW374" s="47"/>
      <c r="BX374" s="47"/>
      <c r="BY374" s="47"/>
      <c r="BZ374" s="47"/>
    </row>
    <row r="375" spans="1:78" ht="18.75" customHeight="1" x14ac:dyDescent="0.2">
      <c r="A375" s="88"/>
      <c r="B375" s="88"/>
      <c r="C375" s="88"/>
      <c r="D375" s="88"/>
      <c r="E375" s="88"/>
      <c r="F375" s="88"/>
      <c r="G375" s="81" t="s">
        <v>289</v>
      </c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3"/>
      <c r="Z375" s="84" t="s">
        <v>104</v>
      </c>
      <c r="AA375" s="84"/>
      <c r="AB375" s="84"/>
      <c r="AC375" s="84"/>
      <c r="AD375" s="84"/>
      <c r="AE375" s="84" t="s">
        <v>66</v>
      </c>
      <c r="AF375" s="84"/>
      <c r="AG375" s="84"/>
      <c r="AH375" s="84"/>
      <c r="AI375" s="84"/>
      <c r="AJ375" s="84"/>
      <c r="AK375" s="84"/>
      <c r="AL375" s="84"/>
      <c r="AM375" s="84"/>
      <c r="AN375" s="84"/>
      <c r="AO375" s="92"/>
      <c r="AP375" s="92"/>
      <c r="AQ375" s="92"/>
      <c r="AR375" s="92"/>
      <c r="AS375" s="92"/>
      <c r="AT375" s="92"/>
      <c r="AU375" s="92"/>
      <c r="AV375" s="92"/>
      <c r="AW375" s="137">
        <f>AS183</f>
        <v>392625</v>
      </c>
      <c r="AX375" s="137"/>
      <c r="AY375" s="137"/>
      <c r="AZ375" s="137"/>
      <c r="BA375" s="137"/>
      <c r="BB375" s="137"/>
      <c r="BC375" s="137"/>
      <c r="BD375" s="137"/>
      <c r="BE375" s="92">
        <f>AW375</f>
        <v>392625</v>
      </c>
      <c r="BF375" s="92"/>
      <c r="BG375" s="92"/>
      <c r="BH375" s="92"/>
      <c r="BI375" s="92"/>
      <c r="BJ375" s="92"/>
      <c r="BK375" s="92"/>
      <c r="BL375" s="92"/>
      <c r="BT375" s="47"/>
      <c r="BU375" s="47"/>
      <c r="BV375" s="47"/>
      <c r="BW375" s="47"/>
      <c r="BX375" s="47"/>
      <c r="BY375" s="47"/>
      <c r="BZ375" s="47"/>
    </row>
    <row r="376" spans="1:78" ht="18.95" customHeight="1" x14ac:dyDescent="0.2">
      <c r="A376" s="88"/>
      <c r="B376" s="88"/>
      <c r="C376" s="88"/>
      <c r="D376" s="88"/>
      <c r="E376" s="88"/>
      <c r="F376" s="88"/>
      <c r="G376" s="143" t="s">
        <v>101</v>
      </c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92"/>
      <c r="AP376" s="92"/>
      <c r="AQ376" s="92"/>
      <c r="AR376" s="92"/>
      <c r="AS376" s="92"/>
      <c r="AT376" s="92"/>
      <c r="AU376" s="92"/>
      <c r="AV376" s="92"/>
      <c r="AW376" s="137"/>
      <c r="AX376" s="137"/>
      <c r="AY376" s="137"/>
      <c r="AZ376" s="137"/>
      <c r="BA376" s="137"/>
      <c r="BB376" s="137"/>
      <c r="BC376" s="137"/>
      <c r="BD376" s="137"/>
      <c r="BE376" s="133"/>
      <c r="BF376" s="133"/>
      <c r="BG376" s="133"/>
      <c r="BH376" s="133"/>
      <c r="BI376" s="133"/>
      <c r="BJ376" s="133"/>
      <c r="BK376" s="133"/>
      <c r="BL376" s="133"/>
      <c r="BT376" s="47"/>
      <c r="BU376" s="47"/>
      <c r="BV376" s="47"/>
      <c r="BW376" s="47"/>
      <c r="BX376" s="47"/>
      <c r="BY376" s="47"/>
      <c r="BZ376" s="47"/>
    </row>
    <row r="377" spans="1:78" ht="18.95" customHeight="1" x14ac:dyDescent="0.2">
      <c r="A377" s="88"/>
      <c r="B377" s="88"/>
      <c r="C377" s="88"/>
      <c r="D377" s="88"/>
      <c r="E377" s="88"/>
      <c r="F377" s="88"/>
      <c r="G377" s="148" t="s">
        <v>123</v>
      </c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84" t="s">
        <v>67</v>
      </c>
      <c r="AA377" s="84"/>
      <c r="AB377" s="84"/>
      <c r="AC377" s="84"/>
      <c r="AD377" s="84"/>
      <c r="AE377" s="84" t="s">
        <v>71</v>
      </c>
      <c r="AF377" s="84"/>
      <c r="AG377" s="84"/>
      <c r="AH377" s="84"/>
      <c r="AI377" s="84"/>
      <c r="AJ377" s="84"/>
      <c r="AK377" s="84"/>
      <c r="AL377" s="84"/>
      <c r="AM377" s="84"/>
      <c r="AN377" s="84"/>
      <c r="AO377" s="92"/>
      <c r="AP377" s="92"/>
      <c r="AQ377" s="92"/>
      <c r="AR377" s="92"/>
      <c r="AS377" s="92"/>
      <c r="AT377" s="92"/>
      <c r="AU377" s="92"/>
      <c r="AV377" s="92"/>
      <c r="AW377" s="149">
        <v>1</v>
      </c>
      <c r="AX377" s="149"/>
      <c r="AY377" s="149"/>
      <c r="AZ377" s="149"/>
      <c r="BA377" s="149"/>
      <c r="BB377" s="149"/>
      <c r="BC377" s="149"/>
      <c r="BD377" s="149"/>
      <c r="BE377" s="106">
        <f>AW377</f>
        <v>1</v>
      </c>
      <c r="BF377" s="106"/>
      <c r="BG377" s="106"/>
      <c r="BH377" s="106"/>
      <c r="BI377" s="106"/>
      <c r="BJ377" s="106"/>
      <c r="BK377" s="106"/>
      <c r="BL377" s="106"/>
      <c r="BT377" s="47"/>
      <c r="BU377" s="47"/>
      <c r="BV377" s="47"/>
      <c r="BW377" s="47"/>
      <c r="BX377" s="47"/>
      <c r="BY377" s="47"/>
      <c r="BZ377" s="47"/>
    </row>
    <row r="378" spans="1:78" ht="28.5" customHeight="1" x14ac:dyDescent="0.2">
      <c r="A378" s="88"/>
      <c r="B378" s="88"/>
      <c r="C378" s="88"/>
      <c r="D378" s="88"/>
      <c r="E378" s="88"/>
      <c r="F378" s="88"/>
      <c r="G378" s="148" t="s">
        <v>98</v>
      </c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84" t="s">
        <v>67</v>
      </c>
      <c r="AA378" s="84"/>
      <c r="AB378" s="84"/>
      <c r="AC378" s="84"/>
      <c r="AD378" s="84"/>
      <c r="AE378" s="84" t="s">
        <v>87</v>
      </c>
      <c r="AF378" s="84"/>
      <c r="AG378" s="84"/>
      <c r="AH378" s="84"/>
      <c r="AI378" s="84"/>
      <c r="AJ378" s="84"/>
      <c r="AK378" s="84"/>
      <c r="AL378" s="84"/>
      <c r="AM378" s="84"/>
      <c r="AN378" s="84"/>
      <c r="AO378" s="92"/>
      <c r="AP378" s="92"/>
      <c r="AQ378" s="92"/>
      <c r="AR378" s="92"/>
      <c r="AS378" s="92"/>
      <c r="AT378" s="92"/>
      <c r="AU378" s="92"/>
      <c r="AV378" s="92"/>
      <c r="AW378" s="149">
        <f>1+2</f>
        <v>3</v>
      </c>
      <c r="AX378" s="149"/>
      <c r="AY378" s="149"/>
      <c r="AZ378" s="149"/>
      <c r="BA378" s="149"/>
      <c r="BB378" s="149"/>
      <c r="BC378" s="149"/>
      <c r="BD378" s="149"/>
      <c r="BE378" s="106">
        <f>AW378</f>
        <v>3</v>
      </c>
      <c r="BF378" s="106"/>
      <c r="BG378" s="106"/>
      <c r="BH378" s="106"/>
      <c r="BI378" s="106"/>
      <c r="BJ378" s="106"/>
      <c r="BK378" s="106"/>
      <c r="BL378" s="106"/>
      <c r="BT378" s="47"/>
      <c r="BU378" s="47"/>
      <c r="BV378" s="47"/>
      <c r="BW378" s="47"/>
      <c r="BX378" s="47"/>
      <c r="BY378" s="47"/>
      <c r="BZ378" s="47"/>
    </row>
    <row r="379" spans="1:78" ht="19.5" customHeight="1" x14ac:dyDescent="0.2">
      <c r="A379" s="88"/>
      <c r="B379" s="88"/>
      <c r="C379" s="88"/>
      <c r="D379" s="88"/>
      <c r="E379" s="88"/>
      <c r="F379" s="88"/>
      <c r="G379" s="112" t="s">
        <v>290</v>
      </c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4"/>
      <c r="Z379" s="84" t="s">
        <v>67</v>
      </c>
      <c r="AA379" s="84"/>
      <c r="AB379" s="84"/>
      <c r="AC379" s="84"/>
      <c r="AD379" s="84"/>
      <c r="AE379" s="84" t="s">
        <v>87</v>
      </c>
      <c r="AF379" s="84"/>
      <c r="AG379" s="84"/>
      <c r="AH379" s="84"/>
      <c r="AI379" s="84"/>
      <c r="AJ379" s="84"/>
      <c r="AK379" s="84"/>
      <c r="AL379" s="84"/>
      <c r="AM379" s="84"/>
      <c r="AN379" s="84"/>
      <c r="AO379" s="92"/>
      <c r="AP379" s="92"/>
      <c r="AQ379" s="92"/>
      <c r="AR379" s="92"/>
      <c r="AS379" s="92"/>
      <c r="AT379" s="92"/>
      <c r="AU379" s="92"/>
      <c r="AV379" s="92"/>
      <c r="AW379" s="234">
        <v>15</v>
      </c>
      <c r="AX379" s="235"/>
      <c r="AY379" s="235"/>
      <c r="AZ379" s="235"/>
      <c r="BA379" s="235"/>
      <c r="BB379" s="235"/>
      <c r="BC379" s="235"/>
      <c r="BD379" s="236"/>
      <c r="BE379" s="106">
        <f>AW379</f>
        <v>15</v>
      </c>
      <c r="BF379" s="106"/>
      <c r="BG379" s="106"/>
      <c r="BH379" s="106"/>
      <c r="BI379" s="106"/>
      <c r="BJ379" s="106"/>
      <c r="BK379" s="106"/>
      <c r="BL379" s="106"/>
      <c r="BT379" s="47"/>
      <c r="BU379" s="47"/>
      <c r="BV379" s="47"/>
      <c r="BW379" s="47"/>
      <c r="BX379" s="47"/>
      <c r="BY379" s="47"/>
      <c r="BZ379" s="47"/>
    </row>
    <row r="380" spans="1:78" ht="21" customHeight="1" x14ac:dyDescent="0.2">
      <c r="A380" s="88"/>
      <c r="B380" s="88"/>
      <c r="C380" s="88"/>
      <c r="D380" s="88"/>
      <c r="E380" s="88"/>
      <c r="F380" s="88"/>
      <c r="G380" s="143" t="s">
        <v>64</v>
      </c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92"/>
      <c r="AP380" s="92"/>
      <c r="AQ380" s="92"/>
      <c r="AR380" s="92"/>
      <c r="AS380" s="92"/>
      <c r="AT380" s="92"/>
      <c r="AU380" s="92"/>
      <c r="AV380" s="92"/>
      <c r="AW380" s="137"/>
      <c r="AX380" s="137"/>
      <c r="AY380" s="137"/>
      <c r="AZ380" s="137"/>
      <c r="BA380" s="137"/>
      <c r="BB380" s="137"/>
      <c r="BC380" s="137"/>
      <c r="BD380" s="137"/>
      <c r="BE380" s="133"/>
      <c r="BF380" s="133"/>
      <c r="BG380" s="133"/>
      <c r="BH380" s="133"/>
      <c r="BI380" s="133"/>
      <c r="BJ380" s="133"/>
      <c r="BK380" s="133"/>
      <c r="BL380" s="133"/>
      <c r="BT380" s="47"/>
      <c r="BU380" s="47"/>
      <c r="BV380" s="47"/>
      <c r="BW380" s="47"/>
      <c r="BX380" s="47"/>
      <c r="BY380" s="47"/>
      <c r="BZ380" s="47"/>
    </row>
    <row r="381" spans="1:78" ht="21" customHeight="1" x14ac:dyDescent="0.2">
      <c r="A381" s="88"/>
      <c r="B381" s="88"/>
      <c r="C381" s="88"/>
      <c r="D381" s="88"/>
      <c r="E381" s="88"/>
      <c r="F381" s="88"/>
      <c r="G381" s="148" t="s">
        <v>133</v>
      </c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84" t="s">
        <v>49</v>
      </c>
      <c r="AA381" s="84"/>
      <c r="AB381" s="84"/>
      <c r="AC381" s="84"/>
      <c r="AD381" s="84"/>
      <c r="AE381" s="84" t="s">
        <v>61</v>
      </c>
      <c r="AF381" s="84"/>
      <c r="AG381" s="84"/>
      <c r="AH381" s="84"/>
      <c r="AI381" s="84"/>
      <c r="AJ381" s="84"/>
      <c r="AK381" s="84"/>
      <c r="AL381" s="84"/>
      <c r="AM381" s="84"/>
      <c r="AN381" s="84"/>
      <c r="AO381" s="92"/>
      <c r="AP381" s="92"/>
      <c r="AQ381" s="92"/>
      <c r="AR381" s="92"/>
      <c r="AS381" s="92"/>
      <c r="AT381" s="92"/>
      <c r="AU381" s="92"/>
      <c r="AV381" s="92"/>
      <c r="AW381" s="137">
        <f>AW372/AW377</f>
        <v>4500000</v>
      </c>
      <c r="AX381" s="137"/>
      <c r="AY381" s="137"/>
      <c r="AZ381" s="137"/>
      <c r="BA381" s="137"/>
      <c r="BB381" s="137"/>
      <c r="BC381" s="137"/>
      <c r="BD381" s="137"/>
      <c r="BE381" s="92">
        <f>AW381</f>
        <v>4500000</v>
      </c>
      <c r="BF381" s="92"/>
      <c r="BG381" s="92"/>
      <c r="BH381" s="92"/>
      <c r="BI381" s="92"/>
      <c r="BJ381" s="92"/>
      <c r="BK381" s="92"/>
      <c r="BL381" s="92"/>
      <c r="BT381" s="47"/>
      <c r="BU381" s="47"/>
      <c r="BV381" s="47"/>
      <c r="BW381" s="47"/>
      <c r="BX381" s="47"/>
      <c r="BY381" s="47"/>
      <c r="BZ381" s="47"/>
    </row>
    <row r="382" spans="1:78" ht="20.25" customHeight="1" x14ac:dyDescent="0.2">
      <c r="A382" s="88"/>
      <c r="B382" s="88"/>
      <c r="C382" s="88"/>
      <c r="D382" s="88"/>
      <c r="E382" s="88"/>
      <c r="F382" s="88"/>
      <c r="G382" s="148" t="s">
        <v>102</v>
      </c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84" t="s">
        <v>104</v>
      </c>
      <c r="AA382" s="84"/>
      <c r="AB382" s="84"/>
      <c r="AC382" s="84"/>
      <c r="AD382" s="84"/>
      <c r="AE382" s="84" t="s">
        <v>61</v>
      </c>
      <c r="AF382" s="84"/>
      <c r="AG382" s="84"/>
      <c r="AH382" s="84"/>
      <c r="AI382" s="84"/>
      <c r="AJ382" s="84"/>
      <c r="AK382" s="84"/>
      <c r="AL382" s="84"/>
      <c r="AM382" s="84"/>
      <c r="AN382" s="84"/>
      <c r="AO382" s="92"/>
      <c r="AP382" s="92"/>
      <c r="AQ382" s="92"/>
      <c r="AR382" s="92"/>
      <c r="AS382" s="92"/>
      <c r="AT382" s="92"/>
      <c r="AU382" s="92"/>
      <c r="AV382" s="92"/>
      <c r="AW382" s="137">
        <f>AW373/AW378</f>
        <v>6723000</v>
      </c>
      <c r="AX382" s="137"/>
      <c r="AY382" s="137"/>
      <c r="AZ382" s="137"/>
      <c r="BA382" s="137"/>
      <c r="BB382" s="137"/>
      <c r="BC382" s="137"/>
      <c r="BD382" s="137"/>
      <c r="BE382" s="92">
        <f>AW382</f>
        <v>6723000</v>
      </c>
      <c r="BF382" s="92"/>
      <c r="BG382" s="92"/>
      <c r="BH382" s="92"/>
      <c r="BI382" s="92"/>
      <c r="BJ382" s="92"/>
      <c r="BK382" s="92"/>
      <c r="BL382" s="92"/>
      <c r="BT382" s="47"/>
      <c r="BU382" s="47"/>
      <c r="BV382" s="47"/>
      <c r="BW382" s="47"/>
      <c r="BX382" s="47"/>
      <c r="BY382" s="47"/>
      <c r="BZ382" s="47"/>
    </row>
    <row r="383" spans="1:78" ht="35.25" customHeight="1" x14ac:dyDescent="0.2">
      <c r="A383" s="88"/>
      <c r="B383" s="88"/>
      <c r="C383" s="88"/>
      <c r="D383" s="88"/>
      <c r="E383" s="88"/>
      <c r="F383" s="88"/>
      <c r="G383" s="148" t="s">
        <v>156</v>
      </c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84" t="s">
        <v>104</v>
      </c>
      <c r="AA383" s="84"/>
      <c r="AB383" s="84"/>
      <c r="AC383" s="84"/>
      <c r="AD383" s="84"/>
      <c r="AE383" s="84" t="s">
        <v>61</v>
      </c>
      <c r="AF383" s="84"/>
      <c r="AG383" s="84"/>
      <c r="AH383" s="84"/>
      <c r="AI383" s="84"/>
      <c r="AJ383" s="84"/>
      <c r="AK383" s="84"/>
      <c r="AL383" s="84"/>
      <c r="AM383" s="84"/>
      <c r="AN383" s="84"/>
      <c r="AO383" s="92"/>
      <c r="AP383" s="92"/>
      <c r="AQ383" s="92"/>
      <c r="AR383" s="92"/>
      <c r="AS383" s="92"/>
      <c r="AT383" s="92"/>
      <c r="AU383" s="92"/>
      <c r="AV383" s="92"/>
      <c r="AW383" s="137">
        <f>AW374</f>
        <v>96120</v>
      </c>
      <c r="AX383" s="137"/>
      <c r="AY383" s="137"/>
      <c r="AZ383" s="137"/>
      <c r="BA383" s="137"/>
      <c r="BB383" s="137"/>
      <c r="BC383" s="137"/>
      <c r="BD383" s="137"/>
      <c r="BE383" s="92">
        <f>AW383</f>
        <v>96120</v>
      </c>
      <c r="BF383" s="92"/>
      <c r="BG383" s="92"/>
      <c r="BH383" s="92"/>
      <c r="BI383" s="92"/>
      <c r="BJ383" s="92"/>
      <c r="BK383" s="92"/>
      <c r="BL383" s="92"/>
      <c r="BT383" s="47"/>
      <c r="BU383" s="47"/>
      <c r="BV383" s="47"/>
      <c r="BW383" s="47"/>
      <c r="BX383" s="47"/>
      <c r="BY383" s="47"/>
      <c r="BZ383" s="47"/>
    </row>
    <row r="384" spans="1:78" ht="26.25" customHeight="1" x14ac:dyDescent="0.2">
      <c r="A384" s="88"/>
      <c r="B384" s="88"/>
      <c r="C384" s="88"/>
      <c r="D384" s="88"/>
      <c r="E384" s="88"/>
      <c r="F384" s="88"/>
      <c r="G384" s="112" t="s">
        <v>291</v>
      </c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4"/>
      <c r="Z384" s="84" t="s">
        <v>104</v>
      </c>
      <c r="AA384" s="84"/>
      <c r="AB384" s="84"/>
      <c r="AC384" s="84"/>
      <c r="AD384" s="84"/>
      <c r="AE384" s="84" t="s">
        <v>61</v>
      </c>
      <c r="AF384" s="84"/>
      <c r="AG384" s="84"/>
      <c r="AH384" s="84"/>
      <c r="AI384" s="84"/>
      <c r="AJ384" s="84"/>
      <c r="AK384" s="84"/>
      <c r="AL384" s="84"/>
      <c r="AM384" s="84"/>
      <c r="AN384" s="84"/>
      <c r="AO384" s="92"/>
      <c r="AP384" s="92"/>
      <c r="AQ384" s="92"/>
      <c r="AR384" s="92"/>
      <c r="AS384" s="92"/>
      <c r="AT384" s="92"/>
      <c r="AU384" s="92"/>
      <c r="AV384" s="92"/>
      <c r="AW384" s="137">
        <f>AW375/AW379</f>
        <v>26175</v>
      </c>
      <c r="AX384" s="137"/>
      <c r="AY384" s="137"/>
      <c r="AZ384" s="137"/>
      <c r="BA384" s="137"/>
      <c r="BB384" s="137"/>
      <c r="BC384" s="137"/>
      <c r="BD384" s="137"/>
      <c r="BE384" s="92">
        <f>AW384</f>
        <v>26175</v>
      </c>
      <c r="BF384" s="92"/>
      <c r="BG384" s="92"/>
      <c r="BH384" s="92"/>
      <c r="BI384" s="92"/>
      <c r="BJ384" s="92"/>
      <c r="BK384" s="92"/>
      <c r="BL384" s="92"/>
      <c r="BT384" s="47"/>
      <c r="BU384" s="47"/>
      <c r="BV384" s="47"/>
      <c r="BW384" s="47"/>
      <c r="BX384" s="47"/>
      <c r="BY384" s="47"/>
      <c r="BZ384" s="47"/>
    </row>
    <row r="385" spans="1:78" ht="18" customHeight="1" x14ac:dyDescent="0.2">
      <c r="A385" s="88"/>
      <c r="B385" s="88"/>
      <c r="C385" s="88"/>
      <c r="D385" s="88"/>
      <c r="E385" s="88"/>
      <c r="F385" s="88"/>
      <c r="G385" s="138" t="s">
        <v>50</v>
      </c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  <c r="AM385" s="84"/>
      <c r="AN385" s="84"/>
      <c r="AO385" s="92"/>
      <c r="AP385" s="92"/>
      <c r="AQ385" s="92"/>
      <c r="AR385" s="92"/>
      <c r="AS385" s="92"/>
      <c r="AT385" s="92"/>
      <c r="AU385" s="92"/>
      <c r="AV385" s="92"/>
      <c r="AW385" s="137"/>
      <c r="AX385" s="137"/>
      <c r="AY385" s="137"/>
      <c r="AZ385" s="137"/>
      <c r="BA385" s="137"/>
      <c r="BB385" s="137"/>
      <c r="BC385" s="137"/>
      <c r="BD385" s="137"/>
      <c r="BE385" s="133"/>
      <c r="BF385" s="133"/>
      <c r="BG385" s="133"/>
      <c r="BH385" s="133"/>
      <c r="BI385" s="133"/>
      <c r="BJ385" s="133"/>
      <c r="BK385" s="133"/>
      <c r="BL385" s="133"/>
      <c r="BT385" s="47"/>
      <c r="BU385" s="47"/>
      <c r="BV385" s="47"/>
      <c r="BW385" s="47"/>
      <c r="BX385" s="47"/>
      <c r="BY385" s="47"/>
      <c r="BZ385" s="47"/>
    </row>
    <row r="386" spans="1:78" ht="33" customHeight="1" x14ac:dyDescent="0.2">
      <c r="A386" s="88"/>
      <c r="B386" s="88"/>
      <c r="C386" s="88"/>
      <c r="D386" s="88"/>
      <c r="E386" s="88"/>
      <c r="F386" s="88"/>
      <c r="G386" s="105" t="s">
        <v>60</v>
      </c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84" t="s">
        <v>51</v>
      </c>
      <c r="AA386" s="84"/>
      <c r="AB386" s="84"/>
      <c r="AC386" s="84"/>
      <c r="AD386" s="84"/>
      <c r="AE386" s="84" t="s">
        <v>61</v>
      </c>
      <c r="AF386" s="84"/>
      <c r="AG386" s="84"/>
      <c r="AH386" s="84"/>
      <c r="AI386" s="84"/>
      <c r="AJ386" s="84"/>
      <c r="AK386" s="84"/>
      <c r="AL386" s="84"/>
      <c r="AM386" s="84"/>
      <c r="AN386" s="84"/>
      <c r="AO386" s="92"/>
      <c r="AP386" s="92"/>
      <c r="AQ386" s="92"/>
      <c r="AR386" s="92"/>
      <c r="AS386" s="92"/>
      <c r="AT386" s="92"/>
      <c r="AU386" s="92"/>
      <c r="AV386" s="92"/>
      <c r="AW386" s="233">
        <f>AW371/55378873.23*100</f>
        <v>45.428416167867205</v>
      </c>
      <c r="AX386" s="233">
        <f>AV373/33361779.74*100</f>
        <v>0</v>
      </c>
      <c r="AY386" s="233">
        <f>AY373/55379000*100</f>
        <v>0</v>
      </c>
      <c r="AZ386" s="233">
        <f>AX373/33361779.74*100</f>
        <v>0</v>
      </c>
      <c r="BA386" s="233">
        <f>BA373/55379000*100</f>
        <v>0</v>
      </c>
      <c r="BB386" s="233">
        <f>AZ373/33361779.74*100</f>
        <v>0</v>
      </c>
      <c r="BC386" s="233">
        <f>BC373/55379000*100</f>
        <v>0</v>
      </c>
      <c r="BD386" s="233">
        <f>BB373/33361779.74*100</f>
        <v>0</v>
      </c>
      <c r="BE386" s="133">
        <f>AW386</f>
        <v>45.428416167867205</v>
      </c>
      <c r="BF386" s="133"/>
      <c r="BG386" s="133"/>
      <c r="BH386" s="133"/>
      <c r="BI386" s="133"/>
      <c r="BJ386" s="133"/>
      <c r="BK386" s="133"/>
      <c r="BL386" s="133"/>
      <c r="BT386" s="47"/>
      <c r="BU386" s="47"/>
      <c r="BV386" s="47"/>
      <c r="BW386" s="47"/>
      <c r="BX386" s="47"/>
      <c r="BY386" s="47"/>
      <c r="BZ386" s="47"/>
    </row>
    <row r="387" spans="1:78" ht="4.5" customHeight="1" x14ac:dyDescent="0.2">
      <c r="A387" s="28"/>
      <c r="B387" s="28"/>
      <c r="C387" s="28"/>
      <c r="D387" s="28"/>
      <c r="E387" s="28"/>
      <c r="F387" s="28"/>
      <c r="G387" s="46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31"/>
      <c r="AA387" s="31"/>
      <c r="AB387" s="31"/>
      <c r="AC387" s="31"/>
      <c r="AD387" s="31"/>
      <c r="AE387" s="31"/>
      <c r="AF387" s="28"/>
      <c r="AG387" s="28"/>
      <c r="AH387" s="28"/>
      <c r="AI387" s="28"/>
      <c r="AJ387" s="28"/>
      <c r="AK387" s="28"/>
      <c r="AL387" s="28"/>
      <c r="AM387" s="28"/>
      <c r="AN387" s="28"/>
      <c r="AO387" s="32"/>
      <c r="AP387" s="32"/>
      <c r="AQ387" s="32"/>
      <c r="AR387" s="32"/>
      <c r="AS387" s="32"/>
      <c r="AT387" s="32"/>
      <c r="AU387" s="32"/>
      <c r="AV387" s="32"/>
      <c r="AW387" s="51"/>
      <c r="AX387" s="51"/>
      <c r="AY387" s="51"/>
      <c r="AZ387" s="51"/>
      <c r="BA387" s="51"/>
      <c r="BB387" s="51"/>
      <c r="BC387" s="51"/>
      <c r="BD387" s="51"/>
      <c r="BE387" s="32"/>
      <c r="BF387" s="32"/>
      <c r="BG387" s="32"/>
      <c r="BH387" s="32"/>
      <c r="BI387" s="32"/>
      <c r="BJ387" s="32"/>
      <c r="BK387" s="32"/>
      <c r="BL387" s="32"/>
      <c r="BT387" s="47"/>
      <c r="BU387" s="47"/>
      <c r="BV387" s="47"/>
      <c r="BW387" s="47"/>
      <c r="BX387" s="47"/>
      <c r="BY387" s="47"/>
      <c r="BZ387" s="47"/>
    </row>
    <row r="388" spans="1:78" ht="33.75" customHeight="1" x14ac:dyDescent="0.2">
      <c r="A388" s="78" t="s">
        <v>14</v>
      </c>
      <c r="B388" s="79"/>
      <c r="C388" s="79"/>
      <c r="D388" s="79"/>
      <c r="E388" s="79"/>
      <c r="F388" s="80"/>
      <c r="G388" s="88" t="s">
        <v>27</v>
      </c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 t="s">
        <v>2</v>
      </c>
      <c r="AA388" s="88"/>
      <c r="AB388" s="88"/>
      <c r="AC388" s="88"/>
      <c r="AD388" s="88"/>
      <c r="AE388" s="78" t="s">
        <v>1</v>
      </c>
      <c r="AF388" s="79"/>
      <c r="AG388" s="79"/>
      <c r="AH388" s="79"/>
      <c r="AI388" s="79"/>
      <c r="AJ388" s="79"/>
      <c r="AK388" s="79"/>
      <c r="AL388" s="79"/>
      <c r="AM388" s="79"/>
      <c r="AN388" s="80"/>
      <c r="AO388" s="88" t="s">
        <v>15</v>
      </c>
      <c r="AP388" s="88"/>
      <c r="AQ388" s="88"/>
      <c r="AR388" s="88"/>
      <c r="AS388" s="88"/>
      <c r="AT388" s="88"/>
      <c r="AU388" s="88"/>
      <c r="AV388" s="88"/>
      <c r="AW388" s="88" t="s">
        <v>16</v>
      </c>
      <c r="AX388" s="88"/>
      <c r="AY388" s="88"/>
      <c r="AZ388" s="88"/>
      <c r="BA388" s="88"/>
      <c r="BB388" s="88"/>
      <c r="BC388" s="88"/>
      <c r="BD388" s="88"/>
      <c r="BE388" s="88" t="s">
        <v>13</v>
      </c>
      <c r="BF388" s="88"/>
      <c r="BG388" s="88"/>
      <c r="BH388" s="88"/>
      <c r="BI388" s="88"/>
      <c r="BJ388" s="88"/>
      <c r="BK388" s="88"/>
      <c r="BL388" s="88"/>
      <c r="BT388" s="47"/>
      <c r="BU388" s="47"/>
      <c r="BV388" s="47"/>
      <c r="BW388" s="47"/>
      <c r="BX388" s="47"/>
      <c r="BY388" s="47"/>
      <c r="BZ388" s="47"/>
    </row>
    <row r="389" spans="1:78" ht="15" customHeight="1" x14ac:dyDescent="0.2">
      <c r="A389" s="78">
        <v>1</v>
      </c>
      <c r="B389" s="79"/>
      <c r="C389" s="79"/>
      <c r="D389" s="79"/>
      <c r="E389" s="79"/>
      <c r="F389" s="80"/>
      <c r="G389" s="78">
        <v>2</v>
      </c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80"/>
      <c r="Z389" s="88">
        <v>3</v>
      </c>
      <c r="AA389" s="88"/>
      <c r="AB389" s="88"/>
      <c r="AC389" s="88"/>
      <c r="AD389" s="88"/>
      <c r="AE389" s="78">
        <v>4</v>
      </c>
      <c r="AF389" s="79"/>
      <c r="AG389" s="79"/>
      <c r="AH389" s="79"/>
      <c r="AI389" s="79"/>
      <c r="AJ389" s="79"/>
      <c r="AK389" s="79"/>
      <c r="AL389" s="79"/>
      <c r="AM389" s="79"/>
      <c r="AN389" s="80"/>
      <c r="AO389" s="88">
        <v>5</v>
      </c>
      <c r="AP389" s="88"/>
      <c r="AQ389" s="88"/>
      <c r="AR389" s="88"/>
      <c r="AS389" s="88"/>
      <c r="AT389" s="88"/>
      <c r="AU389" s="88"/>
      <c r="AV389" s="88"/>
      <c r="AW389" s="88">
        <v>6</v>
      </c>
      <c r="AX389" s="88"/>
      <c r="AY389" s="88"/>
      <c r="AZ389" s="88"/>
      <c r="BA389" s="88"/>
      <c r="BB389" s="88"/>
      <c r="BC389" s="88"/>
      <c r="BD389" s="88"/>
      <c r="BE389" s="88">
        <v>7</v>
      </c>
      <c r="BF389" s="88"/>
      <c r="BG389" s="88"/>
      <c r="BH389" s="88"/>
      <c r="BI389" s="88"/>
      <c r="BJ389" s="88"/>
      <c r="BK389" s="88"/>
      <c r="BL389" s="88"/>
      <c r="BT389" s="47"/>
      <c r="BU389" s="47"/>
      <c r="BV389" s="47"/>
      <c r="BW389" s="47"/>
      <c r="BX389" s="47"/>
      <c r="BY389" s="47"/>
      <c r="BZ389" s="47"/>
    </row>
    <row r="390" spans="1:78" ht="21" customHeight="1" x14ac:dyDescent="0.2">
      <c r="A390" s="78"/>
      <c r="B390" s="79"/>
      <c r="C390" s="79"/>
      <c r="D390" s="79"/>
      <c r="E390" s="79"/>
      <c r="F390" s="80"/>
      <c r="G390" s="208" t="s">
        <v>124</v>
      </c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3"/>
      <c r="AT390" s="183"/>
      <c r="AU390" s="183"/>
      <c r="AV390" s="183"/>
      <c r="AW390" s="183"/>
      <c r="AX390" s="183"/>
      <c r="AY390" s="183"/>
      <c r="AZ390" s="183"/>
      <c r="BA390" s="183"/>
      <c r="BB390" s="183"/>
      <c r="BC390" s="183"/>
      <c r="BD390" s="184"/>
      <c r="BE390" s="133"/>
      <c r="BF390" s="133"/>
      <c r="BG390" s="133"/>
      <c r="BH390" s="133"/>
      <c r="BI390" s="133"/>
      <c r="BJ390" s="133"/>
      <c r="BK390" s="133"/>
      <c r="BL390" s="133"/>
      <c r="BT390" s="47"/>
      <c r="BU390" s="47"/>
      <c r="BV390" s="47"/>
      <c r="BW390" s="47"/>
      <c r="BX390" s="47"/>
      <c r="BY390" s="47"/>
      <c r="BZ390" s="47"/>
    </row>
    <row r="391" spans="1:78" ht="21" customHeight="1" x14ac:dyDescent="0.2">
      <c r="A391" s="78"/>
      <c r="B391" s="79"/>
      <c r="C391" s="79"/>
      <c r="D391" s="79"/>
      <c r="E391" s="79"/>
      <c r="F391" s="80"/>
      <c r="G391" s="138" t="s">
        <v>48</v>
      </c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84"/>
      <c r="AA391" s="84"/>
      <c r="AB391" s="84"/>
      <c r="AC391" s="84"/>
      <c r="AD391" s="84"/>
      <c r="AE391" s="85"/>
      <c r="AF391" s="86"/>
      <c r="AG391" s="86"/>
      <c r="AH391" s="86"/>
      <c r="AI391" s="86"/>
      <c r="AJ391" s="86"/>
      <c r="AK391" s="86"/>
      <c r="AL391" s="86"/>
      <c r="AM391" s="86"/>
      <c r="AN391" s="87"/>
      <c r="AO391" s="92"/>
      <c r="AP391" s="92"/>
      <c r="AQ391" s="92"/>
      <c r="AR391" s="92"/>
      <c r="AS391" s="92"/>
      <c r="AT391" s="92"/>
      <c r="AU391" s="92"/>
      <c r="AV391" s="92"/>
      <c r="AW391" s="137"/>
      <c r="AX391" s="137"/>
      <c r="AY391" s="137"/>
      <c r="AZ391" s="137"/>
      <c r="BA391" s="137"/>
      <c r="BB391" s="137"/>
      <c r="BC391" s="137"/>
      <c r="BD391" s="137"/>
      <c r="BE391" s="133"/>
      <c r="BF391" s="133"/>
      <c r="BG391" s="133"/>
      <c r="BH391" s="133"/>
      <c r="BI391" s="133"/>
      <c r="BJ391" s="133"/>
      <c r="BK391" s="133"/>
      <c r="BL391" s="133"/>
      <c r="BT391" s="47"/>
      <c r="BU391" s="47"/>
      <c r="BV391" s="47"/>
      <c r="BW391" s="47"/>
      <c r="BX391" s="47"/>
      <c r="BY391" s="47"/>
      <c r="BZ391" s="47"/>
    </row>
    <row r="392" spans="1:78" ht="21" customHeight="1" x14ac:dyDescent="0.2">
      <c r="A392" s="78"/>
      <c r="B392" s="79"/>
      <c r="C392" s="79"/>
      <c r="D392" s="79"/>
      <c r="E392" s="79"/>
      <c r="F392" s="80"/>
      <c r="G392" s="105" t="s">
        <v>97</v>
      </c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84" t="s">
        <v>104</v>
      </c>
      <c r="AA392" s="84"/>
      <c r="AB392" s="84"/>
      <c r="AC392" s="84"/>
      <c r="AD392" s="84"/>
      <c r="AE392" s="85" t="s">
        <v>66</v>
      </c>
      <c r="AF392" s="86"/>
      <c r="AG392" s="86"/>
      <c r="AH392" s="86"/>
      <c r="AI392" s="86"/>
      <c r="AJ392" s="86"/>
      <c r="AK392" s="86"/>
      <c r="AL392" s="86"/>
      <c r="AM392" s="86"/>
      <c r="AN392" s="87"/>
      <c r="AO392" s="92"/>
      <c r="AP392" s="92"/>
      <c r="AQ392" s="92"/>
      <c r="AR392" s="92"/>
      <c r="AS392" s="92"/>
      <c r="AT392" s="92"/>
      <c r="AU392" s="92"/>
      <c r="AV392" s="92"/>
      <c r="AW392" s="137">
        <f>AS186</f>
        <v>6112980</v>
      </c>
      <c r="AX392" s="137"/>
      <c r="AY392" s="137"/>
      <c r="AZ392" s="137"/>
      <c r="BA392" s="137"/>
      <c r="BB392" s="137"/>
      <c r="BC392" s="137"/>
      <c r="BD392" s="137"/>
      <c r="BE392" s="92">
        <f>AW392</f>
        <v>6112980</v>
      </c>
      <c r="BF392" s="92"/>
      <c r="BG392" s="92"/>
      <c r="BH392" s="92"/>
      <c r="BI392" s="92"/>
      <c r="BJ392" s="92"/>
      <c r="BK392" s="92"/>
      <c r="BL392" s="92"/>
      <c r="BT392" s="47"/>
      <c r="BU392" s="47"/>
      <c r="BV392" s="47"/>
      <c r="BW392" s="47"/>
      <c r="BX392" s="47"/>
      <c r="BY392" s="47"/>
      <c r="BZ392" s="47"/>
    </row>
    <row r="393" spans="1:78" ht="21" customHeight="1" x14ac:dyDescent="0.2">
      <c r="A393" s="78"/>
      <c r="B393" s="79"/>
      <c r="C393" s="79"/>
      <c r="D393" s="79"/>
      <c r="E393" s="79"/>
      <c r="F393" s="80"/>
      <c r="G393" s="143" t="s">
        <v>101</v>
      </c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84"/>
      <c r="AA393" s="84"/>
      <c r="AB393" s="84"/>
      <c r="AC393" s="84"/>
      <c r="AD393" s="84"/>
      <c r="AE393" s="85"/>
      <c r="AF393" s="86"/>
      <c r="AG393" s="86"/>
      <c r="AH393" s="86"/>
      <c r="AI393" s="86"/>
      <c r="AJ393" s="86"/>
      <c r="AK393" s="86"/>
      <c r="AL393" s="86"/>
      <c r="AM393" s="86"/>
      <c r="AN393" s="87"/>
      <c r="AO393" s="92"/>
      <c r="AP393" s="92"/>
      <c r="AQ393" s="92"/>
      <c r="AR393" s="92"/>
      <c r="AS393" s="92"/>
      <c r="AT393" s="92"/>
      <c r="AU393" s="92"/>
      <c r="AV393" s="92"/>
      <c r="AW393" s="137"/>
      <c r="AX393" s="137"/>
      <c r="AY393" s="137"/>
      <c r="AZ393" s="137"/>
      <c r="BA393" s="137"/>
      <c r="BB393" s="137"/>
      <c r="BC393" s="137"/>
      <c r="BD393" s="137"/>
      <c r="BE393" s="133"/>
      <c r="BF393" s="133"/>
      <c r="BG393" s="133"/>
      <c r="BH393" s="133"/>
      <c r="BI393" s="133"/>
      <c r="BJ393" s="133"/>
      <c r="BK393" s="133"/>
      <c r="BL393" s="133"/>
      <c r="BT393" s="47"/>
      <c r="BU393" s="47"/>
      <c r="BV393" s="47"/>
      <c r="BW393" s="47"/>
      <c r="BX393" s="47"/>
      <c r="BY393" s="47"/>
      <c r="BZ393" s="47"/>
    </row>
    <row r="394" spans="1:78" ht="27.6" customHeight="1" x14ac:dyDescent="0.2">
      <c r="A394" s="78"/>
      <c r="B394" s="79"/>
      <c r="C394" s="79"/>
      <c r="D394" s="79"/>
      <c r="E394" s="79"/>
      <c r="F394" s="80"/>
      <c r="G394" s="148" t="s">
        <v>98</v>
      </c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84" t="s">
        <v>67</v>
      </c>
      <c r="AA394" s="84"/>
      <c r="AB394" s="84"/>
      <c r="AC394" s="84"/>
      <c r="AD394" s="84"/>
      <c r="AE394" s="85" t="s">
        <v>121</v>
      </c>
      <c r="AF394" s="86"/>
      <c r="AG394" s="86"/>
      <c r="AH394" s="86"/>
      <c r="AI394" s="86"/>
      <c r="AJ394" s="86"/>
      <c r="AK394" s="86"/>
      <c r="AL394" s="86"/>
      <c r="AM394" s="86"/>
      <c r="AN394" s="87"/>
      <c r="AO394" s="92"/>
      <c r="AP394" s="92"/>
      <c r="AQ394" s="92"/>
      <c r="AR394" s="92"/>
      <c r="AS394" s="92"/>
      <c r="AT394" s="92"/>
      <c r="AU394" s="92"/>
      <c r="AV394" s="92"/>
      <c r="AW394" s="149">
        <v>1</v>
      </c>
      <c r="AX394" s="149"/>
      <c r="AY394" s="149"/>
      <c r="AZ394" s="149"/>
      <c r="BA394" s="149"/>
      <c r="BB394" s="149"/>
      <c r="BC394" s="149"/>
      <c r="BD394" s="149"/>
      <c r="BE394" s="106">
        <f>AW394</f>
        <v>1</v>
      </c>
      <c r="BF394" s="106"/>
      <c r="BG394" s="106"/>
      <c r="BH394" s="106"/>
      <c r="BI394" s="106"/>
      <c r="BJ394" s="106"/>
      <c r="BK394" s="106"/>
      <c r="BL394" s="106"/>
      <c r="BT394" s="47"/>
      <c r="BU394" s="47"/>
      <c r="BV394" s="47"/>
      <c r="BW394" s="47"/>
      <c r="BX394" s="47"/>
      <c r="BY394" s="47"/>
      <c r="BZ394" s="47"/>
    </row>
    <row r="395" spans="1:78" ht="19.5" customHeight="1" x14ac:dyDescent="0.2">
      <c r="A395" s="78"/>
      <c r="B395" s="79"/>
      <c r="C395" s="79"/>
      <c r="D395" s="79"/>
      <c r="E395" s="79"/>
      <c r="F395" s="80"/>
      <c r="G395" s="143" t="s">
        <v>64</v>
      </c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39"/>
      <c r="AA395" s="139"/>
      <c r="AB395" s="139"/>
      <c r="AC395" s="139"/>
      <c r="AD395" s="139"/>
      <c r="AE395" s="85"/>
      <c r="AF395" s="86"/>
      <c r="AG395" s="86"/>
      <c r="AH395" s="86"/>
      <c r="AI395" s="86"/>
      <c r="AJ395" s="86"/>
      <c r="AK395" s="86"/>
      <c r="AL395" s="86"/>
      <c r="AM395" s="86"/>
      <c r="AN395" s="87"/>
      <c r="AO395" s="90"/>
      <c r="AP395" s="90"/>
      <c r="AQ395" s="90"/>
      <c r="AR395" s="90"/>
      <c r="AS395" s="90"/>
      <c r="AT395" s="90"/>
      <c r="AU395" s="90"/>
      <c r="AV395" s="90"/>
      <c r="AW395" s="137"/>
      <c r="AX395" s="137"/>
      <c r="AY395" s="137"/>
      <c r="AZ395" s="137"/>
      <c r="BA395" s="137"/>
      <c r="BB395" s="137"/>
      <c r="BC395" s="137"/>
      <c r="BD395" s="137"/>
      <c r="BE395" s="133"/>
      <c r="BF395" s="133"/>
      <c r="BG395" s="133"/>
      <c r="BH395" s="133"/>
      <c r="BI395" s="133"/>
      <c r="BJ395" s="133"/>
      <c r="BK395" s="133"/>
      <c r="BL395" s="133"/>
      <c r="BT395" s="47"/>
      <c r="BU395" s="47"/>
      <c r="BV395" s="47"/>
      <c r="BW395" s="47"/>
      <c r="BX395" s="47"/>
      <c r="BY395" s="47"/>
      <c r="BZ395" s="47"/>
    </row>
    <row r="396" spans="1:78" ht="19.5" customHeight="1" x14ac:dyDescent="0.2">
      <c r="A396" s="78"/>
      <c r="B396" s="79"/>
      <c r="C396" s="79"/>
      <c r="D396" s="79"/>
      <c r="E396" s="79"/>
      <c r="F396" s="80"/>
      <c r="G396" s="148" t="s">
        <v>102</v>
      </c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39" t="s">
        <v>104</v>
      </c>
      <c r="AA396" s="139"/>
      <c r="AB396" s="139"/>
      <c r="AC396" s="139"/>
      <c r="AD396" s="139"/>
      <c r="AE396" s="85" t="s">
        <v>61</v>
      </c>
      <c r="AF396" s="86"/>
      <c r="AG396" s="86"/>
      <c r="AH396" s="86"/>
      <c r="AI396" s="86"/>
      <c r="AJ396" s="86"/>
      <c r="AK396" s="86"/>
      <c r="AL396" s="86"/>
      <c r="AM396" s="86"/>
      <c r="AN396" s="87"/>
      <c r="AO396" s="90"/>
      <c r="AP396" s="90"/>
      <c r="AQ396" s="90"/>
      <c r="AR396" s="90"/>
      <c r="AS396" s="90"/>
      <c r="AT396" s="90"/>
      <c r="AU396" s="90"/>
      <c r="AV396" s="90"/>
      <c r="AW396" s="137">
        <f>AW392/AW394</f>
        <v>6112980</v>
      </c>
      <c r="AX396" s="137"/>
      <c r="AY396" s="137"/>
      <c r="AZ396" s="137"/>
      <c r="BA396" s="137"/>
      <c r="BB396" s="137"/>
      <c r="BC396" s="137"/>
      <c r="BD396" s="137"/>
      <c r="BE396" s="92">
        <f>AW396</f>
        <v>6112980</v>
      </c>
      <c r="BF396" s="92"/>
      <c r="BG396" s="92"/>
      <c r="BH396" s="92"/>
      <c r="BI396" s="92"/>
      <c r="BJ396" s="92"/>
      <c r="BK396" s="92"/>
      <c r="BL396" s="92"/>
      <c r="BT396" s="47"/>
      <c r="BU396" s="47"/>
      <c r="BV396" s="47"/>
      <c r="BW396" s="47"/>
      <c r="BX396" s="47"/>
      <c r="BY396" s="47"/>
      <c r="BZ396" s="47"/>
    </row>
    <row r="397" spans="1:78" ht="18.75" customHeight="1" x14ac:dyDescent="0.2">
      <c r="A397" s="78"/>
      <c r="B397" s="79"/>
      <c r="C397" s="79"/>
      <c r="D397" s="79"/>
      <c r="E397" s="79"/>
      <c r="F397" s="80"/>
      <c r="G397" s="138" t="s">
        <v>50</v>
      </c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9"/>
      <c r="AA397" s="139"/>
      <c r="AB397" s="139"/>
      <c r="AC397" s="139"/>
      <c r="AD397" s="139"/>
      <c r="AE397" s="85"/>
      <c r="AF397" s="86"/>
      <c r="AG397" s="86"/>
      <c r="AH397" s="86"/>
      <c r="AI397" s="86"/>
      <c r="AJ397" s="86"/>
      <c r="AK397" s="86"/>
      <c r="AL397" s="86"/>
      <c r="AM397" s="86"/>
      <c r="AN397" s="87"/>
      <c r="AO397" s="90"/>
      <c r="AP397" s="90"/>
      <c r="AQ397" s="90"/>
      <c r="AR397" s="90"/>
      <c r="AS397" s="90"/>
      <c r="AT397" s="90"/>
      <c r="AU397" s="90"/>
      <c r="AV397" s="90"/>
      <c r="AW397" s="137"/>
      <c r="AX397" s="137"/>
      <c r="AY397" s="137"/>
      <c r="AZ397" s="137"/>
      <c r="BA397" s="137"/>
      <c r="BB397" s="137"/>
      <c r="BC397" s="137"/>
      <c r="BD397" s="137"/>
      <c r="BE397" s="133"/>
      <c r="BF397" s="133"/>
      <c r="BG397" s="133"/>
      <c r="BH397" s="133"/>
      <c r="BI397" s="133"/>
      <c r="BJ397" s="133"/>
      <c r="BK397" s="133"/>
      <c r="BL397" s="133"/>
      <c r="BT397" s="47"/>
      <c r="BU397" s="47"/>
      <c r="BV397" s="47"/>
      <c r="BW397" s="47"/>
      <c r="BX397" s="47"/>
      <c r="BY397" s="47"/>
      <c r="BZ397" s="47"/>
    </row>
    <row r="398" spans="1:78" ht="33.75" customHeight="1" x14ac:dyDescent="0.2">
      <c r="A398" s="78"/>
      <c r="B398" s="79"/>
      <c r="C398" s="79"/>
      <c r="D398" s="79"/>
      <c r="E398" s="79"/>
      <c r="F398" s="80"/>
      <c r="G398" s="105" t="s">
        <v>60</v>
      </c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87" t="s">
        <v>51</v>
      </c>
      <c r="AA398" s="84"/>
      <c r="AB398" s="84"/>
      <c r="AC398" s="84"/>
      <c r="AD398" s="84"/>
      <c r="AE398" s="85" t="s">
        <v>61</v>
      </c>
      <c r="AF398" s="86"/>
      <c r="AG398" s="86"/>
      <c r="AH398" s="86"/>
      <c r="AI398" s="86"/>
      <c r="AJ398" s="86"/>
      <c r="AK398" s="86"/>
      <c r="AL398" s="86"/>
      <c r="AM398" s="86"/>
      <c r="AN398" s="87"/>
      <c r="AO398" s="92"/>
      <c r="AP398" s="92"/>
      <c r="AQ398" s="92"/>
      <c r="AR398" s="92"/>
      <c r="AS398" s="92"/>
      <c r="AT398" s="92"/>
      <c r="AU398" s="92"/>
      <c r="AV398" s="92"/>
      <c r="AW398" s="134">
        <f>(AW392)/7306614.61*100</f>
        <v>83.663643510547757</v>
      </c>
      <c r="AX398" s="135">
        <f>AX392/55038217.28*100</f>
        <v>0</v>
      </c>
      <c r="AY398" s="135">
        <f>AY392/7306614.61*100</f>
        <v>0</v>
      </c>
      <c r="AZ398" s="135">
        <f>AZ392/55038217.28*100</f>
        <v>0</v>
      </c>
      <c r="BA398" s="135">
        <f>BA392/7306614.61*100</f>
        <v>0</v>
      </c>
      <c r="BB398" s="135">
        <f>BB392/55038217.28*100</f>
        <v>0</v>
      </c>
      <c r="BC398" s="135">
        <f>BC392/7306614.61*100</f>
        <v>0</v>
      </c>
      <c r="BD398" s="136">
        <f>BD392/55038217.28*100</f>
        <v>0</v>
      </c>
      <c r="BE398" s="133">
        <f>AW398</f>
        <v>83.663643510547757</v>
      </c>
      <c r="BF398" s="133"/>
      <c r="BG398" s="133"/>
      <c r="BH398" s="133"/>
      <c r="BI398" s="133"/>
      <c r="BJ398" s="133"/>
      <c r="BK398" s="133"/>
      <c r="BL398" s="133"/>
      <c r="BT398" s="47"/>
      <c r="BU398" s="47"/>
      <c r="BV398" s="47"/>
      <c r="BW398" s="47"/>
      <c r="BX398" s="47"/>
      <c r="BY398" s="47"/>
      <c r="BZ398" s="47"/>
    </row>
    <row r="399" spans="1:78" ht="5.25" customHeight="1" x14ac:dyDescent="0.2">
      <c r="A399" s="28"/>
      <c r="B399" s="28"/>
      <c r="C399" s="28"/>
      <c r="D399" s="28"/>
      <c r="E399" s="28"/>
      <c r="F399" s="28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31"/>
      <c r="AA399" s="31"/>
      <c r="AB399" s="31"/>
      <c r="AC399" s="31"/>
      <c r="AD399" s="31"/>
      <c r="AE399" s="31"/>
      <c r="AF399" s="28"/>
      <c r="AG399" s="28"/>
      <c r="AH399" s="28"/>
      <c r="AI399" s="28"/>
      <c r="AJ399" s="28"/>
      <c r="AK399" s="28"/>
      <c r="AL399" s="28"/>
      <c r="AM399" s="28"/>
      <c r="AN399" s="28"/>
      <c r="AO399" s="32"/>
      <c r="AP399" s="32"/>
      <c r="AQ399" s="32"/>
      <c r="AR399" s="32"/>
      <c r="AS399" s="32"/>
      <c r="AT399" s="32"/>
      <c r="AU399" s="32"/>
      <c r="AV399" s="32"/>
      <c r="AW399" s="54"/>
      <c r="AX399" s="54"/>
      <c r="AY399" s="54"/>
      <c r="AZ399" s="54"/>
      <c r="BA399" s="54"/>
      <c r="BB399" s="54"/>
      <c r="BC399" s="54"/>
      <c r="BD399" s="54"/>
      <c r="BE399" s="55"/>
      <c r="BF399" s="55"/>
      <c r="BG399" s="55"/>
      <c r="BH399" s="55"/>
      <c r="BI399" s="55"/>
      <c r="BJ399" s="55"/>
      <c r="BK399" s="55"/>
      <c r="BL399" s="55"/>
      <c r="BT399" s="47"/>
      <c r="BU399" s="47"/>
      <c r="BV399" s="47"/>
      <c r="BW399" s="47"/>
      <c r="BX399" s="47"/>
      <c r="BY399" s="47"/>
      <c r="BZ399" s="47"/>
    </row>
    <row r="400" spans="1:78" ht="33.75" customHeight="1" x14ac:dyDescent="0.2">
      <c r="A400" s="78" t="s">
        <v>14</v>
      </c>
      <c r="B400" s="79"/>
      <c r="C400" s="79"/>
      <c r="D400" s="79"/>
      <c r="E400" s="79"/>
      <c r="F400" s="80"/>
      <c r="G400" s="88" t="s">
        <v>27</v>
      </c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 t="s">
        <v>2</v>
      </c>
      <c r="AA400" s="88"/>
      <c r="AB400" s="88"/>
      <c r="AC400" s="88"/>
      <c r="AD400" s="88"/>
      <c r="AE400" s="78" t="s">
        <v>1</v>
      </c>
      <c r="AF400" s="79"/>
      <c r="AG400" s="79"/>
      <c r="AH400" s="79"/>
      <c r="AI400" s="79"/>
      <c r="AJ400" s="79"/>
      <c r="AK400" s="79"/>
      <c r="AL400" s="79"/>
      <c r="AM400" s="79"/>
      <c r="AN400" s="80"/>
      <c r="AO400" s="88" t="s">
        <v>15</v>
      </c>
      <c r="AP400" s="88"/>
      <c r="AQ400" s="88"/>
      <c r="AR400" s="88"/>
      <c r="AS400" s="88"/>
      <c r="AT400" s="88"/>
      <c r="AU400" s="88"/>
      <c r="AV400" s="88"/>
      <c r="AW400" s="88" t="s">
        <v>16</v>
      </c>
      <c r="AX400" s="88"/>
      <c r="AY400" s="88"/>
      <c r="AZ400" s="88"/>
      <c r="BA400" s="88"/>
      <c r="BB400" s="88"/>
      <c r="BC400" s="88"/>
      <c r="BD400" s="88"/>
      <c r="BE400" s="88" t="s">
        <v>13</v>
      </c>
      <c r="BF400" s="88"/>
      <c r="BG400" s="88"/>
      <c r="BH400" s="88"/>
      <c r="BI400" s="88"/>
      <c r="BJ400" s="88"/>
      <c r="BK400" s="88"/>
      <c r="BL400" s="88"/>
      <c r="BT400" s="47"/>
      <c r="BU400" s="47"/>
      <c r="BV400" s="47"/>
      <c r="BW400" s="47"/>
      <c r="BX400" s="47"/>
      <c r="BY400" s="47"/>
      <c r="BZ400" s="47"/>
    </row>
    <row r="401" spans="1:78" ht="15" customHeight="1" x14ac:dyDescent="0.2">
      <c r="A401" s="78">
        <v>1</v>
      </c>
      <c r="B401" s="79"/>
      <c r="C401" s="79"/>
      <c r="D401" s="79"/>
      <c r="E401" s="79"/>
      <c r="F401" s="80"/>
      <c r="G401" s="78">
        <v>2</v>
      </c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80"/>
      <c r="Z401" s="88">
        <v>3</v>
      </c>
      <c r="AA401" s="88"/>
      <c r="AB401" s="88"/>
      <c r="AC401" s="88"/>
      <c r="AD401" s="88"/>
      <c r="AE401" s="78">
        <v>4</v>
      </c>
      <c r="AF401" s="79"/>
      <c r="AG401" s="79"/>
      <c r="AH401" s="79"/>
      <c r="AI401" s="79"/>
      <c r="AJ401" s="79"/>
      <c r="AK401" s="79"/>
      <c r="AL401" s="79"/>
      <c r="AM401" s="79"/>
      <c r="AN401" s="80"/>
      <c r="AO401" s="88">
        <v>5</v>
      </c>
      <c r="AP401" s="88"/>
      <c r="AQ401" s="88"/>
      <c r="AR401" s="88"/>
      <c r="AS401" s="88"/>
      <c r="AT401" s="88"/>
      <c r="AU401" s="88"/>
      <c r="AV401" s="88"/>
      <c r="AW401" s="88">
        <v>6</v>
      </c>
      <c r="AX401" s="88"/>
      <c r="AY401" s="88"/>
      <c r="AZ401" s="88"/>
      <c r="BA401" s="88"/>
      <c r="BB401" s="88"/>
      <c r="BC401" s="88"/>
      <c r="BD401" s="88"/>
      <c r="BE401" s="88">
        <v>7</v>
      </c>
      <c r="BF401" s="88"/>
      <c r="BG401" s="88"/>
      <c r="BH401" s="88"/>
      <c r="BI401" s="88"/>
      <c r="BJ401" s="88"/>
      <c r="BK401" s="88"/>
      <c r="BL401" s="88"/>
      <c r="BT401" s="47"/>
      <c r="BU401" s="47"/>
      <c r="BV401" s="47"/>
      <c r="BW401" s="47"/>
      <c r="BX401" s="47"/>
      <c r="BY401" s="47"/>
      <c r="BZ401" s="47"/>
    </row>
    <row r="402" spans="1:78" ht="20.25" customHeight="1" x14ac:dyDescent="0.2">
      <c r="A402" s="78"/>
      <c r="B402" s="79"/>
      <c r="C402" s="79"/>
      <c r="D402" s="79"/>
      <c r="E402" s="79"/>
      <c r="F402" s="80"/>
      <c r="G402" s="208" t="s">
        <v>305</v>
      </c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4"/>
      <c r="BE402" s="133"/>
      <c r="BF402" s="133"/>
      <c r="BG402" s="133"/>
      <c r="BH402" s="133"/>
      <c r="BI402" s="133"/>
      <c r="BJ402" s="133"/>
      <c r="BK402" s="133"/>
      <c r="BL402" s="133"/>
      <c r="BT402" s="47"/>
      <c r="BU402" s="47"/>
      <c r="BV402" s="47"/>
      <c r="BW402" s="47"/>
      <c r="BX402" s="47"/>
      <c r="BY402" s="47"/>
      <c r="BZ402" s="47"/>
    </row>
    <row r="403" spans="1:78" ht="21" customHeight="1" x14ac:dyDescent="0.2">
      <c r="A403" s="78"/>
      <c r="B403" s="79"/>
      <c r="C403" s="79"/>
      <c r="D403" s="79"/>
      <c r="E403" s="79"/>
      <c r="F403" s="80"/>
      <c r="G403" s="138" t="s">
        <v>48</v>
      </c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84"/>
      <c r="AA403" s="84"/>
      <c r="AB403" s="84"/>
      <c r="AC403" s="84"/>
      <c r="AD403" s="84"/>
      <c r="AE403" s="85"/>
      <c r="AF403" s="86"/>
      <c r="AG403" s="86"/>
      <c r="AH403" s="86"/>
      <c r="AI403" s="86"/>
      <c r="AJ403" s="86"/>
      <c r="AK403" s="86"/>
      <c r="AL403" s="86"/>
      <c r="AM403" s="86"/>
      <c r="AN403" s="87"/>
      <c r="AO403" s="92"/>
      <c r="AP403" s="92"/>
      <c r="AQ403" s="92"/>
      <c r="AR403" s="92"/>
      <c r="AS403" s="92"/>
      <c r="AT403" s="92"/>
      <c r="AU403" s="92"/>
      <c r="AV403" s="92"/>
      <c r="AW403" s="137"/>
      <c r="AX403" s="137"/>
      <c r="AY403" s="137"/>
      <c r="AZ403" s="137"/>
      <c r="BA403" s="137"/>
      <c r="BB403" s="137"/>
      <c r="BC403" s="137"/>
      <c r="BD403" s="137"/>
      <c r="BE403" s="133"/>
      <c r="BF403" s="133"/>
      <c r="BG403" s="133"/>
      <c r="BH403" s="133"/>
      <c r="BI403" s="133"/>
      <c r="BJ403" s="133"/>
      <c r="BK403" s="133"/>
      <c r="BL403" s="133"/>
      <c r="BT403" s="47"/>
      <c r="BU403" s="47"/>
      <c r="BV403" s="47"/>
      <c r="BW403" s="47"/>
      <c r="BX403" s="47"/>
      <c r="BY403" s="47"/>
      <c r="BZ403" s="47"/>
    </row>
    <row r="404" spans="1:78" ht="21" customHeight="1" x14ac:dyDescent="0.2">
      <c r="A404" s="78"/>
      <c r="B404" s="79"/>
      <c r="C404" s="79"/>
      <c r="D404" s="79"/>
      <c r="E404" s="79"/>
      <c r="F404" s="80"/>
      <c r="G404" s="105" t="s">
        <v>144</v>
      </c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84" t="s">
        <v>104</v>
      </c>
      <c r="AA404" s="84"/>
      <c r="AB404" s="84"/>
      <c r="AC404" s="84"/>
      <c r="AD404" s="84"/>
      <c r="AE404" s="85" t="s">
        <v>66</v>
      </c>
      <c r="AF404" s="86"/>
      <c r="AG404" s="86"/>
      <c r="AH404" s="86"/>
      <c r="AI404" s="86"/>
      <c r="AJ404" s="86"/>
      <c r="AK404" s="86"/>
      <c r="AL404" s="86"/>
      <c r="AM404" s="86"/>
      <c r="AN404" s="87"/>
      <c r="AO404" s="92"/>
      <c r="AP404" s="92"/>
      <c r="AQ404" s="92"/>
      <c r="AR404" s="92"/>
      <c r="AS404" s="92"/>
      <c r="AT404" s="92"/>
      <c r="AU404" s="92"/>
      <c r="AV404" s="92"/>
      <c r="AW404" s="137">
        <v>481000</v>
      </c>
      <c r="AX404" s="137"/>
      <c r="AY404" s="137"/>
      <c r="AZ404" s="137"/>
      <c r="BA404" s="137"/>
      <c r="BB404" s="137"/>
      <c r="BC404" s="137"/>
      <c r="BD404" s="137"/>
      <c r="BE404" s="92">
        <f>AW404</f>
        <v>481000</v>
      </c>
      <c r="BF404" s="92"/>
      <c r="BG404" s="92"/>
      <c r="BH404" s="92"/>
      <c r="BI404" s="92"/>
      <c r="BJ404" s="92"/>
      <c r="BK404" s="92"/>
      <c r="BL404" s="92"/>
      <c r="BT404" s="47"/>
      <c r="BU404" s="47"/>
      <c r="BV404" s="47"/>
      <c r="BW404" s="47"/>
      <c r="BX404" s="47"/>
      <c r="BY404" s="47"/>
      <c r="BZ404" s="47"/>
    </row>
    <row r="405" spans="1:78" ht="18" customHeight="1" x14ac:dyDescent="0.2">
      <c r="A405" s="78"/>
      <c r="B405" s="79"/>
      <c r="C405" s="79"/>
      <c r="D405" s="79"/>
      <c r="E405" s="79"/>
      <c r="F405" s="80"/>
      <c r="G405" s="143" t="s">
        <v>101</v>
      </c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84"/>
      <c r="AA405" s="84"/>
      <c r="AB405" s="84"/>
      <c r="AC405" s="84"/>
      <c r="AD405" s="84"/>
      <c r="AE405" s="85"/>
      <c r="AF405" s="86"/>
      <c r="AG405" s="86"/>
      <c r="AH405" s="86"/>
      <c r="AI405" s="86"/>
      <c r="AJ405" s="86"/>
      <c r="AK405" s="86"/>
      <c r="AL405" s="86"/>
      <c r="AM405" s="86"/>
      <c r="AN405" s="87"/>
      <c r="AO405" s="92"/>
      <c r="AP405" s="92"/>
      <c r="AQ405" s="92"/>
      <c r="AR405" s="92"/>
      <c r="AS405" s="92"/>
      <c r="AT405" s="92"/>
      <c r="AU405" s="92"/>
      <c r="AV405" s="92"/>
      <c r="AW405" s="137"/>
      <c r="AX405" s="137"/>
      <c r="AY405" s="137"/>
      <c r="AZ405" s="137"/>
      <c r="BA405" s="137"/>
      <c r="BB405" s="137"/>
      <c r="BC405" s="137"/>
      <c r="BD405" s="137"/>
      <c r="BE405" s="133"/>
      <c r="BF405" s="133"/>
      <c r="BG405" s="133"/>
      <c r="BH405" s="133"/>
      <c r="BI405" s="133"/>
      <c r="BJ405" s="133"/>
      <c r="BK405" s="133"/>
      <c r="BL405" s="133"/>
      <c r="BT405" s="47"/>
      <c r="BU405" s="47"/>
      <c r="BV405" s="47"/>
      <c r="BW405" s="47"/>
      <c r="BX405" s="47"/>
      <c r="BY405" s="47"/>
      <c r="BZ405" s="47"/>
    </row>
    <row r="406" spans="1:78" ht="18" customHeight="1" x14ac:dyDescent="0.2">
      <c r="A406" s="78"/>
      <c r="B406" s="79"/>
      <c r="C406" s="79"/>
      <c r="D406" s="79"/>
      <c r="E406" s="79"/>
      <c r="F406" s="80"/>
      <c r="G406" s="148" t="s">
        <v>145</v>
      </c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84" t="s">
        <v>67</v>
      </c>
      <c r="AA406" s="84"/>
      <c r="AB406" s="84"/>
      <c r="AC406" s="84"/>
      <c r="AD406" s="84"/>
      <c r="AE406" s="85" t="s">
        <v>121</v>
      </c>
      <c r="AF406" s="86"/>
      <c r="AG406" s="86"/>
      <c r="AH406" s="86"/>
      <c r="AI406" s="86"/>
      <c r="AJ406" s="86"/>
      <c r="AK406" s="86"/>
      <c r="AL406" s="86"/>
      <c r="AM406" s="86"/>
      <c r="AN406" s="87"/>
      <c r="AO406" s="92"/>
      <c r="AP406" s="92"/>
      <c r="AQ406" s="92"/>
      <c r="AR406" s="92"/>
      <c r="AS406" s="92"/>
      <c r="AT406" s="92"/>
      <c r="AU406" s="92"/>
      <c r="AV406" s="92"/>
      <c r="AW406" s="149">
        <v>26</v>
      </c>
      <c r="AX406" s="149"/>
      <c r="AY406" s="149"/>
      <c r="AZ406" s="149"/>
      <c r="BA406" s="149"/>
      <c r="BB406" s="149"/>
      <c r="BC406" s="149"/>
      <c r="BD406" s="149"/>
      <c r="BE406" s="106">
        <f>AW406</f>
        <v>26</v>
      </c>
      <c r="BF406" s="106"/>
      <c r="BG406" s="106"/>
      <c r="BH406" s="106"/>
      <c r="BI406" s="106"/>
      <c r="BJ406" s="106"/>
      <c r="BK406" s="106"/>
      <c r="BL406" s="106"/>
      <c r="BT406" s="47"/>
      <c r="BU406" s="47"/>
      <c r="BV406" s="47"/>
      <c r="BW406" s="47"/>
      <c r="BX406" s="47"/>
      <c r="BY406" s="47"/>
      <c r="BZ406" s="47"/>
    </row>
    <row r="407" spans="1:78" ht="18" customHeight="1" x14ac:dyDescent="0.2">
      <c r="A407" s="78"/>
      <c r="B407" s="79"/>
      <c r="C407" s="79"/>
      <c r="D407" s="79"/>
      <c r="E407" s="79"/>
      <c r="F407" s="80"/>
      <c r="G407" s="143" t="s">
        <v>64</v>
      </c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39"/>
      <c r="AA407" s="139"/>
      <c r="AB407" s="139"/>
      <c r="AC407" s="139"/>
      <c r="AD407" s="139"/>
      <c r="AE407" s="85"/>
      <c r="AF407" s="86"/>
      <c r="AG407" s="86"/>
      <c r="AH407" s="86"/>
      <c r="AI407" s="86"/>
      <c r="AJ407" s="86"/>
      <c r="AK407" s="86"/>
      <c r="AL407" s="86"/>
      <c r="AM407" s="86"/>
      <c r="AN407" s="87"/>
      <c r="AO407" s="90"/>
      <c r="AP407" s="90"/>
      <c r="AQ407" s="90"/>
      <c r="AR407" s="90"/>
      <c r="AS407" s="90"/>
      <c r="AT407" s="90"/>
      <c r="AU407" s="90"/>
      <c r="AV407" s="90"/>
      <c r="AW407" s="137"/>
      <c r="AX407" s="137"/>
      <c r="AY407" s="137"/>
      <c r="AZ407" s="137"/>
      <c r="BA407" s="137"/>
      <c r="BB407" s="137"/>
      <c r="BC407" s="137"/>
      <c r="BD407" s="137"/>
      <c r="BE407" s="133"/>
      <c r="BF407" s="133"/>
      <c r="BG407" s="133"/>
      <c r="BH407" s="133"/>
      <c r="BI407" s="133"/>
      <c r="BJ407" s="133"/>
      <c r="BK407" s="133"/>
      <c r="BL407" s="133"/>
      <c r="BT407" s="47"/>
      <c r="BU407" s="47"/>
      <c r="BV407" s="47"/>
      <c r="BW407" s="47"/>
      <c r="BX407" s="47"/>
      <c r="BY407" s="47"/>
      <c r="BZ407" s="47"/>
    </row>
    <row r="408" spans="1:78" ht="21" customHeight="1" x14ac:dyDescent="0.2">
      <c r="A408" s="78"/>
      <c r="B408" s="79"/>
      <c r="C408" s="79"/>
      <c r="D408" s="79"/>
      <c r="E408" s="79"/>
      <c r="F408" s="80"/>
      <c r="G408" s="148" t="s">
        <v>146</v>
      </c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39" t="s">
        <v>104</v>
      </c>
      <c r="AA408" s="139"/>
      <c r="AB408" s="139"/>
      <c r="AC408" s="139"/>
      <c r="AD408" s="139"/>
      <c r="AE408" s="85" t="s">
        <v>61</v>
      </c>
      <c r="AF408" s="86"/>
      <c r="AG408" s="86"/>
      <c r="AH408" s="86"/>
      <c r="AI408" s="86"/>
      <c r="AJ408" s="86"/>
      <c r="AK408" s="86"/>
      <c r="AL408" s="86"/>
      <c r="AM408" s="86"/>
      <c r="AN408" s="87"/>
      <c r="AO408" s="90"/>
      <c r="AP408" s="90"/>
      <c r="AQ408" s="90"/>
      <c r="AR408" s="90"/>
      <c r="AS408" s="90"/>
      <c r="AT408" s="90"/>
      <c r="AU408" s="90"/>
      <c r="AV408" s="90"/>
      <c r="AW408" s="137">
        <f>AW404/AW406</f>
        <v>18500</v>
      </c>
      <c r="AX408" s="137"/>
      <c r="AY408" s="137"/>
      <c r="AZ408" s="137"/>
      <c r="BA408" s="137"/>
      <c r="BB408" s="137"/>
      <c r="BC408" s="137"/>
      <c r="BD408" s="137"/>
      <c r="BE408" s="133">
        <f>AW408</f>
        <v>18500</v>
      </c>
      <c r="BF408" s="133"/>
      <c r="BG408" s="133"/>
      <c r="BH408" s="133"/>
      <c r="BI408" s="133"/>
      <c r="BJ408" s="133"/>
      <c r="BK408" s="133"/>
      <c r="BL408" s="133"/>
      <c r="BT408" s="47"/>
      <c r="BU408" s="47"/>
      <c r="BV408" s="47"/>
      <c r="BW408" s="47"/>
      <c r="BX408" s="47"/>
      <c r="BY408" s="47"/>
      <c r="BZ408" s="47"/>
    </row>
    <row r="409" spans="1:78" ht="18" customHeight="1" x14ac:dyDescent="0.2">
      <c r="A409" s="78"/>
      <c r="B409" s="79"/>
      <c r="C409" s="79"/>
      <c r="D409" s="79"/>
      <c r="E409" s="79"/>
      <c r="F409" s="80"/>
      <c r="G409" s="138" t="s">
        <v>50</v>
      </c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9"/>
      <c r="AA409" s="139"/>
      <c r="AB409" s="139"/>
      <c r="AC409" s="139"/>
      <c r="AD409" s="139"/>
      <c r="AE409" s="85"/>
      <c r="AF409" s="86"/>
      <c r="AG409" s="86"/>
      <c r="AH409" s="86"/>
      <c r="AI409" s="86"/>
      <c r="AJ409" s="86"/>
      <c r="AK409" s="86"/>
      <c r="AL409" s="86"/>
      <c r="AM409" s="86"/>
      <c r="AN409" s="87"/>
      <c r="AO409" s="90"/>
      <c r="AP409" s="90"/>
      <c r="AQ409" s="90"/>
      <c r="AR409" s="90"/>
      <c r="AS409" s="90"/>
      <c r="AT409" s="90"/>
      <c r="AU409" s="90"/>
      <c r="AV409" s="90"/>
      <c r="AW409" s="137"/>
      <c r="AX409" s="137"/>
      <c r="AY409" s="137"/>
      <c r="AZ409" s="137"/>
      <c r="BA409" s="137"/>
      <c r="BB409" s="137"/>
      <c r="BC409" s="137"/>
      <c r="BD409" s="137"/>
      <c r="BE409" s="133"/>
      <c r="BF409" s="133"/>
      <c r="BG409" s="133"/>
      <c r="BH409" s="133"/>
      <c r="BI409" s="133"/>
      <c r="BJ409" s="133"/>
      <c r="BK409" s="133"/>
      <c r="BL409" s="133"/>
      <c r="BT409" s="47"/>
      <c r="BU409" s="47"/>
      <c r="BV409" s="47"/>
      <c r="BW409" s="47"/>
      <c r="BX409" s="47"/>
      <c r="BY409" s="47"/>
      <c r="BZ409" s="47"/>
    </row>
    <row r="410" spans="1:78" ht="33" customHeight="1" x14ac:dyDescent="0.2">
      <c r="A410" s="78"/>
      <c r="B410" s="79"/>
      <c r="C410" s="79"/>
      <c r="D410" s="79"/>
      <c r="E410" s="79"/>
      <c r="F410" s="80"/>
      <c r="G410" s="105" t="s">
        <v>60</v>
      </c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87" t="s">
        <v>141</v>
      </c>
      <c r="AA410" s="84"/>
      <c r="AB410" s="84"/>
      <c r="AC410" s="84"/>
      <c r="AD410" s="84"/>
      <c r="AE410" s="85" t="s">
        <v>61</v>
      </c>
      <c r="AF410" s="86"/>
      <c r="AG410" s="86"/>
      <c r="AH410" s="86"/>
      <c r="AI410" s="86"/>
      <c r="AJ410" s="86"/>
      <c r="AK410" s="86"/>
      <c r="AL410" s="86"/>
      <c r="AM410" s="86"/>
      <c r="AN410" s="87"/>
      <c r="AO410" s="92"/>
      <c r="AP410" s="92"/>
      <c r="AQ410" s="92"/>
      <c r="AR410" s="92"/>
      <c r="AS410" s="92"/>
      <c r="AT410" s="92"/>
      <c r="AU410" s="92"/>
      <c r="AV410" s="92"/>
      <c r="AW410" s="134">
        <f>AW404/222000</f>
        <v>2.1666666666666665</v>
      </c>
      <c r="AX410" s="135">
        <f>AX404/55038217.28*100</f>
        <v>0</v>
      </c>
      <c r="AY410" s="135">
        <f>AY404/7306614.61*100</f>
        <v>0</v>
      </c>
      <c r="AZ410" s="135">
        <f>AZ404/55038217.28*100</f>
        <v>0</v>
      </c>
      <c r="BA410" s="135">
        <f>BA404/7306614.61*100</f>
        <v>0</v>
      </c>
      <c r="BB410" s="135">
        <f>BB404/55038217.28*100</f>
        <v>0</v>
      </c>
      <c r="BC410" s="135">
        <f>BC404/7306614.61*100</f>
        <v>0</v>
      </c>
      <c r="BD410" s="136">
        <f>BD404/55038217.28*100</f>
        <v>0</v>
      </c>
      <c r="BE410" s="133">
        <f>AW410</f>
        <v>2.1666666666666665</v>
      </c>
      <c r="BF410" s="133"/>
      <c r="BG410" s="133"/>
      <c r="BH410" s="133"/>
      <c r="BI410" s="133"/>
      <c r="BJ410" s="133"/>
      <c r="BK410" s="133"/>
      <c r="BL410" s="133"/>
      <c r="BT410" s="47"/>
      <c r="BU410" s="47"/>
      <c r="BV410" s="47"/>
      <c r="BW410" s="47"/>
      <c r="BX410" s="47"/>
      <c r="BY410" s="47"/>
      <c r="BZ410" s="47"/>
    </row>
    <row r="411" spans="1:78" ht="9" customHeight="1" x14ac:dyDescent="0.2">
      <c r="A411" s="28"/>
      <c r="B411" s="28"/>
      <c r="C411" s="28"/>
      <c r="D411" s="28"/>
      <c r="E411" s="28"/>
      <c r="F411" s="28"/>
      <c r="G411" s="46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31"/>
      <c r="AA411" s="31"/>
      <c r="AB411" s="31"/>
      <c r="AC411" s="31"/>
      <c r="AD411" s="31"/>
      <c r="AE411" s="31"/>
      <c r="AF411" s="28"/>
      <c r="AG411" s="28"/>
      <c r="AH411" s="28"/>
      <c r="AI411" s="28"/>
      <c r="AJ411" s="28"/>
      <c r="AK411" s="28"/>
      <c r="AL411" s="28"/>
      <c r="AM411" s="28"/>
      <c r="AN411" s="28"/>
      <c r="AO411" s="32"/>
      <c r="AP411" s="32"/>
      <c r="AQ411" s="32"/>
      <c r="AR411" s="32"/>
      <c r="AS411" s="32"/>
      <c r="AT411" s="32"/>
      <c r="AU411" s="32"/>
      <c r="AV411" s="32"/>
      <c r="AW411" s="51"/>
      <c r="AX411" s="51"/>
      <c r="AY411" s="51"/>
      <c r="AZ411" s="51"/>
      <c r="BA411" s="51"/>
      <c r="BB411" s="51"/>
      <c r="BC411" s="51"/>
      <c r="BD411" s="51"/>
      <c r="BE411" s="32"/>
      <c r="BF411" s="32"/>
      <c r="BG411" s="32"/>
      <c r="BH411" s="32"/>
      <c r="BI411" s="32"/>
      <c r="BJ411" s="32"/>
      <c r="BK411" s="32"/>
      <c r="BL411" s="32"/>
      <c r="BT411" s="47"/>
      <c r="BU411" s="47"/>
      <c r="BV411" s="47"/>
      <c r="BW411" s="47"/>
      <c r="BX411" s="47"/>
      <c r="BY411" s="47"/>
      <c r="BZ411" s="47"/>
    </row>
    <row r="412" spans="1:78" ht="35.25" customHeight="1" x14ac:dyDescent="0.25">
      <c r="A412" s="73" t="s">
        <v>306</v>
      </c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60"/>
      <c r="AO412" s="185" t="s">
        <v>288</v>
      </c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  <c r="BH412" s="33"/>
      <c r="BI412" s="33"/>
      <c r="BJ412" s="33"/>
      <c r="BK412" s="33"/>
      <c r="BL412" s="33"/>
    </row>
    <row r="413" spans="1:78" ht="15" customHeight="1" x14ac:dyDescent="0.2">
      <c r="W413" s="192" t="s">
        <v>5</v>
      </c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O413" s="194" t="s">
        <v>86</v>
      </c>
      <c r="AP413" s="194"/>
      <c r="AQ413" s="194"/>
      <c r="AR413" s="194"/>
      <c r="AS413" s="194"/>
      <c r="AT413" s="194"/>
      <c r="AU413" s="194"/>
      <c r="AV413" s="194"/>
      <c r="AW413" s="194"/>
      <c r="AX413" s="194"/>
      <c r="AY413" s="194"/>
      <c r="AZ413" s="194"/>
      <c r="BA413" s="194"/>
      <c r="BB413" s="194"/>
      <c r="BC413" s="194"/>
      <c r="BD413" s="194"/>
      <c r="BE413" s="194"/>
      <c r="BF413" s="194"/>
      <c r="BG413" s="194"/>
    </row>
    <row r="414" spans="1:78" ht="15.75" customHeight="1" x14ac:dyDescent="0.2">
      <c r="A414" s="195" t="s">
        <v>3</v>
      </c>
      <c r="B414" s="195"/>
      <c r="C414" s="195"/>
      <c r="D414" s="195"/>
      <c r="E414" s="195"/>
      <c r="F414" s="195"/>
    </row>
    <row r="415" spans="1:78" ht="19.5" customHeight="1" x14ac:dyDescent="0.2">
      <c r="A415" s="198" t="s">
        <v>53</v>
      </c>
      <c r="B415" s="198"/>
      <c r="C415" s="198"/>
      <c r="D415" s="198"/>
      <c r="E415" s="198"/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</row>
    <row r="416" spans="1:78" x14ac:dyDescent="0.2">
      <c r="A416" s="37" t="s">
        <v>30</v>
      </c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</row>
    <row r="417" spans="1:59" ht="6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</row>
    <row r="418" spans="1:59" ht="30" customHeight="1" x14ac:dyDescent="0.25">
      <c r="A418" s="73" t="s">
        <v>286</v>
      </c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58"/>
      <c r="X418" s="58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8"/>
      <c r="AM418" s="58"/>
      <c r="AN418" s="60"/>
      <c r="AO418" s="196" t="s">
        <v>287</v>
      </c>
      <c r="AP418" s="196"/>
      <c r="AQ418" s="196"/>
      <c r="AR418" s="196"/>
      <c r="AS418" s="196"/>
      <c r="AT418" s="196"/>
      <c r="AU418" s="196"/>
      <c r="AV418" s="196"/>
      <c r="AW418" s="196"/>
      <c r="AX418" s="196"/>
      <c r="AY418" s="196"/>
      <c r="AZ418" s="196"/>
      <c r="BA418" s="196"/>
      <c r="BB418" s="196"/>
      <c r="BC418" s="196"/>
      <c r="BD418" s="196"/>
      <c r="BE418" s="196"/>
      <c r="BF418" s="196"/>
      <c r="BG418" s="196"/>
    </row>
    <row r="419" spans="1:59" ht="15" customHeight="1" x14ac:dyDescent="0.2">
      <c r="W419" s="197" t="s">
        <v>5</v>
      </c>
      <c r="X419" s="197"/>
      <c r="Y419" s="197"/>
      <c r="Z419" s="197"/>
      <c r="AA419" s="197"/>
      <c r="AB419" s="197"/>
      <c r="AC419" s="197"/>
      <c r="AD419" s="197"/>
      <c r="AE419" s="197"/>
      <c r="AF419" s="197"/>
      <c r="AG419" s="197"/>
      <c r="AH419" s="197"/>
      <c r="AI419" s="197"/>
      <c r="AJ419" s="197"/>
      <c r="AK419" s="197"/>
      <c r="AL419" s="197"/>
      <c r="AM419" s="197"/>
      <c r="AN419" s="36"/>
      <c r="AO419" s="194" t="s">
        <v>86</v>
      </c>
      <c r="AP419" s="194"/>
      <c r="AQ419" s="194"/>
      <c r="AR419" s="194"/>
      <c r="AS419" s="194"/>
      <c r="AT419" s="194"/>
      <c r="AU419" s="194"/>
      <c r="AV419" s="194"/>
      <c r="AW419" s="194"/>
      <c r="AX419" s="194"/>
      <c r="AY419" s="194"/>
      <c r="AZ419" s="194"/>
      <c r="BA419" s="194"/>
      <c r="BB419" s="194"/>
      <c r="BC419" s="194"/>
      <c r="BD419" s="194"/>
      <c r="BE419" s="194"/>
      <c r="BF419" s="194"/>
      <c r="BG419" s="194"/>
    </row>
    <row r="420" spans="1:59" ht="12" customHeight="1" x14ac:dyDescent="0.2">
      <c r="A420" s="193">
        <f>AO7</f>
        <v>45254</v>
      </c>
      <c r="B420" s="193"/>
      <c r="C420" s="193"/>
      <c r="D420" s="193"/>
      <c r="E420" s="193"/>
      <c r="F420" s="193"/>
      <c r="G420" s="193"/>
      <c r="H420" s="193"/>
    </row>
    <row r="421" spans="1:59" ht="14.25" customHeight="1" x14ac:dyDescent="0.2">
      <c r="A421" s="192" t="s">
        <v>28</v>
      </c>
      <c r="B421" s="192"/>
      <c r="C421" s="192"/>
      <c r="D421" s="192"/>
      <c r="E421" s="192"/>
      <c r="F421" s="192"/>
      <c r="G421" s="192"/>
      <c r="H421" s="192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1:59" ht="15" customHeight="1" x14ac:dyDescent="0.2">
      <c r="A422" s="1" t="s">
        <v>29</v>
      </c>
    </row>
  </sheetData>
  <mergeCells count="2145">
    <mergeCell ref="BE384:BL384"/>
    <mergeCell ref="G384:Y384"/>
    <mergeCell ref="A384:F384"/>
    <mergeCell ref="Z384:AD384"/>
    <mergeCell ref="AE384:AN384"/>
    <mergeCell ref="AO384:AV384"/>
    <mergeCell ref="AW384:BD384"/>
    <mergeCell ref="A327:F327"/>
    <mergeCell ref="A326:F326"/>
    <mergeCell ref="BE375:BL375"/>
    <mergeCell ref="A379:F379"/>
    <mergeCell ref="G379:Y379"/>
    <mergeCell ref="Z379:AD379"/>
    <mergeCell ref="AE379:AN379"/>
    <mergeCell ref="AO379:AV379"/>
    <mergeCell ref="AW379:BD379"/>
    <mergeCell ref="BE379:BL379"/>
    <mergeCell ref="A336:F336"/>
    <mergeCell ref="AE285:AN285"/>
    <mergeCell ref="Z375:AD375"/>
    <mergeCell ref="AE375:AN375"/>
    <mergeCell ref="AO375:AV375"/>
    <mergeCell ref="AW375:BD375"/>
    <mergeCell ref="A374:F374"/>
    <mergeCell ref="AO309:AV309"/>
    <mergeCell ref="A329:F329"/>
    <mergeCell ref="A328:F328"/>
    <mergeCell ref="G273:Y273"/>
    <mergeCell ref="AW381:BD381"/>
    <mergeCell ref="AW378:BD378"/>
    <mergeCell ref="AO376:AV376"/>
    <mergeCell ref="AW376:BD376"/>
    <mergeCell ref="Z312:AD312"/>
    <mergeCell ref="G312:Y312"/>
    <mergeCell ref="G375:Y375"/>
    <mergeCell ref="Z289:AD289"/>
    <mergeCell ref="G285:Y285"/>
    <mergeCell ref="AE383:AN383"/>
    <mergeCell ref="AO383:AV383"/>
    <mergeCell ref="AW383:BD383"/>
    <mergeCell ref="G383:Y383"/>
    <mergeCell ref="G374:Y374"/>
    <mergeCell ref="AW374:BD374"/>
    <mergeCell ref="AO378:AV378"/>
    <mergeCell ref="Z374:AD374"/>
    <mergeCell ref="AO381:AV381"/>
    <mergeCell ref="Z381:AD381"/>
    <mergeCell ref="A360:F360"/>
    <mergeCell ref="A359:F359"/>
    <mergeCell ref="A367:F367"/>
    <mergeCell ref="A365:F365"/>
    <mergeCell ref="A312:F312"/>
    <mergeCell ref="A313:F313"/>
    <mergeCell ref="A338:F338"/>
    <mergeCell ref="A324:F324"/>
    <mergeCell ref="A323:F323"/>
    <mergeCell ref="A325:F325"/>
    <mergeCell ref="A223:F223"/>
    <mergeCell ref="BA206:BH206"/>
    <mergeCell ref="Z309:AD309"/>
    <mergeCell ref="G309:Y309"/>
    <mergeCell ref="A206:C206"/>
    <mergeCell ref="D206:AJ206"/>
    <mergeCell ref="A263:F263"/>
    <mergeCell ref="A273:F273"/>
    <mergeCell ref="G272:Y272"/>
    <mergeCell ref="Z273:AD273"/>
    <mergeCell ref="A217:F217"/>
    <mergeCell ref="A225:F225"/>
    <mergeCell ref="G222:Y222"/>
    <mergeCell ref="G218:Y218"/>
    <mergeCell ref="A241:F241"/>
    <mergeCell ref="A240:F240"/>
    <mergeCell ref="G240:Y240"/>
    <mergeCell ref="A237:F237"/>
    <mergeCell ref="A238:F238"/>
    <mergeCell ref="G238:Y238"/>
    <mergeCell ref="A158:C158"/>
    <mergeCell ref="BA146:BH146"/>
    <mergeCell ref="A147:C147"/>
    <mergeCell ref="AK147:AR147"/>
    <mergeCell ref="AS147:AZ147"/>
    <mergeCell ref="D148:AJ148"/>
    <mergeCell ref="BA147:BH147"/>
    <mergeCell ref="AK146:AR146"/>
    <mergeCell ref="D152:AJ152"/>
    <mergeCell ref="AK151:AR151"/>
    <mergeCell ref="G262:Y262"/>
    <mergeCell ref="D186:AJ186"/>
    <mergeCell ref="AK187:AR187"/>
    <mergeCell ref="A128:C128"/>
    <mergeCell ref="AK128:AR128"/>
    <mergeCell ref="A159:C159"/>
    <mergeCell ref="AE216:AN216"/>
    <mergeCell ref="A212:F212"/>
    <mergeCell ref="D195:AJ195"/>
    <mergeCell ref="D162:AJ162"/>
    <mergeCell ref="AK184:AR184"/>
    <mergeCell ref="AK172:AR172"/>
    <mergeCell ref="G261:Y261"/>
    <mergeCell ref="D159:AJ159"/>
    <mergeCell ref="D157:AJ157"/>
    <mergeCell ref="AK185:AR185"/>
    <mergeCell ref="AK182:AR182"/>
    <mergeCell ref="AK186:AR186"/>
    <mergeCell ref="D189:AJ189"/>
    <mergeCell ref="D196:AJ196"/>
    <mergeCell ref="Z272:AD272"/>
    <mergeCell ref="G269:Y269"/>
    <mergeCell ref="Z268:AD268"/>
    <mergeCell ref="A248:F248"/>
    <mergeCell ref="A242:F242"/>
    <mergeCell ref="A262:F262"/>
    <mergeCell ref="Z261:AD261"/>
    <mergeCell ref="Z262:AD262"/>
    <mergeCell ref="G249:Y249"/>
    <mergeCell ref="A269:F269"/>
    <mergeCell ref="A284:F284"/>
    <mergeCell ref="A283:F283"/>
    <mergeCell ref="A288:F288"/>
    <mergeCell ref="G288:Y288"/>
    <mergeCell ref="Z288:AD288"/>
    <mergeCell ref="A289:F289"/>
    <mergeCell ref="D193:AJ194"/>
    <mergeCell ref="G266:Y266"/>
    <mergeCell ref="Z250:AD250"/>
    <mergeCell ref="Z265:AD265"/>
    <mergeCell ref="AE240:AN240"/>
    <mergeCell ref="AE238:AN238"/>
    <mergeCell ref="A261:F261"/>
    <mergeCell ref="G248:Y248"/>
    <mergeCell ref="A266:F266"/>
    <mergeCell ref="A264:F264"/>
    <mergeCell ref="A296:F296"/>
    <mergeCell ref="Z285:AD285"/>
    <mergeCell ref="A318:F318"/>
    <mergeCell ref="A310:F310"/>
    <mergeCell ref="A292:F292"/>
    <mergeCell ref="G292:Y292"/>
    <mergeCell ref="Z292:AD292"/>
    <mergeCell ref="A317:F317"/>
    <mergeCell ref="A285:F285"/>
    <mergeCell ref="Z291:AD291"/>
    <mergeCell ref="A302:F302"/>
    <mergeCell ref="A300:F300"/>
    <mergeCell ref="A306:F306"/>
    <mergeCell ref="A305:F305"/>
    <mergeCell ref="A304:F304"/>
    <mergeCell ref="A301:F301"/>
    <mergeCell ref="A335:F335"/>
    <mergeCell ref="A332:F332"/>
    <mergeCell ref="A331:F331"/>
    <mergeCell ref="A330:F330"/>
    <mergeCell ref="A334:F334"/>
    <mergeCell ref="A333:F333"/>
    <mergeCell ref="A349:F349"/>
    <mergeCell ref="A348:F348"/>
    <mergeCell ref="A347:F347"/>
    <mergeCell ref="A344:F344"/>
    <mergeCell ref="A341:F341"/>
    <mergeCell ref="A340:F340"/>
    <mergeCell ref="A346:F346"/>
    <mergeCell ref="A345:F345"/>
    <mergeCell ref="A363:F363"/>
    <mergeCell ref="A362:F362"/>
    <mergeCell ref="A361:F361"/>
    <mergeCell ref="A377:F377"/>
    <mergeCell ref="A376:F376"/>
    <mergeCell ref="A373:F373"/>
    <mergeCell ref="A372:F372"/>
    <mergeCell ref="A371:F371"/>
    <mergeCell ref="A370:F370"/>
    <mergeCell ref="A375:F375"/>
    <mergeCell ref="A386:F386"/>
    <mergeCell ref="A385:F385"/>
    <mergeCell ref="A382:F382"/>
    <mergeCell ref="A381:F381"/>
    <mergeCell ref="A380:F380"/>
    <mergeCell ref="A378:F378"/>
    <mergeCell ref="A383:F383"/>
    <mergeCell ref="D161:AJ161"/>
    <mergeCell ref="D154:AJ154"/>
    <mergeCell ref="AK148:AR148"/>
    <mergeCell ref="A368:F368"/>
    <mergeCell ref="A358:F358"/>
    <mergeCell ref="A357:F357"/>
    <mergeCell ref="A355:F355"/>
    <mergeCell ref="A351:F351"/>
    <mergeCell ref="D185:AJ185"/>
    <mergeCell ref="A364:F364"/>
    <mergeCell ref="A271:F271"/>
    <mergeCell ref="AE246:AN246"/>
    <mergeCell ref="A105:C105"/>
    <mergeCell ref="D105:AJ105"/>
    <mergeCell ref="AK105:AR105"/>
    <mergeCell ref="D141:AJ141"/>
    <mergeCell ref="D142:AJ142"/>
    <mergeCell ref="D144:AJ144"/>
    <mergeCell ref="D150:AJ150"/>
    <mergeCell ref="D164:AJ164"/>
    <mergeCell ref="AE279:AN279"/>
    <mergeCell ref="A279:F279"/>
    <mergeCell ref="A222:F222"/>
    <mergeCell ref="Z222:AD222"/>
    <mergeCell ref="D146:AJ146"/>
    <mergeCell ref="AK189:AR189"/>
    <mergeCell ref="A146:C146"/>
    <mergeCell ref="D149:AJ149"/>
    <mergeCell ref="Z225:AD225"/>
    <mergeCell ref="D197:AJ197"/>
    <mergeCell ref="BE268:BL268"/>
    <mergeCell ref="BE269:BL269"/>
    <mergeCell ref="BE222:BL222"/>
    <mergeCell ref="AE269:AN269"/>
    <mergeCell ref="AS188:AZ188"/>
    <mergeCell ref="D187:AJ187"/>
    <mergeCell ref="D188:AJ188"/>
    <mergeCell ref="AK188:AR188"/>
    <mergeCell ref="AW222:BD222"/>
    <mergeCell ref="G263:BD263"/>
    <mergeCell ref="BE267:BL267"/>
    <mergeCell ref="AW264:BD264"/>
    <mergeCell ref="A247:F247"/>
    <mergeCell ref="G230:Y230"/>
    <mergeCell ref="G231:Y231"/>
    <mergeCell ref="AW257:BD257"/>
    <mergeCell ref="Z249:AD249"/>
    <mergeCell ref="AW234:BD234"/>
    <mergeCell ref="BE236:BL236"/>
    <mergeCell ref="AO249:AV249"/>
    <mergeCell ref="D151:AJ151"/>
    <mergeCell ref="D147:AJ147"/>
    <mergeCell ref="D134:AJ134"/>
    <mergeCell ref="D135:AJ135"/>
    <mergeCell ref="D136:AJ136"/>
    <mergeCell ref="D139:AJ139"/>
    <mergeCell ref="D123:AJ123"/>
    <mergeCell ref="D124:AJ124"/>
    <mergeCell ref="D130:AJ130"/>
    <mergeCell ref="D129:AJ129"/>
    <mergeCell ref="D116:AJ116"/>
    <mergeCell ref="D117:AJ117"/>
    <mergeCell ref="D119:AJ119"/>
    <mergeCell ref="D128:AJ128"/>
    <mergeCell ref="D121:AJ121"/>
    <mergeCell ref="D132:AJ132"/>
    <mergeCell ref="D111:AJ111"/>
    <mergeCell ref="D84:AJ84"/>
    <mergeCell ref="D109:AJ109"/>
    <mergeCell ref="D106:AJ106"/>
    <mergeCell ref="D90:AJ90"/>
    <mergeCell ref="D107:AJ107"/>
    <mergeCell ref="D87:AJ87"/>
    <mergeCell ref="D88:AJ88"/>
    <mergeCell ref="D89:AJ89"/>
    <mergeCell ref="D97:AJ97"/>
    <mergeCell ref="AE398:AN398"/>
    <mergeCell ref="D120:AJ120"/>
    <mergeCell ref="D118:AJ118"/>
    <mergeCell ref="D112:AJ112"/>
    <mergeCell ref="D113:AJ113"/>
    <mergeCell ref="D125:AJ125"/>
    <mergeCell ref="D126:AJ126"/>
    <mergeCell ref="D127:AJ127"/>
    <mergeCell ref="D114:AJ114"/>
    <mergeCell ref="D115:AJ115"/>
    <mergeCell ref="D95:AJ95"/>
    <mergeCell ref="A407:F407"/>
    <mergeCell ref="A406:F406"/>
    <mergeCell ref="A405:F405"/>
    <mergeCell ref="A404:F404"/>
    <mergeCell ref="A402:F402"/>
    <mergeCell ref="A398:F398"/>
    <mergeCell ref="A400:F400"/>
    <mergeCell ref="G398:Y398"/>
    <mergeCell ref="Z398:AD398"/>
    <mergeCell ref="D82:AJ82"/>
    <mergeCell ref="D83:AJ83"/>
    <mergeCell ref="D93:AJ93"/>
    <mergeCell ref="D74:AJ74"/>
    <mergeCell ref="D75:AJ75"/>
    <mergeCell ref="D76:AJ76"/>
    <mergeCell ref="Z396:AD396"/>
    <mergeCell ref="AE396:AN396"/>
    <mergeCell ref="Z394:AD394"/>
    <mergeCell ref="D73:AJ73"/>
    <mergeCell ref="D81:AJ81"/>
    <mergeCell ref="D72:AJ72"/>
    <mergeCell ref="D65:AJ65"/>
    <mergeCell ref="D66:AJ66"/>
    <mergeCell ref="D67:AJ67"/>
    <mergeCell ref="D68:AJ68"/>
    <mergeCell ref="D69:AJ69"/>
    <mergeCell ref="D70:AJ70"/>
    <mergeCell ref="D71:AJ71"/>
    <mergeCell ref="D52:AJ53"/>
    <mergeCell ref="D54:AJ54"/>
    <mergeCell ref="D56:AJ56"/>
    <mergeCell ref="D58:AJ58"/>
    <mergeCell ref="D59:AJ59"/>
    <mergeCell ref="D60:AJ60"/>
    <mergeCell ref="AC55:AJ55"/>
    <mergeCell ref="D55:AB55"/>
    <mergeCell ref="D57:AJ57"/>
    <mergeCell ref="AK177:AR177"/>
    <mergeCell ref="AK163:AR163"/>
    <mergeCell ref="AK164:AR164"/>
    <mergeCell ref="AK167:AR167"/>
    <mergeCell ref="AK174:AR174"/>
    <mergeCell ref="AK175:AR175"/>
    <mergeCell ref="AK176:AR176"/>
    <mergeCell ref="AK168:AR168"/>
    <mergeCell ref="AK169:AR169"/>
    <mergeCell ref="AK170:AR170"/>
    <mergeCell ref="AK178:AR178"/>
    <mergeCell ref="AK181:AR181"/>
    <mergeCell ref="D62:AJ62"/>
    <mergeCell ref="AK179:AR179"/>
    <mergeCell ref="AK180:AR180"/>
    <mergeCell ref="D63:AJ63"/>
    <mergeCell ref="D64:AJ64"/>
    <mergeCell ref="AK156:AR156"/>
    <mergeCell ref="AK140:AR140"/>
    <mergeCell ref="AK141:AR141"/>
    <mergeCell ref="AK142:AR142"/>
    <mergeCell ref="AK158:AR158"/>
    <mergeCell ref="AK150:AR150"/>
    <mergeCell ref="AK149:AR149"/>
    <mergeCell ref="AK144:AR144"/>
    <mergeCell ref="AK130:AR130"/>
    <mergeCell ref="AK131:AR131"/>
    <mergeCell ref="AK132:AR132"/>
    <mergeCell ref="AK134:AR134"/>
    <mergeCell ref="AK139:AR139"/>
    <mergeCell ref="AK136:AR136"/>
    <mergeCell ref="AK120:AR120"/>
    <mergeCell ref="AK123:AR123"/>
    <mergeCell ref="AK124:AR124"/>
    <mergeCell ref="AK125:AR125"/>
    <mergeCell ref="AK126:AR126"/>
    <mergeCell ref="AK127:AR127"/>
    <mergeCell ref="AK121:AR121"/>
    <mergeCell ref="AK129:AR129"/>
    <mergeCell ref="AK114:AR114"/>
    <mergeCell ref="AK115:AR115"/>
    <mergeCell ref="AK116:AR116"/>
    <mergeCell ref="AK117:AR117"/>
    <mergeCell ref="AK118:AR118"/>
    <mergeCell ref="AK119:AR119"/>
    <mergeCell ref="AK107:AR107"/>
    <mergeCell ref="AK109:AR109"/>
    <mergeCell ref="AK110:AR110"/>
    <mergeCell ref="AK111:AR111"/>
    <mergeCell ref="AK112:AR112"/>
    <mergeCell ref="AK113:AR113"/>
    <mergeCell ref="AK106:AR106"/>
    <mergeCell ref="AK77:AR77"/>
    <mergeCell ref="AK78:AR78"/>
    <mergeCell ref="AK79:AR79"/>
    <mergeCell ref="A397:F397"/>
    <mergeCell ref="A396:F396"/>
    <mergeCell ref="A395:F395"/>
    <mergeCell ref="A394:F394"/>
    <mergeCell ref="A393:F393"/>
    <mergeCell ref="AK81:AR81"/>
    <mergeCell ref="AK103:AR103"/>
    <mergeCell ref="AK104:AR104"/>
    <mergeCell ref="AK100:AR100"/>
    <mergeCell ref="AK92:AR92"/>
    <mergeCell ref="AK93:AR93"/>
    <mergeCell ref="AK94:AR94"/>
    <mergeCell ref="AK95:AR95"/>
    <mergeCell ref="AK96:AR96"/>
    <mergeCell ref="AK97:AR97"/>
    <mergeCell ref="AK89:AR89"/>
    <mergeCell ref="AK90:AR90"/>
    <mergeCell ref="AK71:AR71"/>
    <mergeCell ref="AK72:AR72"/>
    <mergeCell ref="AK73:AR73"/>
    <mergeCell ref="AK74:AR74"/>
    <mergeCell ref="AK75:AR75"/>
    <mergeCell ref="AK76:AR76"/>
    <mergeCell ref="AK82:AR82"/>
    <mergeCell ref="AK83:AR83"/>
    <mergeCell ref="AK67:AR67"/>
    <mergeCell ref="AK68:AR68"/>
    <mergeCell ref="AK69:AR69"/>
    <mergeCell ref="AK70:AR70"/>
    <mergeCell ref="AK87:AR87"/>
    <mergeCell ref="AK88:AR88"/>
    <mergeCell ref="AK61:AR61"/>
    <mergeCell ref="AK62:AR62"/>
    <mergeCell ref="AK63:AR63"/>
    <mergeCell ref="AK64:AR64"/>
    <mergeCell ref="AK65:AR65"/>
    <mergeCell ref="AK66:AR66"/>
    <mergeCell ref="AK52:AR53"/>
    <mergeCell ref="AK54:AR54"/>
    <mergeCell ref="AK56:AR56"/>
    <mergeCell ref="AK58:AR58"/>
    <mergeCell ref="AK59:AR59"/>
    <mergeCell ref="AK60:AR60"/>
    <mergeCell ref="AK57:AR57"/>
    <mergeCell ref="BA65:BH65"/>
    <mergeCell ref="BA90:BH90"/>
    <mergeCell ref="AS58:AZ58"/>
    <mergeCell ref="AS69:AZ69"/>
    <mergeCell ref="AS109:AZ109"/>
    <mergeCell ref="BA59:BH59"/>
    <mergeCell ref="AS61:AZ61"/>
    <mergeCell ref="AS60:AZ60"/>
    <mergeCell ref="AS59:AZ59"/>
    <mergeCell ref="BA66:BH66"/>
    <mergeCell ref="BA71:BH71"/>
    <mergeCell ref="BA89:BH89"/>
    <mergeCell ref="BA88:BH88"/>
    <mergeCell ref="BA76:BH76"/>
    <mergeCell ref="BA189:BH189"/>
    <mergeCell ref="BA75:BH75"/>
    <mergeCell ref="BA111:BH111"/>
    <mergeCell ref="BA188:BH188"/>
    <mergeCell ref="BA110:BH110"/>
    <mergeCell ref="BA129:BH129"/>
    <mergeCell ref="AS100:AZ100"/>
    <mergeCell ref="BA73:BH73"/>
    <mergeCell ref="BA72:BH72"/>
    <mergeCell ref="BA102:BH102"/>
    <mergeCell ref="BA101:BH101"/>
    <mergeCell ref="AS189:AZ189"/>
    <mergeCell ref="AS119:AZ119"/>
    <mergeCell ref="BA130:BH130"/>
    <mergeCell ref="AS90:AZ90"/>
    <mergeCell ref="AS107:AZ107"/>
    <mergeCell ref="AS71:AZ71"/>
    <mergeCell ref="AS91:AZ91"/>
    <mergeCell ref="AS104:AZ104"/>
    <mergeCell ref="AS103:AZ103"/>
    <mergeCell ref="AS75:AZ75"/>
    <mergeCell ref="AS74:AZ74"/>
    <mergeCell ref="AS73:AZ73"/>
    <mergeCell ref="AS72:AZ72"/>
    <mergeCell ref="AS76:AZ76"/>
    <mergeCell ref="AS92:AZ92"/>
    <mergeCell ref="BA112:BH112"/>
    <mergeCell ref="AS112:AZ112"/>
    <mergeCell ref="BA114:BH114"/>
    <mergeCell ref="BA113:BH113"/>
    <mergeCell ref="AS105:AZ105"/>
    <mergeCell ref="BA105:BH105"/>
    <mergeCell ref="AS106:AZ106"/>
    <mergeCell ref="BA109:BH109"/>
    <mergeCell ref="AS110:AZ110"/>
    <mergeCell ref="AS125:AZ125"/>
    <mergeCell ref="AS124:AZ124"/>
    <mergeCell ref="BA134:BH134"/>
    <mergeCell ref="AS118:AZ118"/>
    <mergeCell ref="BA128:BH128"/>
    <mergeCell ref="AS128:AZ128"/>
    <mergeCell ref="BA132:BH132"/>
    <mergeCell ref="BA127:BH127"/>
    <mergeCell ref="AS127:AZ127"/>
    <mergeCell ref="BA118:BH118"/>
    <mergeCell ref="BA135:BH135"/>
    <mergeCell ref="AS134:AZ134"/>
    <mergeCell ref="BA138:BH138"/>
    <mergeCell ref="BA137:BH137"/>
    <mergeCell ref="BA136:BH136"/>
    <mergeCell ref="AS137:AZ137"/>
    <mergeCell ref="BA142:BH142"/>
    <mergeCell ref="BA141:BH141"/>
    <mergeCell ref="AS146:AZ146"/>
    <mergeCell ref="BA106:BH106"/>
    <mergeCell ref="BA120:BH120"/>
    <mergeCell ref="BA117:BH117"/>
    <mergeCell ref="BA116:BH116"/>
    <mergeCell ref="BA115:BH115"/>
    <mergeCell ref="AS117:AZ117"/>
    <mergeCell ref="BA140:BH140"/>
    <mergeCell ref="AS151:AZ151"/>
    <mergeCell ref="BA152:BH152"/>
    <mergeCell ref="BA153:BH153"/>
    <mergeCell ref="BA154:BH154"/>
    <mergeCell ref="BA160:BH160"/>
    <mergeCell ref="AS152:AZ152"/>
    <mergeCell ref="AS153:AZ153"/>
    <mergeCell ref="AS158:AZ158"/>
    <mergeCell ref="BA156:BH156"/>
    <mergeCell ref="BA158:BH158"/>
    <mergeCell ref="AS83:AZ83"/>
    <mergeCell ref="BA93:BH93"/>
    <mergeCell ref="AS121:AZ121"/>
    <mergeCell ref="BA121:BH121"/>
    <mergeCell ref="AS94:AZ94"/>
    <mergeCell ref="AS170:AZ170"/>
    <mergeCell ref="BA159:BH159"/>
    <mergeCell ref="AS163:AZ163"/>
    <mergeCell ref="BA148:BH148"/>
    <mergeCell ref="AS148:AZ148"/>
    <mergeCell ref="A187:C187"/>
    <mergeCell ref="A188:C188"/>
    <mergeCell ref="A148:C148"/>
    <mergeCell ref="A149:C149"/>
    <mergeCell ref="AS149:AZ149"/>
    <mergeCell ref="BA131:BH131"/>
    <mergeCell ref="BA171:BH171"/>
    <mergeCell ref="BA150:BH150"/>
    <mergeCell ref="BA144:BH144"/>
    <mergeCell ref="BA175:BH175"/>
    <mergeCell ref="BE342:BL342"/>
    <mergeCell ref="BE343:BL343"/>
    <mergeCell ref="AW333:BD333"/>
    <mergeCell ref="AW332:BD332"/>
    <mergeCell ref="BE336:BL336"/>
    <mergeCell ref="BE339:BL339"/>
    <mergeCell ref="G340:BD340"/>
    <mergeCell ref="BE340:BL340"/>
    <mergeCell ref="Z342:AD342"/>
    <mergeCell ref="AE343:AN343"/>
    <mergeCell ref="AW349:BD349"/>
    <mergeCell ref="Z343:AD343"/>
    <mergeCell ref="AE309:AN309"/>
    <mergeCell ref="AO312:AV312"/>
    <mergeCell ref="AO288:AV288"/>
    <mergeCell ref="AE275:AN275"/>
    <mergeCell ref="AE331:AN331"/>
    <mergeCell ref="AW342:BD342"/>
    <mergeCell ref="AW343:BD343"/>
    <mergeCell ref="AE276:AN276"/>
    <mergeCell ref="AO311:AV311"/>
    <mergeCell ref="AO319:AV319"/>
    <mergeCell ref="G318:BL318"/>
    <mergeCell ref="BE309:BL309"/>
    <mergeCell ref="AW301:BD301"/>
    <mergeCell ref="G313:Y313"/>
    <mergeCell ref="AE305:AN305"/>
    <mergeCell ref="BE312:BL312"/>
    <mergeCell ref="AW312:BD312"/>
    <mergeCell ref="AW314:BD314"/>
    <mergeCell ref="BE398:BL398"/>
    <mergeCell ref="G232:Y232"/>
    <mergeCell ref="Z232:AD232"/>
    <mergeCell ref="AE232:AN232"/>
    <mergeCell ref="AO232:AV232"/>
    <mergeCell ref="AW232:BD232"/>
    <mergeCell ref="BE232:BL232"/>
    <mergeCell ref="AW292:BD292"/>
    <mergeCell ref="BE292:BL292"/>
    <mergeCell ref="Z349:AD349"/>
    <mergeCell ref="AO398:AV398"/>
    <mergeCell ref="AW398:BD398"/>
    <mergeCell ref="BE396:BL396"/>
    <mergeCell ref="G397:Y397"/>
    <mergeCell ref="Z397:AD397"/>
    <mergeCell ref="AE397:AN397"/>
    <mergeCell ref="AO397:AV397"/>
    <mergeCell ref="AW397:BD397"/>
    <mergeCell ref="BE397:BL397"/>
    <mergeCell ref="G396:Y396"/>
    <mergeCell ref="AO396:AV396"/>
    <mergeCell ref="AW396:BD396"/>
    <mergeCell ref="BE394:BL394"/>
    <mergeCell ref="G395:Y395"/>
    <mergeCell ref="Z395:AD395"/>
    <mergeCell ref="AE395:AN395"/>
    <mergeCell ref="AO395:AV395"/>
    <mergeCell ref="AW395:BD395"/>
    <mergeCell ref="BE395:BL395"/>
    <mergeCell ref="G394:Y394"/>
    <mergeCell ref="AE394:AN394"/>
    <mergeCell ref="AO394:AV394"/>
    <mergeCell ref="AW394:BD394"/>
    <mergeCell ref="BE392:BL392"/>
    <mergeCell ref="G393:Y393"/>
    <mergeCell ref="Z393:AD393"/>
    <mergeCell ref="AE393:AN393"/>
    <mergeCell ref="AO393:AV393"/>
    <mergeCell ref="AW393:BD393"/>
    <mergeCell ref="BE393:BL393"/>
    <mergeCell ref="G392:Y392"/>
    <mergeCell ref="Z392:AD392"/>
    <mergeCell ref="AE392:AN392"/>
    <mergeCell ref="AO392:AV392"/>
    <mergeCell ref="AW392:BD392"/>
    <mergeCell ref="AE391:AN391"/>
    <mergeCell ref="AO391:AV391"/>
    <mergeCell ref="AW391:BD391"/>
    <mergeCell ref="G391:Y391"/>
    <mergeCell ref="Z391:AD391"/>
    <mergeCell ref="BE391:BL391"/>
    <mergeCell ref="G390:BD390"/>
    <mergeCell ref="G389:Y389"/>
    <mergeCell ref="Z389:AD389"/>
    <mergeCell ref="AE389:AN389"/>
    <mergeCell ref="AO389:AV389"/>
    <mergeCell ref="AW389:BD389"/>
    <mergeCell ref="BE389:BL389"/>
    <mergeCell ref="BE390:BL390"/>
    <mergeCell ref="G388:Y388"/>
    <mergeCell ref="Z388:AD388"/>
    <mergeCell ref="AE388:AN388"/>
    <mergeCell ref="AO388:AV388"/>
    <mergeCell ref="AW388:BD388"/>
    <mergeCell ref="BE388:BL388"/>
    <mergeCell ref="BE385:BL385"/>
    <mergeCell ref="G386:Y386"/>
    <mergeCell ref="Z386:AD386"/>
    <mergeCell ref="AE386:AN386"/>
    <mergeCell ref="AO386:AV386"/>
    <mergeCell ref="AW386:BD386"/>
    <mergeCell ref="BE386:BL386"/>
    <mergeCell ref="G385:Y385"/>
    <mergeCell ref="Z385:AD385"/>
    <mergeCell ref="AE385:AN385"/>
    <mergeCell ref="AO385:AV385"/>
    <mergeCell ref="AW385:BD385"/>
    <mergeCell ref="BE381:BL381"/>
    <mergeCell ref="G382:Y382"/>
    <mergeCell ref="Z382:AD382"/>
    <mergeCell ref="AE382:AN382"/>
    <mergeCell ref="AO382:AV382"/>
    <mergeCell ref="AW382:BD382"/>
    <mergeCell ref="BE382:BL382"/>
    <mergeCell ref="G381:Y381"/>
    <mergeCell ref="AE381:AN381"/>
    <mergeCell ref="BE378:BL378"/>
    <mergeCell ref="G380:Y380"/>
    <mergeCell ref="Z380:AD380"/>
    <mergeCell ref="AE380:AN380"/>
    <mergeCell ref="AO380:AV380"/>
    <mergeCell ref="AW380:BD380"/>
    <mergeCell ref="BE380:BL380"/>
    <mergeCell ref="G378:Y378"/>
    <mergeCell ref="Z378:AD378"/>
    <mergeCell ref="AE378:AN378"/>
    <mergeCell ref="BE376:BL376"/>
    <mergeCell ref="G377:Y377"/>
    <mergeCell ref="Z377:AD377"/>
    <mergeCell ref="AE377:AN377"/>
    <mergeCell ref="AO377:AV377"/>
    <mergeCell ref="AW377:BD377"/>
    <mergeCell ref="BE377:BL377"/>
    <mergeCell ref="G376:Y376"/>
    <mergeCell ref="Z372:AD372"/>
    <mergeCell ref="AE372:AN372"/>
    <mergeCell ref="AO372:AV372"/>
    <mergeCell ref="AW372:BD372"/>
    <mergeCell ref="G372:Y372"/>
    <mergeCell ref="Z376:AD376"/>
    <mergeCell ref="AE376:AN376"/>
    <mergeCell ref="G373:Y373"/>
    <mergeCell ref="Z373:AD373"/>
    <mergeCell ref="AE373:AN373"/>
    <mergeCell ref="BE374:BL374"/>
    <mergeCell ref="BE370:BL370"/>
    <mergeCell ref="BE373:BL373"/>
    <mergeCell ref="BE372:BL372"/>
    <mergeCell ref="AE374:AN374"/>
    <mergeCell ref="AO374:AV374"/>
    <mergeCell ref="AW373:BD373"/>
    <mergeCell ref="AO373:AV373"/>
    <mergeCell ref="G371:Y371"/>
    <mergeCell ref="Z371:AD371"/>
    <mergeCell ref="AE371:AN371"/>
    <mergeCell ref="AO371:AV371"/>
    <mergeCell ref="AW371:BD371"/>
    <mergeCell ref="BE371:BL371"/>
    <mergeCell ref="BE368:BL368"/>
    <mergeCell ref="G369:BD369"/>
    <mergeCell ref="BE369:BL369"/>
    <mergeCell ref="G370:Y370"/>
    <mergeCell ref="Z370:AD370"/>
    <mergeCell ref="AE370:AN370"/>
    <mergeCell ref="AO370:AV370"/>
    <mergeCell ref="AW370:BD370"/>
    <mergeCell ref="G368:Y368"/>
    <mergeCell ref="Z368:AD368"/>
    <mergeCell ref="AE368:AN368"/>
    <mergeCell ref="AO368:AV368"/>
    <mergeCell ref="AW368:BD368"/>
    <mergeCell ref="A369:F369"/>
    <mergeCell ref="BE365:BL365"/>
    <mergeCell ref="G367:Y367"/>
    <mergeCell ref="Z367:AD367"/>
    <mergeCell ref="AE367:AN367"/>
    <mergeCell ref="AO367:AV367"/>
    <mergeCell ref="AW367:BD367"/>
    <mergeCell ref="BE367:BL367"/>
    <mergeCell ref="G365:Y365"/>
    <mergeCell ref="Z365:AD365"/>
    <mergeCell ref="AE365:AN365"/>
    <mergeCell ref="AO365:AV365"/>
    <mergeCell ref="AW365:BD365"/>
    <mergeCell ref="BE363:BL363"/>
    <mergeCell ref="G364:Y364"/>
    <mergeCell ref="Z364:AD364"/>
    <mergeCell ref="AE364:AN364"/>
    <mergeCell ref="AO364:AV364"/>
    <mergeCell ref="AW364:BD364"/>
    <mergeCell ref="BE364:BL364"/>
    <mergeCell ref="G363:Y363"/>
    <mergeCell ref="Z363:AD363"/>
    <mergeCell ref="AE363:AN363"/>
    <mergeCell ref="AO363:AV363"/>
    <mergeCell ref="AW363:BD363"/>
    <mergeCell ref="BE361:BL361"/>
    <mergeCell ref="G362:Y362"/>
    <mergeCell ref="Z362:AD362"/>
    <mergeCell ref="AE362:AN362"/>
    <mergeCell ref="AO362:AV362"/>
    <mergeCell ref="AW362:BD362"/>
    <mergeCell ref="BE362:BL362"/>
    <mergeCell ref="G361:Y361"/>
    <mergeCell ref="Z361:AD361"/>
    <mergeCell ref="AE361:AN361"/>
    <mergeCell ref="AO361:AV361"/>
    <mergeCell ref="AW361:BD361"/>
    <mergeCell ref="AO359:AV359"/>
    <mergeCell ref="AW359:BD359"/>
    <mergeCell ref="BE359:BL359"/>
    <mergeCell ref="G360:Y360"/>
    <mergeCell ref="Z360:AD360"/>
    <mergeCell ref="AE360:AN360"/>
    <mergeCell ref="AO360:AV360"/>
    <mergeCell ref="AW360:BD360"/>
    <mergeCell ref="BE360:BL360"/>
    <mergeCell ref="G359:Y359"/>
    <mergeCell ref="Z359:AD359"/>
    <mergeCell ref="AE359:AN359"/>
    <mergeCell ref="G357:BD357"/>
    <mergeCell ref="BE357:BL357"/>
    <mergeCell ref="G358:Y358"/>
    <mergeCell ref="Z358:AD358"/>
    <mergeCell ref="AE358:AN358"/>
    <mergeCell ref="AO358:AV358"/>
    <mergeCell ref="AW358:BD358"/>
    <mergeCell ref="BE358:BL358"/>
    <mergeCell ref="BE355:BL355"/>
    <mergeCell ref="BE351:BL351"/>
    <mergeCell ref="AO353:AV353"/>
    <mergeCell ref="A356:F356"/>
    <mergeCell ref="G356:Y356"/>
    <mergeCell ref="Z356:AD356"/>
    <mergeCell ref="AE356:AN356"/>
    <mergeCell ref="AO356:AV356"/>
    <mergeCell ref="AW356:BD356"/>
    <mergeCell ref="BE356:BL356"/>
    <mergeCell ref="G355:Y355"/>
    <mergeCell ref="Z355:AD355"/>
    <mergeCell ref="AE355:AN355"/>
    <mergeCell ref="AO355:AV355"/>
    <mergeCell ref="G352:Y352"/>
    <mergeCell ref="AW355:BD355"/>
    <mergeCell ref="AW353:BD353"/>
    <mergeCell ref="Z345:AD345"/>
    <mergeCell ref="AE345:AN345"/>
    <mergeCell ref="AO345:AV345"/>
    <mergeCell ref="AW345:BD345"/>
    <mergeCell ref="AW344:BD344"/>
    <mergeCell ref="AO343:AV343"/>
    <mergeCell ref="AO344:AV344"/>
    <mergeCell ref="AE342:AN342"/>
    <mergeCell ref="A342:F342"/>
    <mergeCell ref="A343:F343"/>
    <mergeCell ref="G343:Y343"/>
    <mergeCell ref="A353:F353"/>
    <mergeCell ref="G353:Y353"/>
    <mergeCell ref="Z353:AD353"/>
    <mergeCell ref="AE353:AN353"/>
    <mergeCell ref="A352:F352"/>
    <mergeCell ref="G349:Y349"/>
    <mergeCell ref="BE353:BL353"/>
    <mergeCell ref="AW352:BD352"/>
    <mergeCell ref="BE352:BL352"/>
    <mergeCell ref="Z352:AD352"/>
    <mergeCell ref="G351:Y351"/>
    <mergeCell ref="Z351:AD351"/>
    <mergeCell ref="AE351:AN351"/>
    <mergeCell ref="AO351:AV351"/>
    <mergeCell ref="AE352:AN352"/>
    <mergeCell ref="A350:F350"/>
    <mergeCell ref="G350:Y350"/>
    <mergeCell ref="Z350:AD350"/>
    <mergeCell ref="AE350:AN350"/>
    <mergeCell ref="AO350:AV350"/>
    <mergeCell ref="AW350:BD350"/>
    <mergeCell ref="G346:Y346"/>
    <mergeCell ref="Z346:AD346"/>
    <mergeCell ref="AE346:AN346"/>
    <mergeCell ref="AO352:AV352"/>
    <mergeCell ref="AW351:BD351"/>
    <mergeCell ref="BE348:BL348"/>
    <mergeCell ref="BE350:BL350"/>
    <mergeCell ref="AO346:AV346"/>
    <mergeCell ref="AW346:BD346"/>
    <mergeCell ref="BE349:BL349"/>
    <mergeCell ref="G348:Y348"/>
    <mergeCell ref="Z348:AD348"/>
    <mergeCell ref="AE348:AN348"/>
    <mergeCell ref="AO348:AV348"/>
    <mergeCell ref="AE349:AN349"/>
    <mergeCell ref="AO349:AV349"/>
    <mergeCell ref="AW348:BD348"/>
    <mergeCell ref="BE345:BL345"/>
    <mergeCell ref="G347:Y347"/>
    <mergeCell ref="Z347:AD347"/>
    <mergeCell ref="AE347:AN347"/>
    <mergeCell ref="AO347:AV347"/>
    <mergeCell ref="AW347:BD347"/>
    <mergeCell ref="BE347:BL347"/>
    <mergeCell ref="BE346:BL346"/>
    <mergeCell ref="G345:Y345"/>
    <mergeCell ref="BE277:BL277"/>
    <mergeCell ref="AO333:AV333"/>
    <mergeCell ref="AO334:AV334"/>
    <mergeCell ref="AE334:AN334"/>
    <mergeCell ref="AW336:BD336"/>
    <mergeCell ref="AO335:AV335"/>
    <mergeCell ref="AW335:BD335"/>
    <mergeCell ref="AW334:BD334"/>
    <mergeCell ref="AE335:AN335"/>
    <mergeCell ref="AO331:AV331"/>
    <mergeCell ref="BE333:BL333"/>
    <mergeCell ref="G334:Y334"/>
    <mergeCell ref="AO332:AV332"/>
    <mergeCell ref="BE332:BL332"/>
    <mergeCell ref="Z276:AD276"/>
    <mergeCell ref="Z277:AD277"/>
    <mergeCell ref="BE330:BL330"/>
    <mergeCell ref="Z327:AD327"/>
    <mergeCell ref="AE327:AN327"/>
    <mergeCell ref="BE276:BL276"/>
    <mergeCell ref="G333:Y333"/>
    <mergeCell ref="G332:Y332"/>
    <mergeCell ref="AO305:AV305"/>
    <mergeCell ref="AW305:BD305"/>
    <mergeCell ref="BE305:BL305"/>
    <mergeCell ref="Z332:AD332"/>
    <mergeCell ref="Z333:AD333"/>
    <mergeCell ref="AE332:AN332"/>
    <mergeCell ref="AE333:AN333"/>
    <mergeCell ref="Z331:AD331"/>
    <mergeCell ref="G335:Y335"/>
    <mergeCell ref="Z335:AD335"/>
    <mergeCell ref="BE334:BL334"/>
    <mergeCell ref="BE335:BL335"/>
    <mergeCell ref="G329:Y329"/>
    <mergeCell ref="Z329:AD329"/>
    <mergeCell ref="AE329:AN329"/>
    <mergeCell ref="AO329:AV329"/>
    <mergeCell ref="AW329:BD329"/>
    <mergeCell ref="Z334:AD334"/>
    <mergeCell ref="AO338:AV338"/>
    <mergeCell ref="AW338:BD338"/>
    <mergeCell ref="BE338:BL338"/>
    <mergeCell ref="G336:Y336"/>
    <mergeCell ref="Z336:AD336"/>
    <mergeCell ref="AE336:AN336"/>
    <mergeCell ref="AO336:AV336"/>
    <mergeCell ref="A339:F339"/>
    <mergeCell ref="G339:Y339"/>
    <mergeCell ref="Z339:AD339"/>
    <mergeCell ref="AE339:AN339"/>
    <mergeCell ref="AO339:AV339"/>
    <mergeCell ref="AW339:BD339"/>
    <mergeCell ref="BE329:BL329"/>
    <mergeCell ref="G341:Y341"/>
    <mergeCell ref="Z341:AD341"/>
    <mergeCell ref="AE341:AN341"/>
    <mergeCell ref="AO341:AV341"/>
    <mergeCell ref="AW341:BD341"/>
    <mergeCell ref="BE341:BL341"/>
    <mergeCell ref="G338:Y338"/>
    <mergeCell ref="Z338:AD338"/>
    <mergeCell ref="AE338:AN338"/>
    <mergeCell ref="BE331:BL331"/>
    <mergeCell ref="G330:Y330"/>
    <mergeCell ref="Z330:AD330"/>
    <mergeCell ref="AE330:AN330"/>
    <mergeCell ref="AO330:AV330"/>
    <mergeCell ref="AW330:BD330"/>
    <mergeCell ref="G331:Y331"/>
    <mergeCell ref="AW331:BD331"/>
    <mergeCell ref="BE327:BL327"/>
    <mergeCell ref="G328:Y328"/>
    <mergeCell ref="Z328:AD328"/>
    <mergeCell ref="AE328:AN328"/>
    <mergeCell ref="AO328:AV328"/>
    <mergeCell ref="AW328:BD328"/>
    <mergeCell ref="BE328:BL328"/>
    <mergeCell ref="G327:Y327"/>
    <mergeCell ref="AO327:AV327"/>
    <mergeCell ref="AW327:BD327"/>
    <mergeCell ref="BE323:BL323"/>
    <mergeCell ref="BE325:BL325"/>
    <mergeCell ref="AW324:BD324"/>
    <mergeCell ref="BE324:BL324"/>
    <mergeCell ref="G326:Y326"/>
    <mergeCell ref="Z326:AD326"/>
    <mergeCell ref="AE326:AN326"/>
    <mergeCell ref="AO326:AV326"/>
    <mergeCell ref="AW326:BD326"/>
    <mergeCell ref="BE326:BL326"/>
    <mergeCell ref="AW325:BD325"/>
    <mergeCell ref="AE323:AN323"/>
    <mergeCell ref="AO323:AV323"/>
    <mergeCell ref="AW323:BD323"/>
    <mergeCell ref="G325:Y325"/>
    <mergeCell ref="Z325:AD325"/>
    <mergeCell ref="AE325:AN325"/>
    <mergeCell ref="AO325:AV325"/>
    <mergeCell ref="G324:Y324"/>
    <mergeCell ref="Z324:AD324"/>
    <mergeCell ref="AE324:AN324"/>
    <mergeCell ref="AO324:AV324"/>
    <mergeCell ref="G321:Y321"/>
    <mergeCell ref="Z321:AD321"/>
    <mergeCell ref="AE321:AN321"/>
    <mergeCell ref="AO321:AV321"/>
    <mergeCell ref="G323:Y323"/>
    <mergeCell ref="Z323:AD323"/>
    <mergeCell ref="BE314:BL314"/>
    <mergeCell ref="A321:F321"/>
    <mergeCell ref="A320:F320"/>
    <mergeCell ref="BE317:BL317"/>
    <mergeCell ref="BE316:BL316"/>
    <mergeCell ref="AW316:BD316"/>
    <mergeCell ref="G319:Y319"/>
    <mergeCell ref="A319:F319"/>
    <mergeCell ref="BE321:BL321"/>
    <mergeCell ref="Z319:AD319"/>
    <mergeCell ref="A322:F322"/>
    <mergeCell ref="G322:Y322"/>
    <mergeCell ref="BE322:BL322"/>
    <mergeCell ref="Z322:AD322"/>
    <mergeCell ref="AE322:AN322"/>
    <mergeCell ref="AW322:BD322"/>
    <mergeCell ref="AO322:AV322"/>
    <mergeCell ref="AO317:AV317"/>
    <mergeCell ref="G317:Y317"/>
    <mergeCell ref="Z317:AD317"/>
    <mergeCell ref="AE319:AN319"/>
    <mergeCell ref="AW321:BD321"/>
    <mergeCell ref="A316:F316"/>
    <mergeCell ref="G316:Y316"/>
    <mergeCell ref="Z316:AD316"/>
    <mergeCell ref="AE316:AN316"/>
    <mergeCell ref="AO316:AV316"/>
    <mergeCell ref="AE313:AN313"/>
    <mergeCell ref="AE312:AN312"/>
    <mergeCell ref="AO313:AV313"/>
    <mergeCell ref="Z313:AD313"/>
    <mergeCell ref="AW317:BD317"/>
    <mergeCell ref="G310:Y310"/>
    <mergeCell ref="Z310:AD310"/>
    <mergeCell ref="AE310:AN310"/>
    <mergeCell ref="AO310:AV310"/>
    <mergeCell ref="AE317:AN317"/>
    <mergeCell ref="BE307:BL307"/>
    <mergeCell ref="BE308:BL308"/>
    <mergeCell ref="BE310:BL310"/>
    <mergeCell ref="AW311:BD311"/>
    <mergeCell ref="BE313:BL313"/>
    <mergeCell ref="A314:F314"/>
    <mergeCell ref="G314:Y314"/>
    <mergeCell ref="Z314:AD314"/>
    <mergeCell ref="AE314:AN314"/>
    <mergeCell ref="A311:F311"/>
    <mergeCell ref="G307:Y307"/>
    <mergeCell ref="A308:F308"/>
    <mergeCell ref="G308:Y308"/>
    <mergeCell ref="Z308:AD308"/>
    <mergeCell ref="AO307:AV307"/>
    <mergeCell ref="AW307:BD307"/>
    <mergeCell ref="AE308:AN308"/>
    <mergeCell ref="AW308:BD308"/>
    <mergeCell ref="A309:F309"/>
    <mergeCell ref="BE303:BL303"/>
    <mergeCell ref="AW319:BD319"/>
    <mergeCell ref="BE319:BL319"/>
    <mergeCell ref="AO306:AV306"/>
    <mergeCell ref="BE311:BL311"/>
    <mergeCell ref="AO314:AV314"/>
    <mergeCell ref="AW306:BD306"/>
    <mergeCell ref="AW304:BD304"/>
    <mergeCell ref="A307:F307"/>
    <mergeCell ref="Z311:AD311"/>
    <mergeCell ref="AE311:AN311"/>
    <mergeCell ref="AO308:AV308"/>
    <mergeCell ref="AE307:AN307"/>
    <mergeCell ref="AW320:BD320"/>
    <mergeCell ref="BE320:BL320"/>
    <mergeCell ref="Z307:AD307"/>
    <mergeCell ref="AW310:BD310"/>
    <mergeCell ref="AW309:BD309"/>
    <mergeCell ref="AW313:BD313"/>
    <mergeCell ref="AE303:AN303"/>
    <mergeCell ref="AO303:AV303"/>
    <mergeCell ref="AW303:BD303"/>
    <mergeCell ref="G301:Y301"/>
    <mergeCell ref="Z301:AD301"/>
    <mergeCell ref="G320:Y320"/>
    <mergeCell ref="Z320:AD320"/>
    <mergeCell ref="AE320:AN320"/>
    <mergeCell ref="AO320:AV320"/>
    <mergeCell ref="AO304:AV304"/>
    <mergeCell ref="Z296:AD296"/>
    <mergeCell ref="BE301:BL301"/>
    <mergeCell ref="G302:BD302"/>
    <mergeCell ref="BE302:BL302"/>
    <mergeCell ref="BE296:BL296"/>
    <mergeCell ref="BE298:BL298"/>
    <mergeCell ref="AO297:AV297"/>
    <mergeCell ref="AO298:AV298"/>
    <mergeCell ref="AE301:AN301"/>
    <mergeCell ref="AO301:AV301"/>
    <mergeCell ref="AS82:AZ82"/>
    <mergeCell ref="AS68:AZ68"/>
    <mergeCell ref="BE295:BL295"/>
    <mergeCell ref="G300:Y300"/>
    <mergeCell ref="Z300:AD300"/>
    <mergeCell ref="AE300:AN300"/>
    <mergeCell ref="AO300:AV300"/>
    <mergeCell ref="AW300:BD300"/>
    <mergeCell ref="BE300:BL300"/>
    <mergeCell ref="BE297:BL297"/>
    <mergeCell ref="A41:F41"/>
    <mergeCell ref="A42:F42"/>
    <mergeCell ref="A43:F43"/>
    <mergeCell ref="A44:F44"/>
    <mergeCell ref="A45:F45"/>
    <mergeCell ref="A46:F46"/>
    <mergeCell ref="G42:BL42"/>
    <mergeCell ref="A287:F287"/>
    <mergeCell ref="G287:Y287"/>
    <mergeCell ref="A286:F286"/>
    <mergeCell ref="G286:Y286"/>
    <mergeCell ref="Z286:AD286"/>
    <mergeCell ref="G45:BL45"/>
    <mergeCell ref="G46:BL46"/>
    <mergeCell ref="G47:BL47"/>
    <mergeCell ref="Z287:AD287"/>
    <mergeCell ref="BE284:BL284"/>
    <mergeCell ref="BE289:BL289"/>
    <mergeCell ref="BE290:BL290"/>
    <mergeCell ref="BE293:BL293"/>
    <mergeCell ref="BE294:BL294"/>
    <mergeCell ref="BE291:BL291"/>
    <mergeCell ref="BE286:BL286"/>
    <mergeCell ref="BE288:BL288"/>
    <mergeCell ref="BE285:BL285"/>
    <mergeCell ref="BE287:BL287"/>
    <mergeCell ref="AW293:BD293"/>
    <mergeCell ref="AW294:BD294"/>
    <mergeCell ref="AW297:BD297"/>
    <mergeCell ref="AW295:BD295"/>
    <mergeCell ref="AE287:AN287"/>
    <mergeCell ref="AO287:AV287"/>
    <mergeCell ref="AW287:BD287"/>
    <mergeCell ref="AE289:AN289"/>
    <mergeCell ref="AE288:AN288"/>
    <mergeCell ref="AO295:AV295"/>
    <mergeCell ref="AW285:BD285"/>
    <mergeCell ref="AO292:AV292"/>
    <mergeCell ref="AW289:BD289"/>
    <mergeCell ref="AO284:AV284"/>
    <mergeCell ref="AO290:AV290"/>
    <mergeCell ref="AO293:AV293"/>
    <mergeCell ref="AO286:AV286"/>
    <mergeCell ref="AO291:AV291"/>
    <mergeCell ref="AO289:AV289"/>
    <mergeCell ref="AW288:BD288"/>
    <mergeCell ref="AW286:BD286"/>
    <mergeCell ref="AW291:BD291"/>
    <mergeCell ref="AW290:BD290"/>
    <mergeCell ref="G290:Y290"/>
    <mergeCell ref="G293:Y293"/>
    <mergeCell ref="AW298:BD298"/>
    <mergeCell ref="AO294:AV294"/>
    <mergeCell ref="AO296:AV296"/>
    <mergeCell ref="AW296:BD296"/>
    <mergeCell ref="AE286:AN286"/>
    <mergeCell ref="A294:F294"/>
    <mergeCell ref="AE291:AN291"/>
    <mergeCell ref="AE290:AN290"/>
    <mergeCell ref="A290:F290"/>
    <mergeCell ref="Z293:AD293"/>
    <mergeCell ref="A291:F291"/>
    <mergeCell ref="AE292:AN292"/>
    <mergeCell ref="G294:Y294"/>
    <mergeCell ref="A293:F293"/>
    <mergeCell ref="Z290:AD290"/>
    <mergeCell ref="G303:Y303"/>
    <mergeCell ref="A295:F295"/>
    <mergeCell ref="Z298:AD298"/>
    <mergeCell ref="Z295:AD295"/>
    <mergeCell ref="G297:Y297"/>
    <mergeCell ref="G298:Y298"/>
    <mergeCell ref="A297:F297"/>
    <mergeCell ref="A298:F298"/>
    <mergeCell ref="Z303:AD303"/>
    <mergeCell ref="A303:F303"/>
    <mergeCell ref="AE298:AN298"/>
    <mergeCell ref="AE293:AN293"/>
    <mergeCell ref="AE294:AN294"/>
    <mergeCell ref="AE296:AN296"/>
    <mergeCell ref="G296:Y296"/>
    <mergeCell ref="AE295:AN295"/>
    <mergeCell ref="Z297:AD297"/>
    <mergeCell ref="Z294:AD294"/>
    <mergeCell ref="G295:Y295"/>
    <mergeCell ref="AE297:AN297"/>
    <mergeCell ref="BE282:BL282"/>
    <mergeCell ref="G283:BD283"/>
    <mergeCell ref="BE283:BL283"/>
    <mergeCell ref="G284:Y284"/>
    <mergeCell ref="Z284:AD284"/>
    <mergeCell ref="BE306:BL306"/>
    <mergeCell ref="G306:Y306"/>
    <mergeCell ref="Z306:AD306"/>
    <mergeCell ref="AE306:AN306"/>
    <mergeCell ref="G304:Y304"/>
    <mergeCell ref="AW276:BD276"/>
    <mergeCell ref="AO276:AV276"/>
    <mergeCell ref="AW277:BD277"/>
    <mergeCell ref="A282:F282"/>
    <mergeCell ref="G282:Y282"/>
    <mergeCell ref="Z282:AD282"/>
    <mergeCell ref="AE282:AN282"/>
    <mergeCell ref="AO282:AV282"/>
    <mergeCell ref="AW282:BD282"/>
    <mergeCell ref="AE281:AN281"/>
    <mergeCell ref="AE273:AN273"/>
    <mergeCell ref="AO272:AV272"/>
    <mergeCell ref="AE274:AN274"/>
    <mergeCell ref="BE281:BL281"/>
    <mergeCell ref="BE278:BL278"/>
    <mergeCell ref="BE274:BL274"/>
    <mergeCell ref="AO275:AV275"/>
    <mergeCell ref="BE279:BL279"/>
    <mergeCell ref="AW275:BD275"/>
    <mergeCell ref="AO277:AV277"/>
    <mergeCell ref="G279:Y279"/>
    <mergeCell ref="Z279:AD279"/>
    <mergeCell ref="Z275:AD275"/>
    <mergeCell ref="BE273:BL273"/>
    <mergeCell ref="AW272:BD272"/>
    <mergeCell ref="AW273:BD273"/>
    <mergeCell ref="BE272:BL272"/>
    <mergeCell ref="BE275:BL275"/>
    <mergeCell ref="G278:Y278"/>
    <mergeCell ref="AW274:BD274"/>
    <mergeCell ref="A268:F268"/>
    <mergeCell ref="A270:F270"/>
    <mergeCell ref="Z270:AD270"/>
    <mergeCell ref="Z271:AD271"/>
    <mergeCell ref="A281:F281"/>
    <mergeCell ref="G281:Y281"/>
    <mergeCell ref="Z281:AD281"/>
    <mergeCell ref="A276:F276"/>
    <mergeCell ref="A277:F277"/>
    <mergeCell ref="A275:F275"/>
    <mergeCell ref="BA196:BH196"/>
    <mergeCell ref="A231:F231"/>
    <mergeCell ref="BE251:BL251"/>
    <mergeCell ref="BE252:BL252"/>
    <mergeCell ref="BE253:BL253"/>
    <mergeCell ref="A249:F249"/>
    <mergeCell ref="BE247:BL247"/>
    <mergeCell ref="BE248:BL248"/>
    <mergeCell ref="G247:Y247"/>
    <mergeCell ref="A250:F250"/>
    <mergeCell ref="D175:AJ175"/>
    <mergeCell ref="BA180:BH180"/>
    <mergeCell ref="D181:AJ181"/>
    <mergeCell ref="AE244:AN244"/>
    <mergeCell ref="A244:F244"/>
    <mergeCell ref="A243:F243"/>
    <mergeCell ref="A230:F230"/>
    <mergeCell ref="D203:AJ203"/>
    <mergeCell ref="AW235:BD235"/>
    <mergeCell ref="A232:F232"/>
    <mergeCell ref="G226:Y226"/>
    <mergeCell ref="G229:Y229"/>
    <mergeCell ref="G227:Y227"/>
    <mergeCell ref="Z230:AD230"/>
    <mergeCell ref="A229:F229"/>
    <mergeCell ref="AE229:AN229"/>
    <mergeCell ref="AE228:AN228"/>
    <mergeCell ref="A234:F234"/>
    <mergeCell ref="A235:F235"/>
    <mergeCell ref="AE234:AN234"/>
    <mergeCell ref="A236:F236"/>
    <mergeCell ref="G236:Y236"/>
    <mergeCell ref="Z248:AD248"/>
    <mergeCell ref="Z243:AD243"/>
    <mergeCell ref="Z240:AD240"/>
    <mergeCell ref="A246:F246"/>
    <mergeCell ref="G243:Y243"/>
    <mergeCell ref="Z231:AD231"/>
    <mergeCell ref="AW281:BD281"/>
    <mergeCell ref="AO259:AV259"/>
    <mergeCell ref="AE278:AN278"/>
    <mergeCell ref="AW250:BD250"/>
    <mergeCell ref="AE248:AN248"/>
    <mergeCell ref="Z242:AD242"/>
    <mergeCell ref="AE272:AN272"/>
    <mergeCell ref="AO248:AV248"/>
    <mergeCell ref="AE268:AN268"/>
    <mergeCell ref="AO250:AV250"/>
    <mergeCell ref="BE249:BL249"/>
    <mergeCell ref="AO281:AV281"/>
    <mergeCell ref="AO274:AV274"/>
    <mergeCell ref="AW270:BD270"/>
    <mergeCell ref="AW266:BD266"/>
    <mergeCell ref="AO269:AV269"/>
    <mergeCell ref="AW269:BD269"/>
    <mergeCell ref="AO279:AV279"/>
    <mergeCell ref="AW278:BD278"/>
    <mergeCell ref="A239:F239"/>
    <mergeCell ref="G242:Y242"/>
    <mergeCell ref="AE270:AN270"/>
    <mergeCell ref="G276:Y276"/>
    <mergeCell ref="A278:F278"/>
    <mergeCell ref="G311:Y311"/>
    <mergeCell ref="Z244:AD244"/>
    <mergeCell ref="AE277:AN277"/>
    <mergeCell ref="A274:F274"/>
    <mergeCell ref="A272:F272"/>
    <mergeCell ref="Z239:AD239"/>
    <mergeCell ref="Z245:AD245"/>
    <mergeCell ref="AE242:AN242"/>
    <mergeCell ref="G400:Y400"/>
    <mergeCell ref="Z400:AD400"/>
    <mergeCell ref="AE400:AN400"/>
    <mergeCell ref="G271:Y271"/>
    <mergeCell ref="G268:Y268"/>
    <mergeCell ref="Z269:AD269"/>
    <mergeCell ref="G270:Y270"/>
    <mergeCell ref="A61:C61"/>
    <mergeCell ref="A62:C62"/>
    <mergeCell ref="AK159:AR159"/>
    <mergeCell ref="AS159:AZ159"/>
    <mergeCell ref="A112:C112"/>
    <mergeCell ref="A65:C65"/>
    <mergeCell ref="AS142:AZ142"/>
    <mergeCell ref="AS116:AZ116"/>
    <mergeCell ref="AS123:AZ123"/>
    <mergeCell ref="AS93:AZ93"/>
    <mergeCell ref="AS126:AZ126"/>
    <mergeCell ref="G401:Y401"/>
    <mergeCell ref="Z401:AD401"/>
    <mergeCell ref="AE401:AN401"/>
    <mergeCell ref="AO401:AV401"/>
    <mergeCell ref="BA60:BH60"/>
    <mergeCell ref="BA61:BH61"/>
    <mergeCell ref="BA83:BH83"/>
    <mergeCell ref="BE231:BL231"/>
    <mergeCell ref="BE223:BL223"/>
    <mergeCell ref="A245:F245"/>
    <mergeCell ref="Z241:AD241"/>
    <mergeCell ref="G246:Y246"/>
    <mergeCell ref="AO268:AV268"/>
    <mergeCell ref="G289:Y289"/>
    <mergeCell ref="AO400:AV400"/>
    <mergeCell ref="AE344:AN344"/>
    <mergeCell ref="AO241:AV241"/>
    <mergeCell ref="Z246:AD246"/>
    <mergeCell ref="AO244:AV244"/>
    <mergeCell ref="BE226:BL226"/>
    <mergeCell ref="AE236:AN236"/>
    <mergeCell ref="Z233:AD233"/>
    <mergeCell ref="G235:Y235"/>
    <mergeCell ref="G239:Y239"/>
    <mergeCell ref="AW400:BD400"/>
    <mergeCell ref="BE400:BL400"/>
    <mergeCell ref="G244:Y244"/>
    <mergeCell ref="G241:Y241"/>
    <mergeCell ref="Z238:AD238"/>
    <mergeCell ref="G274:Y274"/>
    <mergeCell ref="G275:Y275"/>
    <mergeCell ref="Z274:AD274"/>
    <mergeCell ref="G291:Y291"/>
    <mergeCell ref="BE344:BL344"/>
    <mergeCell ref="G342:Y342"/>
    <mergeCell ref="AO342:AV342"/>
    <mergeCell ref="G344:Y344"/>
    <mergeCell ref="Z344:AD344"/>
    <mergeCell ref="AO285:AV285"/>
    <mergeCell ref="BE304:BL304"/>
    <mergeCell ref="Z304:AD304"/>
    <mergeCell ref="G305:Y305"/>
    <mergeCell ref="Z305:AD305"/>
    <mergeCell ref="AE284:AN284"/>
    <mergeCell ref="G277:Y277"/>
    <mergeCell ref="Z278:AD278"/>
    <mergeCell ref="AW284:BD284"/>
    <mergeCell ref="AW279:BD279"/>
    <mergeCell ref="AO278:AV278"/>
    <mergeCell ref="AW261:BD261"/>
    <mergeCell ref="AW252:BD252"/>
    <mergeCell ref="AW267:BD267"/>
    <mergeCell ref="AW271:BD271"/>
    <mergeCell ref="AO273:AV273"/>
    <mergeCell ref="AO261:AV261"/>
    <mergeCell ref="AW262:BD262"/>
    <mergeCell ref="AW253:BD253"/>
    <mergeCell ref="AW256:BD256"/>
    <mergeCell ref="AE262:AN262"/>
    <mergeCell ref="AO266:AV266"/>
    <mergeCell ref="Z266:AD266"/>
    <mergeCell ref="AW268:BD268"/>
    <mergeCell ref="AE266:AN266"/>
    <mergeCell ref="AO262:AV262"/>
    <mergeCell ref="BE271:BL271"/>
    <mergeCell ref="AE261:AN261"/>
    <mergeCell ref="BE261:BL261"/>
    <mergeCell ref="BE270:BL270"/>
    <mergeCell ref="AO270:AV270"/>
    <mergeCell ref="AW265:BD265"/>
    <mergeCell ref="BE262:BL262"/>
    <mergeCell ref="BE266:BL266"/>
    <mergeCell ref="AE271:AN271"/>
    <mergeCell ref="AO271:AV271"/>
    <mergeCell ref="Z224:AD224"/>
    <mergeCell ref="BE263:BL263"/>
    <mergeCell ref="BE264:BL264"/>
    <mergeCell ref="AW245:BD245"/>
    <mergeCell ref="AW242:BD242"/>
    <mergeCell ref="AW243:BD243"/>
    <mergeCell ref="AO246:AV246"/>
    <mergeCell ref="AW244:BD244"/>
    <mergeCell ref="AO242:AV242"/>
    <mergeCell ref="BE246:BL246"/>
    <mergeCell ref="AO223:AV223"/>
    <mergeCell ref="AW224:BD224"/>
    <mergeCell ref="AW231:BD231"/>
    <mergeCell ref="AW230:BD230"/>
    <mergeCell ref="AW227:BD227"/>
    <mergeCell ref="AO224:AV224"/>
    <mergeCell ref="AO228:AV228"/>
    <mergeCell ref="AO230:AV230"/>
    <mergeCell ref="AW238:BD238"/>
    <mergeCell ref="AS89:AZ89"/>
    <mergeCell ref="AW246:BD246"/>
    <mergeCell ref="AO216:AV216"/>
    <mergeCell ref="AE245:AN245"/>
    <mergeCell ref="AW225:BD225"/>
    <mergeCell ref="AW226:BD226"/>
    <mergeCell ref="AE226:AN226"/>
    <mergeCell ref="AO226:AV226"/>
    <mergeCell ref="AE230:AN230"/>
    <mergeCell ref="D110:AJ110"/>
    <mergeCell ref="AO245:AV245"/>
    <mergeCell ref="BE224:BL224"/>
    <mergeCell ref="BE229:BL229"/>
    <mergeCell ref="BE227:BL227"/>
    <mergeCell ref="G237:Y237"/>
    <mergeCell ref="AS111:AZ111"/>
    <mergeCell ref="BE235:BL235"/>
    <mergeCell ref="BA149:BH149"/>
    <mergeCell ref="D207:AJ207"/>
    <mergeCell ref="AS187:AZ187"/>
    <mergeCell ref="AS177:AZ177"/>
    <mergeCell ref="BA177:BH177"/>
    <mergeCell ref="AS155:AZ155"/>
    <mergeCell ref="BE211:BL211"/>
    <mergeCell ref="BA187:BH187"/>
    <mergeCell ref="AS180:AZ180"/>
    <mergeCell ref="AS175:AZ175"/>
    <mergeCell ref="AS171:AZ171"/>
    <mergeCell ref="AS156:AZ156"/>
    <mergeCell ref="AW239:BD239"/>
    <mergeCell ref="AK157:AR157"/>
    <mergeCell ref="AS157:AZ157"/>
    <mergeCell ref="BA67:BH67"/>
    <mergeCell ref="BA68:BH68"/>
    <mergeCell ref="BA193:BH194"/>
    <mergeCell ref="AK195:AR195"/>
    <mergeCell ref="BA192:BH192"/>
    <mergeCell ref="AO212:AV212"/>
    <mergeCell ref="AE211:AN211"/>
    <mergeCell ref="BA62:BH62"/>
    <mergeCell ref="BA69:BH69"/>
    <mergeCell ref="AS67:AZ67"/>
    <mergeCell ref="AS64:AZ64"/>
    <mergeCell ref="AS63:AZ63"/>
    <mergeCell ref="AS66:AZ66"/>
    <mergeCell ref="AS62:AZ62"/>
    <mergeCell ref="BA63:BH63"/>
    <mergeCell ref="BA64:BH64"/>
    <mergeCell ref="AS65:AZ65"/>
    <mergeCell ref="BA58:BH58"/>
    <mergeCell ref="A58:C58"/>
    <mergeCell ref="A59:C59"/>
    <mergeCell ref="A89:C89"/>
    <mergeCell ref="G267:Y267"/>
    <mergeCell ref="AO243:AV243"/>
    <mergeCell ref="AE264:AN264"/>
    <mergeCell ref="AO264:AV264"/>
    <mergeCell ref="G265:Y265"/>
    <mergeCell ref="AO267:AV267"/>
    <mergeCell ref="A55:C55"/>
    <mergeCell ref="A67:C67"/>
    <mergeCell ref="A68:C68"/>
    <mergeCell ref="A69:C69"/>
    <mergeCell ref="A63:C63"/>
    <mergeCell ref="A64:C64"/>
    <mergeCell ref="A66:C66"/>
    <mergeCell ref="A56:C56"/>
    <mergeCell ref="A57:C57"/>
    <mergeCell ref="A60:C60"/>
    <mergeCell ref="D61:AJ61"/>
    <mergeCell ref="BE401:BL401"/>
    <mergeCell ref="G402:BD402"/>
    <mergeCell ref="BE402:BL402"/>
    <mergeCell ref="G264:Y264"/>
    <mergeCell ref="Z264:AD264"/>
    <mergeCell ref="AE304:AN304"/>
    <mergeCell ref="AW401:BD401"/>
    <mergeCell ref="AE267:AN267"/>
    <mergeCell ref="AE265:AN265"/>
    <mergeCell ref="AS206:AZ206"/>
    <mergeCell ref="AE212:AN212"/>
    <mergeCell ref="AO211:AV211"/>
    <mergeCell ref="AS205:AZ205"/>
    <mergeCell ref="D205:AJ205"/>
    <mergeCell ref="G212:Y212"/>
    <mergeCell ref="AW403:BD403"/>
    <mergeCell ref="G245:Y245"/>
    <mergeCell ref="Z247:AD247"/>
    <mergeCell ref="AK196:AR196"/>
    <mergeCell ref="AS196:AZ196"/>
    <mergeCell ref="AS207:AZ207"/>
    <mergeCell ref="AE215:AN215"/>
    <mergeCell ref="AE214:AN214"/>
    <mergeCell ref="Z212:AD212"/>
    <mergeCell ref="D204:AJ204"/>
    <mergeCell ref="BE220:BL220"/>
    <mergeCell ref="AW223:BD223"/>
    <mergeCell ref="AO227:AV227"/>
    <mergeCell ref="AE220:AN220"/>
    <mergeCell ref="AE222:AN222"/>
    <mergeCell ref="AW228:BD228"/>
    <mergeCell ref="AO225:AV225"/>
    <mergeCell ref="AW220:BD220"/>
    <mergeCell ref="BE221:BL221"/>
    <mergeCell ref="AW221:BD221"/>
    <mergeCell ref="BA70:BH70"/>
    <mergeCell ref="BA87:BH87"/>
    <mergeCell ref="BA107:BH107"/>
    <mergeCell ref="A202:C202"/>
    <mergeCell ref="A204:C204"/>
    <mergeCell ref="A211:F211"/>
    <mergeCell ref="AK165:AR165"/>
    <mergeCell ref="AK166:AR166"/>
    <mergeCell ref="AS165:AZ165"/>
    <mergeCell ref="A107:C107"/>
    <mergeCell ref="Z215:AD215"/>
    <mergeCell ref="AK171:AR171"/>
    <mergeCell ref="D171:AJ171"/>
    <mergeCell ref="A193:C194"/>
    <mergeCell ref="D177:AJ177"/>
    <mergeCell ref="BE212:BL212"/>
    <mergeCell ref="AO215:AV215"/>
    <mergeCell ref="A215:F215"/>
    <mergeCell ref="BA174:BH174"/>
    <mergeCell ref="AK206:AR206"/>
    <mergeCell ref="BE228:BL228"/>
    <mergeCell ref="BE238:BL238"/>
    <mergeCell ref="A213:F213"/>
    <mergeCell ref="A207:C207"/>
    <mergeCell ref="Z216:AD216"/>
    <mergeCell ref="AO231:AV231"/>
    <mergeCell ref="AE231:AN231"/>
    <mergeCell ref="AO222:AV222"/>
    <mergeCell ref="BE233:BL233"/>
    <mergeCell ref="BE215:BL215"/>
    <mergeCell ref="BE217:BL217"/>
    <mergeCell ref="AO214:AV214"/>
    <mergeCell ref="AS204:AZ204"/>
    <mergeCell ref="AK207:AR207"/>
    <mergeCell ref="BE213:BL213"/>
    <mergeCell ref="G213:BD213"/>
    <mergeCell ref="AW215:BD215"/>
    <mergeCell ref="AO217:AV217"/>
    <mergeCell ref="AW217:BD217"/>
    <mergeCell ref="AW216:BD216"/>
    <mergeCell ref="AO220:AV220"/>
    <mergeCell ref="BE230:BL230"/>
    <mergeCell ref="BE225:BL225"/>
    <mergeCell ref="A155:C155"/>
    <mergeCell ref="A156:C156"/>
    <mergeCell ref="D156:AJ156"/>
    <mergeCell ref="Z211:AD211"/>
    <mergeCell ref="A227:F227"/>
    <mergeCell ref="Z220:AD220"/>
    <mergeCell ref="A226:F226"/>
    <mergeCell ref="A73:C73"/>
    <mergeCell ref="A90:C90"/>
    <mergeCell ref="G211:Y211"/>
    <mergeCell ref="D200:AJ200"/>
    <mergeCell ref="D202:AJ202"/>
    <mergeCell ref="A111:C111"/>
    <mergeCell ref="A75:C75"/>
    <mergeCell ref="A74:C74"/>
    <mergeCell ref="A76:C76"/>
    <mergeCell ref="A109:C109"/>
    <mergeCell ref="AW240:BD240"/>
    <mergeCell ref="AW237:BD237"/>
    <mergeCell ref="A209:BL209"/>
    <mergeCell ref="A224:F224"/>
    <mergeCell ref="G233:Y233"/>
    <mergeCell ref="A233:F233"/>
    <mergeCell ref="A228:F228"/>
    <mergeCell ref="Z227:AD227"/>
    <mergeCell ref="AO234:AV234"/>
    <mergeCell ref="A221:F221"/>
    <mergeCell ref="Z234:AD234"/>
    <mergeCell ref="AO237:AV237"/>
    <mergeCell ref="AE237:AN237"/>
    <mergeCell ref="AE241:AN241"/>
    <mergeCell ref="AO236:AV236"/>
    <mergeCell ref="Z235:AD235"/>
    <mergeCell ref="AE235:AN235"/>
    <mergeCell ref="AO235:AV235"/>
    <mergeCell ref="AE239:AN239"/>
    <mergeCell ref="Z237:AD237"/>
    <mergeCell ref="AE258:AN258"/>
    <mergeCell ref="AO258:AV258"/>
    <mergeCell ref="Z236:AD236"/>
    <mergeCell ref="AE249:AN249"/>
    <mergeCell ref="AE250:AN250"/>
    <mergeCell ref="AO247:AV247"/>
    <mergeCell ref="AO238:AV238"/>
    <mergeCell ref="AO239:AV239"/>
    <mergeCell ref="AE247:AN247"/>
    <mergeCell ref="AO256:AV256"/>
    <mergeCell ref="AE223:AN223"/>
    <mergeCell ref="Z226:AD226"/>
    <mergeCell ref="G225:Y225"/>
    <mergeCell ref="AE233:AN233"/>
    <mergeCell ref="G220:Y220"/>
    <mergeCell ref="AE227:AN227"/>
    <mergeCell ref="G221:Y221"/>
    <mergeCell ref="Z221:AD221"/>
    <mergeCell ref="AE221:AN221"/>
    <mergeCell ref="AE225:AN225"/>
    <mergeCell ref="BA56:BH56"/>
    <mergeCell ref="BE239:BL239"/>
    <mergeCell ref="BE240:BL240"/>
    <mergeCell ref="G224:Y224"/>
    <mergeCell ref="G214:Y214"/>
    <mergeCell ref="AS195:AZ195"/>
    <mergeCell ref="G228:Y228"/>
    <mergeCell ref="AO229:AV229"/>
    <mergeCell ref="Z229:AD229"/>
    <mergeCell ref="AS70:AZ70"/>
    <mergeCell ref="BA55:BH55"/>
    <mergeCell ref="AS55:AZ55"/>
    <mergeCell ref="AW258:BD258"/>
    <mergeCell ref="AW214:BD214"/>
    <mergeCell ref="AS56:AZ56"/>
    <mergeCell ref="AW229:BD229"/>
    <mergeCell ref="AW211:BD211"/>
    <mergeCell ref="AW233:BD233"/>
    <mergeCell ref="AO233:AV233"/>
    <mergeCell ref="BA74:BH74"/>
    <mergeCell ref="A421:H421"/>
    <mergeCell ref="A420:H420"/>
    <mergeCell ref="A418:V418"/>
    <mergeCell ref="AO419:BG419"/>
    <mergeCell ref="AO413:BG413"/>
    <mergeCell ref="A414:F414"/>
    <mergeCell ref="AO418:BG418"/>
    <mergeCell ref="W413:AM413"/>
    <mergeCell ref="W419:AM419"/>
    <mergeCell ref="A415:V415"/>
    <mergeCell ref="G215:Y215"/>
    <mergeCell ref="A220:F220"/>
    <mergeCell ref="G259:Y259"/>
    <mergeCell ref="Z259:AD259"/>
    <mergeCell ref="G254:Y254"/>
    <mergeCell ref="G223:Y223"/>
    <mergeCell ref="A258:F258"/>
    <mergeCell ref="G258:Y258"/>
    <mergeCell ref="Z258:AD258"/>
    <mergeCell ref="G250:Y250"/>
    <mergeCell ref="A40:F40"/>
    <mergeCell ref="A25:BL25"/>
    <mergeCell ref="A30:F30"/>
    <mergeCell ref="BD22:BL22"/>
    <mergeCell ref="BE20:BL20"/>
    <mergeCell ref="G29:BL29"/>
    <mergeCell ref="AS22:BC22"/>
    <mergeCell ref="A39:F39"/>
    <mergeCell ref="T23:W23"/>
    <mergeCell ref="U22:AD22"/>
    <mergeCell ref="AO412:BG412"/>
    <mergeCell ref="BE241:BL241"/>
    <mergeCell ref="BE242:BL242"/>
    <mergeCell ref="BA195:BH195"/>
    <mergeCell ref="AW241:BD241"/>
    <mergeCell ref="G404:Y404"/>
    <mergeCell ref="Z404:AD404"/>
    <mergeCell ref="AE404:AN404"/>
    <mergeCell ref="AO404:AV404"/>
    <mergeCell ref="AE243:AN243"/>
    <mergeCell ref="B19:L19"/>
    <mergeCell ref="B17:L17"/>
    <mergeCell ref="AU14:BB14"/>
    <mergeCell ref="AA19:AI19"/>
    <mergeCell ref="B20:L20"/>
    <mergeCell ref="N20:Y20"/>
    <mergeCell ref="B16:L16"/>
    <mergeCell ref="B14:L14"/>
    <mergeCell ref="A70:C70"/>
    <mergeCell ref="A28:BL28"/>
    <mergeCell ref="A36:BL36"/>
    <mergeCell ref="A34:BL34"/>
    <mergeCell ref="A29:F29"/>
    <mergeCell ref="G30:BL30"/>
    <mergeCell ref="A31:F31"/>
    <mergeCell ref="A33:BL33"/>
    <mergeCell ref="G31:BL31"/>
    <mergeCell ref="A52:C53"/>
    <mergeCell ref="AO1:BL1"/>
    <mergeCell ref="BE19:BL19"/>
    <mergeCell ref="AO2:BL2"/>
    <mergeCell ref="AO6:BF6"/>
    <mergeCell ref="AO4:BL4"/>
    <mergeCell ref="AO7:AU7"/>
    <mergeCell ref="A11:BL11"/>
    <mergeCell ref="B13:L13"/>
    <mergeCell ref="N19:Y19"/>
    <mergeCell ref="N16:AS16"/>
    <mergeCell ref="AO5:BL5"/>
    <mergeCell ref="AO3:BL3"/>
    <mergeCell ref="A50:AZ50"/>
    <mergeCell ref="G40:BL40"/>
    <mergeCell ref="AK19:BC19"/>
    <mergeCell ref="AK20:BC20"/>
    <mergeCell ref="A23:H23"/>
    <mergeCell ref="A26:BL26"/>
    <mergeCell ref="AA20:AI20"/>
    <mergeCell ref="G39:BL39"/>
    <mergeCell ref="BA54:BH54"/>
    <mergeCell ref="G43:BL43"/>
    <mergeCell ref="G44:BL44"/>
    <mergeCell ref="A47:F47"/>
    <mergeCell ref="BA52:BH53"/>
    <mergeCell ref="AS54:AZ54"/>
    <mergeCell ref="AS51:AZ51"/>
    <mergeCell ref="A54:C54"/>
    <mergeCell ref="A48:F48"/>
    <mergeCell ref="G48:BL48"/>
    <mergeCell ref="G41:BL41"/>
    <mergeCell ref="A38:F38"/>
    <mergeCell ref="N17:AS17"/>
    <mergeCell ref="A10:BL10"/>
    <mergeCell ref="AE22:AR22"/>
    <mergeCell ref="I23:S23"/>
    <mergeCell ref="A22:T22"/>
    <mergeCell ref="G38:BL38"/>
    <mergeCell ref="G37:BL37"/>
    <mergeCell ref="AU13:BB13"/>
    <mergeCell ref="A37:F37"/>
    <mergeCell ref="N13:AS13"/>
    <mergeCell ref="N14:AS14"/>
    <mergeCell ref="AU17:BB17"/>
    <mergeCell ref="AU16:BB16"/>
    <mergeCell ref="Z228:AD228"/>
    <mergeCell ref="Z223:AD223"/>
    <mergeCell ref="AW218:BD218"/>
    <mergeCell ref="AS166:AZ166"/>
    <mergeCell ref="AS52:AZ53"/>
    <mergeCell ref="BE234:BL234"/>
    <mergeCell ref="AW236:BD236"/>
    <mergeCell ref="BE237:BL237"/>
    <mergeCell ref="AW7:BF7"/>
    <mergeCell ref="AS87:AZ87"/>
    <mergeCell ref="AS88:AZ88"/>
    <mergeCell ref="AS193:AZ194"/>
    <mergeCell ref="BA155:BH155"/>
    <mergeCell ref="BA103:BH103"/>
    <mergeCell ref="AS136:AZ136"/>
    <mergeCell ref="BE254:BL254"/>
    <mergeCell ref="BE255:BL255"/>
    <mergeCell ref="AW255:BD255"/>
    <mergeCell ref="AW247:BD247"/>
    <mergeCell ref="AW248:BD248"/>
    <mergeCell ref="AW249:BD249"/>
    <mergeCell ref="BE250:BL250"/>
    <mergeCell ref="AW251:BD251"/>
    <mergeCell ref="BE243:BL243"/>
    <mergeCell ref="BE404:BL404"/>
    <mergeCell ref="AW259:BD259"/>
    <mergeCell ref="BE259:BL259"/>
    <mergeCell ref="BE214:BL214"/>
    <mergeCell ref="BE216:BL216"/>
    <mergeCell ref="BE265:BL265"/>
    <mergeCell ref="BE258:BL258"/>
    <mergeCell ref="BE245:BL245"/>
    <mergeCell ref="BE244:BL244"/>
    <mergeCell ref="AO405:AV405"/>
    <mergeCell ref="Z267:AD267"/>
    <mergeCell ref="AW405:BD405"/>
    <mergeCell ref="BE405:BL405"/>
    <mergeCell ref="Z383:AD383"/>
    <mergeCell ref="AW404:BD404"/>
    <mergeCell ref="BE403:BL403"/>
    <mergeCell ref="BE383:BL383"/>
    <mergeCell ref="AE403:AN403"/>
    <mergeCell ref="AO403:AV403"/>
    <mergeCell ref="AK91:AR91"/>
    <mergeCell ref="BA92:BH92"/>
    <mergeCell ref="BA126:BH126"/>
    <mergeCell ref="G406:Y406"/>
    <mergeCell ref="Z406:AD406"/>
    <mergeCell ref="AE406:AN406"/>
    <mergeCell ref="AO406:AV406"/>
    <mergeCell ref="AW406:BD406"/>
    <mergeCell ref="AS135:AZ135"/>
    <mergeCell ref="AO265:AV265"/>
    <mergeCell ref="A100:C100"/>
    <mergeCell ref="D100:AJ100"/>
    <mergeCell ref="A104:C104"/>
    <mergeCell ref="A91:C91"/>
    <mergeCell ref="A92:C92"/>
    <mergeCell ref="D96:AJ96"/>
    <mergeCell ref="D92:AJ92"/>
    <mergeCell ref="A101:C101"/>
    <mergeCell ref="D101:AJ101"/>
    <mergeCell ref="D102:AJ102"/>
    <mergeCell ref="A71:C71"/>
    <mergeCell ref="A72:C72"/>
    <mergeCell ref="BE407:BL407"/>
    <mergeCell ref="D184:AJ184"/>
    <mergeCell ref="AS182:AZ182"/>
    <mergeCell ref="AS184:AZ184"/>
    <mergeCell ref="BA182:BH182"/>
    <mergeCell ref="A103:C103"/>
    <mergeCell ref="D103:AJ103"/>
    <mergeCell ref="D104:AJ104"/>
    <mergeCell ref="BA91:BH91"/>
    <mergeCell ref="AS120:AZ120"/>
    <mergeCell ref="A110:C110"/>
    <mergeCell ref="AS113:AZ113"/>
    <mergeCell ref="A113:C113"/>
    <mergeCell ref="A118:C118"/>
    <mergeCell ref="A119:C119"/>
    <mergeCell ref="A120:C120"/>
    <mergeCell ref="BA100:BH100"/>
    <mergeCell ref="A102:C102"/>
    <mergeCell ref="AE408:AN408"/>
    <mergeCell ref="A114:C114"/>
    <mergeCell ref="A115:C115"/>
    <mergeCell ref="A116:C116"/>
    <mergeCell ref="A117:C117"/>
    <mergeCell ref="A135:C135"/>
    <mergeCell ref="AE224:AN224"/>
    <mergeCell ref="Z405:AD405"/>
    <mergeCell ref="AE405:AN405"/>
    <mergeCell ref="Z217:AD217"/>
    <mergeCell ref="Z407:AD407"/>
    <mergeCell ref="A403:F403"/>
    <mergeCell ref="G403:Y403"/>
    <mergeCell ref="Z403:AD403"/>
    <mergeCell ref="A401:F401"/>
    <mergeCell ref="A408:F408"/>
    <mergeCell ref="G408:Y408"/>
    <mergeCell ref="Z408:AD408"/>
    <mergeCell ref="G216:Y216"/>
    <mergeCell ref="A392:F392"/>
    <mergeCell ref="A391:F391"/>
    <mergeCell ref="A390:F390"/>
    <mergeCell ref="A389:F389"/>
    <mergeCell ref="G407:Y407"/>
    <mergeCell ref="A265:F265"/>
    <mergeCell ref="A267:F267"/>
    <mergeCell ref="A216:F216"/>
    <mergeCell ref="G234:Y234"/>
    <mergeCell ref="AO407:AV407"/>
    <mergeCell ref="AE259:AN259"/>
    <mergeCell ref="D182:AJ182"/>
    <mergeCell ref="BE406:BL406"/>
    <mergeCell ref="G405:Y405"/>
    <mergeCell ref="Z214:AD214"/>
    <mergeCell ref="AW212:BD212"/>
    <mergeCell ref="AO221:AV221"/>
    <mergeCell ref="A259:F259"/>
    <mergeCell ref="AO218:AV218"/>
    <mergeCell ref="AS144:AZ144"/>
    <mergeCell ref="BE409:BL409"/>
    <mergeCell ref="AS114:AZ114"/>
    <mergeCell ref="AS115:AZ115"/>
    <mergeCell ref="BA123:BH123"/>
    <mergeCell ref="BA124:BH124"/>
    <mergeCell ref="BA125:BH125"/>
    <mergeCell ref="BA119:BH119"/>
    <mergeCell ref="AO408:AV408"/>
    <mergeCell ref="AW408:BD408"/>
    <mergeCell ref="A136:C136"/>
    <mergeCell ref="AS138:AZ138"/>
    <mergeCell ref="BE408:BL408"/>
    <mergeCell ref="A409:F409"/>
    <mergeCell ref="G409:Y409"/>
    <mergeCell ref="Z409:AD409"/>
    <mergeCell ref="AE409:AN409"/>
    <mergeCell ref="AO409:AV409"/>
    <mergeCell ref="AW409:BD409"/>
    <mergeCell ref="A144:C144"/>
    <mergeCell ref="AS132:AZ132"/>
    <mergeCell ref="AE410:AN410"/>
    <mergeCell ref="AO410:AV410"/>
    <mergeCell ref="AW410:BD410"/>
    <mergeCell ref="AE407:AN407"/>
    <mergeCell ref="AW407:BD407"/>
    <mergeCell ref="AO240:AV240"/>
    <mergeCell ref="AO251:AV251"/>
    <mergeCell ref="AO252:AV252"/>
    <mergeCell ref="AO253:AV253"/>
    <mergeCell ref="A125:C125"/>
    <mergeCell ref="A126:C126"/>
    <mergeCell ref="A127:C127"/>
    <mergeCell ref="A130:C130"/>
    <mergeCell ref="BE410:BL410"/>
    <mergeCell ref="BA184:BH184"/>
    <mergeCell ref="BA139:BH139"/>
    <mergeCell ref="AS130:AZ130"/>
    <mergeCell ref="AS131:AZ131"/>
    <mergeCell ref="AS139:AZ139"/>
    <mergeCell ref="A131:C131"/>
    <mergeCell ref="A132:C132"/>
    <mergeCell ref="A134:C134"/>
    <mergeCell ref="AS140:AZ140"/>
    <mergeCell ref="A150:C150"/>
    <mergeCell ref="AK137:AR137"/>
    <mergeCell ref="AK138:AR138"/>
    <mergeCell ref="AK135:AR135"/>
    <mergeCell ref="D131:AJ131"/>
    <mergeCell ref="A137:C137"/>
    <mergeCell ref="A138:C138"/>
    <mergeCell ref="A139:C139"/>
    <mergeCell ref="D137:AJ137"/>
    <mergeCell ref="D138:AJ138"/>
    <mergeCell ref="A140:C140"/>
    <mergeCell ref="D140:AJ140"/>
    <mergeCell ref="A151:C151"/>
    <mergeCell ref="A152:C152"/>
    <mergeCell ref="A141:C141"/>
    <mergeCell ref="A142:C142"/>
    <mergeCell ref="AK152:AR152"/>
    <mergeCell ref="AS150:AZ150"/>
    <mergeCell ref="D145:AJ145"/>
    <mergeCell ref="AK145:AR145"/>
    <mergeCell ref="AS145:AZ145"/>
    <mergeCell ref="AK143:AR143"/>
    <mergeCell ref="BA151:BH151"/>
    <mergeCell ref="AK155:AR155"/>
    <mergeCell ref="A153:C153"/>
    <mergeCell ref="A154:C154"/>
    <mergeCell ref="A160:C160"/>
    <mergeCell ref="A161:C161"/>
    <mergeCell ref="BA161:BH161"/>
    <mergeCell ref="AS154:AZ154"/>
    <mergeCell ref="AS160:AZ160"/>
    <mergeCell ref="BA157:BH157"/>
    <mergeCell ref="A162:C162"/>
    <mergeCell ref="AK153:AR153"/>
    <mergeCell ref="AK154:AR154"/>
    <mergeCell ref="A157:C157"/>
    <mergeCell ref="D153:AJ153"/>
    <mergeCell ref="D163:AJ163"/>
    <mergeCell ref="D160:AJ160"/>
    <mergeCell ref="A163:C163"/>
    <mergeCell ref="D155:AJ155"/>
    <mergeCell ref="D158:AJ158"/>
    <mergeCell ref="AS164:AZ164"/>
    <mergeCell ref="AK160:AR160"/>
    <mergeCell ref="AK161:AR161"/>
    <mergeCell ref="AK162:AR162"/>
    <mergeCell ref="AS161:AZ161"/>
    <mergeCell ref="AS162:AZ162"/>
    <mergeCell ref="BA169:BH169"/>
    <mergeCell ref="BA168:BH168"/>
    <mergeCell ref="BA166:BH166"/>
    <mergeCell ref="A164:C164"/>
    <mergeCell ref="A167:C167"/>
    <mergeCell ref="D167:AJ167"/>
    <mergeCell ref="D165:AJ165"/>
    <mergeCell ref="D166:AJ166"/>
    <mergeCell ref="A165:C165"/>
    <mergeCell ref="A166:C166"/>
    <mergeCell ref="AS168:AZ168"/>
    <mergeCell ref="AS169:AZ169"/>
    <mergeCell ref="BA173:BH173"/>
    <mergeCell ref="D168:AJ168"/>
    <mergeCell ref="D169:AJ169"/>
    <mergeCell ref="BA162:BH162"/>
    <mergeCell ref="BA163:BH163"/>
    <mergeCell ref="BA164:BH164"/>
    <mergeCell ref="BA167:BH167"/>
    <mergeCell ref="BA165:BH165"/>
    <mergeCell ref="AS172:AZ172"/>
    <mergeCell ref="D173:AJ173"/>
    <mergeCell ref="D174:AJ174"/>
    <mergeCell ref="AK173:AR173"/>
    <mergeCell ref="BA170:BH170"/>
    <mergeCell ref="D170:AJ170"/>
    <mergeCell ref="D172:AJ172"/>
    <mergeCell ref="AE217:AN217"/>
    <mergeCell ref="BA207:BH207"/>
    <mergeCell ref="A185:C185"/>
    <mergeCell ref="A177:C177"/>
    <mergeCell ref="A182:C182"/>
    <mergeCell ref="A184:C184"/>
    <mergeCell ref="A189:C189"/>
    <mergeCell ref="BA186:BH186"/>
    <mergeCell ref="BA185:BH185"/>
    <mergeCell ref="G217:Y217"/>
    <mergeCell ref="BA203:BH203"/>
    <mergeCell ref="A106:C106"/>
    <mergeCell ref="AS197:AZ197"/>
    <mergeCell ref="AS202:AZ202"/>
    <mergeCell ref="AK197:AR197"/>
    <mergeCell ref="AK198:AR198"/>
    <mergeCell ref="A171:C171"/>
    <mergeCell ref="A172:C172"/>
    <mergeCell ref="A179:C179"/>
    <mergeCell ref="BA178:BH178"/>
    <mergeCell ref="BE218:BL218"/>
    <mergeCell ref="A186:C186"/>
    <mergeCell ref="A191:BL191"/>
    <mergeCell ref="AS95:AZ95"/>
    <mergeCell ref="AK202:AR202"/>
    <mergeCell ref="AK204:AR204"/>
    <mergeCell ref="A218:F218"/>
    <mergeCell ref="D180:AJ180"/>
    <mergeCell ref="AS186:AZ186"/>
    <mergeCell ref="BA204:BH204"/>
    <mergeCell ref="A83:C83"/>
    <mergeCell ref="A82:C82"/>
    <mergeCell ref="A168:C168"/>
    <mergeCell ref="A169:C169"/>
    <mergeCell ref="A170:C170"/>
    <mergeCell ref="BA181:BH181"/>
    <mergeCell ref="BA176:BH176"/>
    <mergeCell ref="AS178:AZ178"/>
    <mergeCell ref="AS176:AZ176"/>
    <mergeCell ref="BA172:BH172"/>
    <mergeCell ref="A77:C77"/>
    <mergeCell ref="A78:C78"/>
    <mergeCell ref="A79:C79"/>
    <mergeCell ref="A80:C80"/>
    <mergeCell ref="AK80:AR80"/>
    <mergeCell ref="D80:AJ80"/>
    <mergeCell ref="D77:AJ77"/>
    <mergeCell ref="D78:AJ78"/>
    <mergeCell ref="D79:AJ79"/>
    <mergeCell ref="BA78:BH78"/>
    <mergeCell ref="BA79:BH79"/>
    <mergeCell ref="BA80:BH80"/>
    <mergeCell ref="BA81:BH81"/>
    <mergeCell ref="AS81:AZ81"/>
    <mergeCell ref="AS77:AZ77"/>
    <mergeCell ref="AS78:AZ78"/>
    <mergeCell ref="AS79:AZ79"/>
    <mergeCell ref="AS80:AZ80"/>
    <mergeCell ref="AS198:AZ198"/>
    <mergeCell ref="A198:C198"/>
    <mergeCell ref="AS167:AZ167"/>
    <mergeCell ref="BA179:BH179"/>
    <mergeCell ref="AS181:AZ181"/>
    <mergeCell ref="AS185:AZ185"/>
    <mergeCell ref="A174:C174"/>
    <mergeCell ref="A173:C173"/>
    <mergeCell ref="AS174:AZ174"/>
    <mergeCell ref="AS173:AZ173"/>
    <mergeCell ref="A81:C81"/>
    <mergeCell ref="A197:C197"/>
    <mergeCell ref="D199:AJ199"/>
    <mergeCell ref="AK203:AR203"/>
    <mergeCell ref="A199:C199"/>
    <mergeCell ref="D94:AJ94"/>
    <mergeCell ref="A180:C180"/>
    <mergeCell ref="D176:AJ176"/>
    <mergeCell ref="A176:C176"/>
    <mergeCell ref="A178:C178"/>
    <mergeCell ref="AS203:AZ203"/>
    <mergeCell ref="A94:C94"/>
    <mergeCell ref="BA197:BH197"/>
    <mergeCell ref="BA202:BH202"/>
    <mergeCell ref="D178:AJ178"/>
    <mergeCell ref="D179:AJ179"/>
    <mergeCell ref="A121:C121"/>
    <mergeCell ref="A95:C95"/>
    <mergeCell ref="A175:C175"/>
    <mergeCell ref="BA95:BH95"/>
    <mergeCell ref="AS84:AZ84"/>
    <mergeCell ref="BA84:BH84"/>
    <mergeCell ref="AK84:AR84"/>
    <mergeCell ref="AS179:AZ179"/>
    <mergeCell ref="AS199:AZ199"/>
    <mergeCell ref="AS200:AZ200"/>
    <mergeCell ref="AS129:AZ129"/>
    <mergeCell ref="BA198:BH198"/>
    <mergeCell ref="BA199:BH199"/>
    <mergeCell ref="BA94:BH94"/>
    <mergeCell ref="A181:C181"/>
    <mergeCell ref="A205:C205"/>
    <mergeCell ref="AK205:AR205"/>
    <mergeCell ref="A214:F214"/>
    <mergeCell ref="Z218:AD218"/>
    <mergeCell ref="AK199:AR199"/>
    <mergeCell ref="AK200:AR200"/>
    <mergeCell ref="D198:AJ198"/>
    <mergeCell ref="A203:C203"/>
    <mergeCell ref="AE218:AN218"/>
    <mergeCell ref="G255:Y255"/>
    <mergeCell ref="Z254:AD254"/>
    <mergeCell ref="Z255:AD255"/>
    <mergeCell ref="G251:Y251"/>
    <mergeCell ref="Z251:AD251"/>
    <mergeCell ref="G252:Y252"/>
    <mergeCell ref="Z252:AD252"/>
    <mergeCell ref="A251:F251"/>
    <mergeCell ref="A252:F252"/>
    <mergeCell ref="A253:F253"/>
    <mergeCell ref="A256:F256"/>
    <mergeCell ref="A257:F257"/>
    <mergeCell ref="Z253:AD253"/>
    <mergeCell ref="G256:Y256"/>
    <mergeCell ref="Z256:AD256"/>
    <mergeCell ref="G257:Y257"/>
    <mergeCell ref="Z257:AD257"/>
    <mergeCell ref="A388:F388"/>
    <mergeCell ref="A410:F410"/>
    <mergeCell ref="AE251:AN251"/>
    <mergeCell ref="AE252:AN252"/>
    <mergeCell ref="AE253:AN253"/>
    <mergeCell ref="AE256:AN256"/>
    <mergeCell ref="AE257:AN257"/>
    <mergeCell ref="A254:F254"/>
    <mergeCell ref="A255:F255"/>
    <mergeCell ref="G253:Y253"/>
    <mergeCell ref="G410:Y410"/>
    <mergeCell ref="Z410:AD410"/>
    <mergeCell ref="BE256:BL256"/>
    <mergeCell ref="BE257:BL257"/>
    <mergeCell ref="AE254:AN254"/>
    <mergeCell ref="AE255:AN255"/>
    <mergeCell ref="AO254:AV254"/>
    <mergeCell ref="AO255:AV255"/>
    <mergeCell ref="AW254:BD254"/>
    <mergeCell ref="AO257:AV257"/>
    <mergeCell ref="AS57:AZ57"/>
    <mergeCell ref="BA57:BH57"/>
    <mergeCell ref="A86:C86"/>
    <mergeCell ref="D86:AJ86"/>
    <mergeCell ref="AK86:AR86"/>
    <mergeCell ref="AS86:AZ86"/>
    <mergeCell ref="BA86:BH86"/>
    <mergeCell ref="A84:C84"/>
    <mergeCell ref="BA82:BH82"/>
    <mergeCell ref="BA77:BH77"/>
    <mergeCell ref="A108:C108"/>
    <mergeCell ref="D108:AJ108"/>
    <mergeCell ref="AK108:AR108"/>
    <mergeCell ref="AS108:AZ108"/>
    <mergeCell ref="BA108:BH108"/>
    <mergeCell ref="AS101:AZ101"/>
    <mergeCell ref="AS102:AZ102"/>
    <mergeCell ref="AK101:AR101"/>
    <mergeCell ref="AK102:AR102"/>
    <mergeCell ref="BA104:BH104"/>
    <mergeCell ref="A123:C123"/>
    <mergeCell ref="A124:C124"/>
    <mergeCell ref="AS143:AZ143"/>
    <mergeCell ref="BA143:BH143"/>
    <mergeCell ref="A122:C122"/>
    <mergeCell ref="D122:AJ122"/>
    <mergeCell ref="AK122:AR122"/>
    <mergeCell ref="AS122:AZ122"/>
    <mergeCell ref="BA122:BH122"/>
    <mergeCell ref="A129:C129"/>
    <mergeCell ref="BA145:BH145"/>
    <mergeCell ref="A145:C145"/>
    <mergeCell ref="A133:C133"/>
    <mergeCell ref="D133:AJ133"/>
    <mergeCell ref="AK133:AR133"/>
    <mergeCell ref="AS133:AZ133"/>
    <mergeCell ref="BA133:BH133"/>
    <mergeCell ref="A143:C143"/>
    <mergeCell ref="D143:AJ143"/>
    <mergeCell ref="AS141:AZ141"/>
    <mergeCell ref="BA85:BH85"/>
    <mergeCell ref="A98:C98"/>
    <mergeCell ref="D98:AJ98"/>
    <mergeCell ref="AS96:AZ96"/>
    <mergeCell ref="AS97:AZ97"/>
    <mergeCell ref="BA96:BH96"/>
    <mergeCell ref="BA97:BH97"/>
    <mergeCell ref="AK98:AR98"/>
    <mergeCell ref="AS98:AZ98"/>
    <mergeCell ref="BA98:BH98"/>
    <mergeCell ref="A96:C96"/>
    <mergeCell ref="A97:C97"/>
    <mergeCell ref="A85:C85"/>
    <mergeCell ref="D85:AJ85"/>
    <mergeCell ref="AK85:AR85"/>
    <mergeCell ref="AS85:AZ85"/>
    <mergeCell ref="A93:C93"/>
    <mergeCell ref="A88:C88"/>
    <mergeCell ref="A87:C87"/>
    <mergeCell ref="D91:AJ91"/>
    <mergeCell ref="BA201:BH201"/>
    <mergeCell ref="BA200:BH200"/>
    <mergeCell ref="A196:C196"/>
    <mergeCell ref="AK193:AR194"/>
    <mergeCell ref="A195:C195"/>
    <mergeCell ref="AO219:AV219"/>
    <mergeCell ref="AW219:BD219"/>
    <mergeCell ref="BE219:BL219"/>
    <mergeCell ref="BA205:BH205"/>
    <mergeCell ref="A200:C200"/>
    <mergeCell ref="AS183:AZ183"/>
    <mergeCell ref="A219:F219"/>
    <mergeCell ref="G219:Y219"/>
    <mergeCell ref="Z219:AD219"/>
    <mergeCell ref="AE219:AN219"/>
    <mergeCell ref="BA183:BH183"/>
    <mergeCell ref="A201:C201"/>
    <mergeCell ref="D201:AJ201"/>
    <mergeCell ref="AK201:AR201"/>
    <mergeCell ref="AS201:AZ201"/>
    <mergeCell ref="A99:C99"/>
    <mergeCell ref="D99:AJ99"/>
    <mergeCell ref="AK99:AR99"/>
    <mergeCell ref="AS99:AZ99"/>
    <mergeCell ref="BA99:BH99"/>
    <mergeCell ref="A412:V412"/>
    <mergeCell ref="W412:AM412"/>
    <mergeCell ref="A183:C183"/>
    <mergeCell ref="D183:AJ183"/>
    <mergeCell ref="AK183:AR183"/>
  </mergeCells>
  <phoneticPr fontId="0" type="noConversion"/>
  <conditionalFormatting sqref="H214:L215 G211:G215 G262:G265 H264:L265 G265:L265 G267:G268 G284:G285 G285:L285 G341:G342 G303:G304 G304:L304 G359 G306 G373:G375">
    <cfRule type="cellIs" dxfId="160" priority="343" stopIfTrue="1" operator="equal">
      <formula>$G210</formula>
    </cfRule>
  </conditionalFormatting>
  <conditionalFormatting sqref="G233:L233 G210 G218:G411 D106 D189 D94 D80:D82">
    <cfRule type="cellIs" dxfId="159" priority="344" stopIfTrue="1" operator="equal">
      <formula>#REF!</formula>
    </cfRule>
  </conditionalFormatting>
  <conditionalFormatting sqref="A210:F411">
    <cfRule type="cellIs" dxfId="158" priority="345" stopIfTrue="1" operator="equal">
      <formula>0</formula>
    </cfRule>
  </conditionalFormatting>
  <conditionalFormatting sqref="G324 G309 G306 G225 G373:G375">
    <cfRule type="cellIs" dxfId="157" priority="351" stopIfTrue="1" operator="equal">
      <formula>$G220</formula>
    </cfRule>
  </conditionalFormatting>
  <conditionalFormatting sqref="G266:L266 G215:G217 G269 G286 G322 G343 G305 G373:G375">
    <cfRule type="cellIs" dxfId="156" priority="353" stopIfTrue="1" operator="equal">
      <formula>$G213</formula>
    </cfRule>
  </conditionalFormatting>
  <conditionalFormatting sqref="G226:G227 G229">
    <cfRule type="cellIs" dxfId="155" priority="358" stopIfTrue="1" operator="equal">
      <formula>$G215</formula>
    </cfRule>
  </conditionalFormatting>
  <conditionalFormatting sqref="H223:L223 G223:G225 G228">
    <cfRule type="cellIs" dxfId="154" priority="395" stopIfTrue="1" operator="equal">
      <formula>$G211</formula>
    </cfRule>
  </conditionalFormatting>
  <conditionalFormatting sqref="G228:G232">
    <cfRule type="cellIs" dxfId="153" priority="406" stopIfTrue="1" operator="equal">
      <formula>$G213</formula>
    </cfRule>
  </conditionalFormatting>
  <conditionalFormatting sqref="D86 D56:D57 D100 D122 D129 D133">
    <cfRule type="cellIs" dxfId="152" priority="477" stopIfTrue="1" operator="equal">
      <formula>#REF!</formula>
    </cfRule>
  </conditionalFormatting>
  <conditionalFormatting sqref="G381 G330:G334 G349:G350 G274:G277 D106 D110:D120 D123:D128 D130:D132 D94 D80:D82 D134:D188">
    <cfRule type="cellIs" dxfId="151" priority="517" stopIfTrue="1" operator="equal">
      <formula>#REF!</formula>
    </cfRule>
  </conditionalFormatting>
  <conditionalFormatting sqref="D107:D109">
    <cfRule type="cellIs" dxfId="150" priority="565" stopIfTrue="1" operator="equal">
      <formula>#REF!</formula>
    </cfRule>
  </conditionalFormatting>
  <conditionalFormatting sqref="G330 G274">
    <cfRule type="cellIs" dxfId="149" priority="577" stopIfTrue="1" operator="equal">
      <formula>#REF!</formula>
    </cfRule>
  </conditionalFormatting>
  <conditionalFormatting sqref="G388 G400 G367 G316 G338 G355 G300 G281 G261 G228 G233 D55">
    <cfRule type="cellIs" dxfId="148" priority="589" stopIfTrue="1" operator="equal">
      <formula>#REF!</formula>
    </cfRule>
  </conditionalFormatting>
  <conditionalFormatting sqref="D58">
    <cfRule type="cellIs" dxfId="147" priority="283" stopIfTrue="1" operator="equal">
      <formula>$D56</formula>
    </cfRule>
  </conditionalFormatting>
  <conditionalFormatting sqref="D58">
    <cfRule type="cellIs" dxfId="146" priority="606" stopIfTrue="1" operator="equal">
      <formula>#REF!</formula>
    </cfRule>
  </conditionalFormatting>
  <conditionalFormatting sqref="G377 G335 G325:G329 G346:G347 G278 G270:G273">
    <cfRule type="cellIs" dxfId="145" priority="696" stopIfTrue="1" operator="equal">
      <formula>#REF!</formula>
    </cfRule>
  </conditionalFormatting>
  <conditionalFormatting sqref="G330 G274 G229:G230">
    <cfRule type="cellIs" dxfId="144" priority="712" stopIfTrue="1" operator="equal">
      <formula>#REF!</formula>
    </cfRule>
  </conditionalFormatting>
  <conditionalFormatting sqref="G396 G393 G405 G408 G382:G384 G376:G377 G363 G360 G332:G333 G345:G346 G352 G350 G311:G312 G307 G289 G294:G296 G277 G232 G234:G257">
    <cfRule type="cellIs" dxfId="143" priority="761" stopIfTrue="1" operator="equal">
      <formula>#REF!</formula>
    </cfRule>
  </conditionalFormatting>
  <conditionalFormatting sqref="H228:L228">
    <cfRule type="cellIs" dxfId="142" priority="780" stopIfTrue="1" operator="equal">
      <formula>$G213</formula>
    </cfRule>
  </conditionalFormatting>
  <conditionalFormatting sqref="G288 G229:G230">
    <cfRule type="cellIs" dxfId="141" priority="830" stopIfTrue="1" operator="equal">
      <formula>#REF!</formula>
    </cfRule>
  </conditionalFormatting>
  <conditionalFormatting sqref="G233 G230 G226:G227">
    <cfRule type="cellIs" dxfId="140" priority="832" stopIfTrue="1" operator="equal">
      <formula>$G216</formula>
    </cfRule>
  </conditionalFormatting>
  <conditionalFormatting sqref="G269 G306 G373:G375">
    <cfRule type="cellIs" dxfId="139" priority="835" stopIfTrue="1" operator="equal">
      <formula>$G265</formula>
    </cfRule>
  </conditionalFormatting>
  <conditionalFormatting sqref="G266:G268 G321 G324 G287:G288 G373:G375">
    <cfRule type="cellIs" dxfId="138" priority="248" stopIfTrue="1" operator="equal">
      <formula>$G263</formula>
    </cfRule>
  </conditionalFormatting>
  <conditionalFormatting sqref="G393:G396 G405:G408 G376:G384 G360:G363 G332:G333 G345:G350 G307:G312 G289:G296 G277 G232">
    <cfRule type="cellIs" dxfId="137" priority="237" stopIfTrue="1" operator="equal">
      <formula>#REF!</formula>
    </cfRule>
  </conditionalFormatting>
  <conditionalFormatting sqref="D106 D112:D120 D123:D128 D130:D132 D94 D80:D82 D134:D188">
    <cfRule type="cellIs" dxfId="136" priority="236" stopIfTrue="1" operator="equal">
      <formula>#REF!</formula>
    </cfRule>
  </conditionalFormatting>
  <conditionalFormatting sqref="G278">
    <cfRule type="cellIs" dxfId="135" priority="873" stopIfTrue="1" operator="equal">
      <formula>$G264</formula>
    </cfRule>
  </conditionalFormatting>
  <conditionalFormatting sqref="G229:G230">
    <cfRule type="cellIs" dxfId="134" priority="882" stopIfTrue="1" operator="equal">
      <formula>$G215</formula>
    </cfRule>
  </conditionalFormatting>
  <conditionalFormatting sqref="G234">
    <cfRule type="cellIs" dxfId="133" priority="235" stopIfTrue="1" operator="equal">
      <formula>$G229</formula>
    </cfRule>
  </conditionalFormatting>
  <conditionalFormatting sqref="G265">
    <cfRule type="cellIs" dxfId="132" priority="230" stopIfTrue="1" operator="equal">
      <formula>$G263</formula>
    </cfRule>
  </conditionalFormatting>
  <conditionalFormatting sqref="G270:G273">
    <cfRule type="cellIs" dxfId="131" priority="892" stopIfTrue="1" operator="equal">
      <formula>$G262</formula>
    </cfRule>
  </conditionalFormatting>
  <conditionalFormatting sqref="G275:G277">
    <cfRule type="cellIs" dxfId="130" priority="897" stopIfTrue="1" operator="equal">
      <formula>$G266</formula>
    </cfRule>
  </conditionalFormatting>
  <conditionalFormatting sqref="G268">
    <cfRule type="cellIs" dxfId="129" priority="228" stopIfTrue="1" operator="equal">
      <formula>$G266</formula>
    </cfRule>
  </conditionalFormatting>
  <conditionalFormatting sqref="G268">
    <cfRule type="cellIs" dxfId="128" priority="227" stopIfTrue="1" operator="equal">
      <formula>$G265</formula>
    </cfRule>
  </conditionalFormatting>
  <conditionalFormatting sqref="G268">
    <cfRule type="cellIs" dxfId="127" priority="226" stopIfTrue="1" operator="equal">
      <formula>$G267</formula>
    </cfRule>
  </conditionalFormatting>
  <conditionalFormatting sqref="G268">
    <cfRule type="cellIs" dxfId="126" priority="225" stopIfTrue="1" operator="equal">
      <formula>$G266</formula>
    </cfRule>
  </conditionalFormatting>
  <conditionalFormatting sqref="G269">
    <cfRule type="cellIs" dxfId="125" priority="224" stopIfTrue="1" operator="equal">
      <formula>$G266</formula>
    </cfRule>
  </conditionalFormatting>
  <conditionalFormatting sqref="G269">
    <cfRule type="cellIs" dxfId="124" priority="223" stopIfTrue="1" operator="equal">
      <formula>$G265</formula>
    </cfRule>
  </conditionalFormatting>
  <conditionalFormatting sqref="G269">
    <cfRule type="cellIs" dxfId="123" priority="222" stopIfTrue="1" operator="equal">
      <formula>$G266</formula>
    </cfRule>
  </conditionalFormatting>
  <conditionalFormatting sqref="G269">
    <cfRule type="cellIs" dxfId="122" priority="221" stopIfTrue="1" operator="equal">
      <formula>$G265</formula>
    </cfRule>
  </conditionalFormatting>
  <conditionalFormatting sqref="G269">
    <cfRule type="cellIs" dxfId="121" priority="220" stopIfTrue="1" operator="equal">
      <formula>$G267</formula>
    </cfRule>
  </conditionalFormatting>
  <conditionalFormatting sqref="G269">
    <cfRule type="cellIs" dxfId="120" priority="219" stopIfTrue="1" operator="equal">
      <formula>$G266</formula>
    </cfRule>
  </conditionalFormatting>
  <conditionalFormatting sqref="G269">
    <cfRule type="cellIs" dxfId="119" priority="218" stopIfTrue="1" operator="equal">
      <formula>$G267</formula>
    </cfRule>
  </conditionalFormatting>
  <conditionalFormatting sqref="G269">
    <cfRule type="cellIs" dxfId="118" priority="217" stopIfTrue="1" operator="equal">
      <formula>$G266</formula>
    </cfRule>
  </conditionalFormatting>
  <conditionalFormatting sqref="G274">
    <cfRule type="cellIs" dxfId="117" priority="900" stopIfTrue="1" operator="equal">
      <formula>$G264</formula>
    </cfRule>
  </conditionalFormatting>
  <conditionalFormatting sqref="G397 G385 G409 G364 G313 G351:G352 G297">
    <cfRule type="cellIs" dxfId="116" priority="214" stopIfTrue="1" operator="equal">
      <formula>#REF!</formula>
    </cfRule>
  </conditionalFormatting>
  <conditionalFormatting sqref="G290:G292 G223">
    <cfRule type="cellIs" dxfId="115" priority="211" stopIfTrue="1" operator="equal">
      <formula>$G216</formula>
    </cfRule>
  </conditionalFormatting>
  <conditionalFormatting sqref="G297">
    <cfRule type="cellIs" dxfId="114" priority="210" stopIfTrue="1" operator="equal">
      <formula>$G284</formula>
    </cfRule>
  </conditionalFormatting>
  <conditionalFormatting sqref="G293">
    <cfRule type="cellIs" dxfId="113" priority="209" stopIfTrue="1" operator="equal">
      <formula>$G284</formula>
    </cfRule>
  </conditionalFormatting>
  <conditionalFormatting sqref="G282:G283">
    <cfRule type="cellIs" dxfId="112" priority="207" stopIfTrue="1" operator="equal">
      <formula>$G281</formula>
    </cfRule>
  </conditionalFormatting>
  <conditionalFormatting sqref="G286">
    <cfRule type="cellIs" dxfId="111" priority="205" stopIfTrue="1" operator="equal">
      <formula>$G281</formula>
    </cfRule>
  </conditionalFormatting>
  <conditionalFormatting sqref="G286">
    <cfRule type="cellIs" dxfId="110" priority="204" stopIfTrue="1" operator="equal">
      <formula>$G282</formula>
    </cfRule>
  </conditionalFormatting>
  <conditionalFormatting sqref="G285">
    <cfRule type="cellIs" dxfId="109" priority="203" stopIfTrue="1" operator="equal">
      <formula>$G283</formula>
    </cfRule>
  </conditionalFormatting>
  <conditionalFormatting sqref="G308 G224 G373:G374">
    <cfRule type="cellIs" dxfId="108" priority="194" stopIfTrue="1" operator="equal">
      <formula>$G218</formula>
    </cfRule>
  </conditionalFormatting>
  <conditionalFormatting sqref="G310">
    <cfRule type="cellIs" dxfId="107" priority="193" stopIfTrue="1" operator="equal">
      <formula>$G303</formula>
    </cfRule>
  </conditionalFormatting>
  <conditionalFormatting sqref="G301:G302">
    <cfRule type="cellIs" dxfId="106" priority="192" stopIfTrue="1" operator="equal">
      <formula>$G300</formula>
    </cfRule>
  </conditionalFormatting>
  <conditionalFormatting sqref="G317:G320 H319:L320">
    <cfRule type="cellIs" dxfId="105" priority="188" stopIfTrue="1" operator="equal">
      <formula>$G316</formula>
    </cfRule>
  </conditionalFormatting>
  <conditionalFormatting sqref="G321:L321">
    <cfRule type="cellIs" dxfId="104" priority="187" stopIfTrue="1" operator="equal">
      <formula>$G319</formula>
    </cfRule>
  </conditionalFormatting>
  <conditionalFormatting sqref="G323">
    <cfRule type="cellIs" dxfId="103" priority="177" stopIfTrue="1" operator="equal">
      <formula>$G320</formula>
    </cfRule>
  </conditionalFormatting>
  <conditionalFormatting sqref="G335">
    <cfRule type="cellIs" dxfId="102" priority="174" stopIfTrue="1" operator="equal">
      <formula>$G319</formula>
    </cfRule>
  </conditionalFormatting>
  <conditionalFormatting sqref="G320">
    <cfRule type="cellIs" dxfId="101" priority="172" stopIfTrue="1" operator="equal">
      <formula>$G318</formula>
    </cfRule>
  </conditionalFormatting>
  <conditionalFormatting sqref="G325:G329">
    <cfRule type="cellIs" dxfId="100" priority="171" stopIfTrue="1" operator="equal">
      <formula>$G317</formula>
    </cfRule>
  </conditionalFormatting>
  <conditionalFormatting sqref="G331:G334">
    <cfRule type="cellIs" dxfId="99" priority="170" stopIfTrue="1" operator="equal">
      <formula>$G321</formula>
    </cfRule>
  </conditionalFormatting>
  <conditionalFormatting sqref="G322">
    <cfRule type="cellIs" dxfId="98" priority="169" stopIfTrue="1" operator="equal">
      <formula>$G321</formula>
    </cfRule>
  </conditionalFormatting>
  <conditionalFormatting sqref="G322">
    <cfRule type="cellIs" dxfId="97" priority="168" stopIfTrue="1" operator="equal">
      <formula>$G320</formula>
    </cfRule>
  </conditionalFormatting>
  <conditionalFormatting sqref="G322">
    <cfRule type="cellIs" dxfId="96" priority="166" stopIfTrue="1" operator="equal">
      <formula>$G321</formula>
    </cfRule>
  </conditionalFormatting>
  <conditionalFormatting sqref="G323">
    <cfRule type="cellIs" dxfId="95" priority="165" stopIfTrue="1" operator="equal">
      <formula>$G321</formula>
    </cfRule>
  </conditionalFormatting>
  <conditionalFormatting sqref="G323">
    <cfRule type="cellIs" dxfId="94" priority="164" stopIfTrue="1" operator="equal">
      <formula>$G320</formula>
    </cfRule>
  </conditionalFormatting>
  <conditionalFormatting sqref="G323">
    <cfRule type="cellIs" dxfId="93" priority="163" stopIfTrue="1" operator="equal">
      <formula>$G321</formula>
    </cfRule>
  </conditionalFormatting>
  <conditionalFormatting sqref="G323">
    <cfRule type="cellIs" dxfId="92" priority="162" stopIfTrue="1" operator="equal">
      <formula>$G320</formula>
    </cfRule>
  </conditionalFormatting>
  <conditionalFormatting sqref="G323">
    <cfRule type="cellIs" dxfId="91" priority="160" stopIfTrue="1" operator="equal">
      <formula>$G321</formula>
    </cfRule>
  </conditionalFormatting>
  <conditionalFormatting sqref="G323">
    <cfRule type="cellIs" dxfId="90" priority="158" stopIfTrue="1" operator="equal">
      <formula>$G321</formula>
    </cfRule>
  </conditionalFormatting>
  <conditionalFormatting sqref="G330">
    <cfRule type="cellIs" dxfId="89" priority="157" stopIfTrue="1" operator="equal">
      <formula>$G319</formula>
    </cfRule>
  </conditionalFormatting>
  <conditionalFormatting sqref="G322">
    <cfRule type="cellIs" dxfId="88" priority="155" stopIfTrue="1" operator="equal">
      <formula>$G321</formula>
    </cfRule>
  </conditionalFormatting>
  <conditionalFormatting sqref="G322">
    <cfRule type="cellIs" dxfId="87" priority="154" stopIfTrue="1" operator="equal">
      <formula>$G319</formula>
    </cfRule>
  </conditionalFormatting>
  <conditionalFormatting sqref="G322">
    <cfRule type="cellIs" dxfId="86" priority="153" stopIfTrue="1" operator="equal">
      <formula>$G320</formula>
    </cfRule>
  </conditionalFormatting>
  <conditionalFormatting sqref="G322">
    <cfRule type="cellIs" dxfId="85" priority="152" stopIfTrue="1" operator="equal">
      <formula>$G319</formula>
    </cfRule>
  </conditionalFormatting>
  <conditionalFormatting sqref="G322">
    <cfRule type="cellIs" dxfId="84" priority="151" stopIfTrue="1" operator="equal">
      <formula>$G320</formula>
    </cfRule>
  </conditionalFormatting>
  <conditionalFormatting sqref="G322">
    <cfRule type="cellIs" dxfId="83" priority="150" stopIfTrue="1" operator="equal">
      <formula>$G319</formula>
    </cfRule>
  </conditionalFormatting>
  <conditionalFormatting sqref="G322">
    <cfRule type="cellIs" dxfId="82" priority="149" stopIfTrue="1" operator="equal">
      <formula>$G321</formula>
    </cfRule>
  </conditionalFormatting>
  <conditionalFormatting sqref="G322">
    <cfRule type="cellIs" dxfId="81" priority="148" stopIfTrue="1" operator="equal">
      <formula>$G320</formula>
    </cfRule>
  </conditionalFormatting>
  <conditionalFormatting sqref="G322">
    <cfRule type="cellIs" dxfId="80" priority="147" stopIfTrue="1" operator="equal">
      <formula>$G321</formula>
    </cfRule>
  </conditionalFormatting>
  <conditionalFormatting sqref="G322">
    <cfRule type="cellIs" dxfId="79" priority="146" stopIfTrue="1" operator="equal">
      <formula>$G320</formula>
    </cfRule>
  </conditionalFormatting>
  <conditionalFormatting sqref="G322">
    <cfRule type="cellIs" dxfId="78" priority="962" stopIfTrue="1" operator="equal">
      <formula>$G324</formula>
    </cfRule>
  </conditionalFormatting>
  <conditionalFormatting sqref="G323">
    <cfRule type="cellIs" dxfId="77" priority="964" stopIfTrue="1" operator="equal">
      <formula>$G324</formula>
    </cfRule>
  </conditionalFormatting>
  <conditionalFormatting sqref="G276">
    <cfRule type="cellIs" dxfId="76" priority="143" stopIfTrue="1" operator="equal">
      <formula>$G263</formula>
    </cfRule>
  </conditionalFormatting>
  <conditionalFormatting sqref="G334">
    <cfRule type="cellIs" dxfId="75" priority="138" stopIfTrue="1" operator="equal">
      <formula>$G324</formula>
    </cfRule>
  </conditionalFormatting>
  <conditionalFormatting sqref="G344">
    <cfRule type="cellIs" dxfId="74" priority="132" stopIfTrue="1" operator="equal">
      <formula>$G341</formula>
    </cfRule>
  </conditionalFormatting>
  <conditionalFormatting sqref="G347">
    <cfRule type="cellIs" dxfId="73" priority="131" stopIfTrue="1" operator="equal">
      <formula>$G340</formula>
    </cfRule>
  </conditionalFormatting>
  <conditionalFormatting sqref="G351:G352">
    <cfRule type="cellIs" dxfId="72" priority="130" stopIfTrue="1" operator="equal">
      <formula>$G341</formula>
    </cfRule>
  </conditionalFormatting>
  <conditionalFormatting sqref="G348:G349">
    <cfRule type="cellIs" dxfId="71" priority="129" stopIfTrue="1" operator="equal">
      <formula>$G341</formula>
    </cfRule>
  </conditionalFormatting>
  <conditionalFormatting sqref="G339:G340">
    <cfRule type="cellIs" dxfId="70" priority="128" stopIfTrue="1" operator="equal">
      <formula>$G338</formula>
    </cfRule>
  </conditionalFormatting>
  <conditionalFormatting sqref="G344">
    <cfRule type="cellIs" dxfId="69" priority="127" stopIfTrue="1" operator="equal">
      <formula>$G338</formula>
    </cfRule>
  </conditionalFormatting>
  <conditionalFormatting sqref="G344">
    <cfRule type="cellIs" dxfId="68" priority="126" stopIfTrue="1" operator="equal">
      <formula>$G339</formula>
    </cfRule>
  </conditionalFormatting>
  <conditionalFormatting sqref="G342:L342">
    <cfRule type="cellIs" dxfId="67" priority="125" stopIfTrue="1" operator="equal">
      <formula>$G341</formula>
    </cfRule>
  </conditionalFormatting>
  <conditionalFormatting sqref="G342">
    <cfRule type="cellIs" dxfId="66" priority="124" stopIfTrue="1" operator="equal">
      <formula>$G340</formula>
    </cfRule>
  </conditionalFormatting>
  <conditionalFormatting sqref="G344">
    <cfRule type="cellIs" dxfId="65" priority="123" stopIfTrue="1" operator="equal">
      <formula>$G341</formula>
    </cfRule>
  </conditionalFormatting>
  <conditionalFormatting sqref="G344">
    <cfRule type="cellIs" dxfId="64" priority="122" stopIfTrue="1" operator="equal">
      <formula>$G342</formula>
    </cfRule>
  </conditionalFormatting>
  <conditionalFormatting sqref="G344">
    <cfRule type="cellIs" dxfId="63" priority="121" stopIfTrue="1" operator="equal">
      <formula>$G341</formula>
    </cfRule>
  </conditionalFormatting>
  <conditionalFormatting sqref="G344">
    <cfRule type="cellIs" dxfId="62" priority="120" stopIfTrue="1" operator="equal">
      <formula>$G342</formula>
    </cfRule>
  </conditionalFormatting>
  <conditionalFormatting sqref="G344">
    <cfRule type="cellIs" dxfId="61" priority="119" stopIfTrue="1" operator="equal">
      <formula>$G341</formula>
    </cfRule>
  </conditionalFormatting>
  <conditionalFormatting sqref="G344">
    <cfRule type="cellIs" dxfId="60" priority="118" stopIfTrue="1" operator="equal">
      <formula>$G342</formula>
    </cfRule>
  </conditionalFormatting>
  <conditionalFormatting sqref="G344">
    <cfRule type="cellIs" dxfId="59" priority="117" stopIfTrue="1" operator="equal">
      <formula>$G342</formula>
    </cfRule>
  </conditionalFormatting>
  <conditionalFormatting sqref="G344">
    <cfRule type="cellIs" dxfId="58" priority="116" stopIfTrue="1" operator="equal">
      <formula>$G345</formula>
    </cfRule>
  </conditionalFormatting>
  <conditionalFormatting sqref="G346">
    <cfRule type="cellIs" dxfId="57" priority="114" stopIfTrue="1" operator="equal">
      <formula>$G338</formula>
    </cfRule>
  </conditionalFormatting>
  <conditionalFormatting sqref="G349">
    <cfRule type="cellIs" dxfId="56" priority="112" stopIfTrue="1" operator="equal">
      <formula>$G339</formula>
    </cfRule>
  </conditionalFormatting>
  <conditionalFormatting sqref="G358">
    <cfRule type="cellIs" dxfId="55" priority="107" stopIfTrue="1" operator="equal">
      <formula>$G357</formula>
    </cfRule>
  </conditionalFormatting>
  <conditionalFormatting sqref="G361">
    <cfRule type="cellIs" dxfId="54" priority="105" stopIfTrue="1" operator="equal">
      <formula>$G357</formula>
    </cfRule>
  </conditionalFormatting>
  <conditionalFormatting sqref="G364">
    <cfRule type="cellIs" dxfId="53" priority="104" stopIfTrue="1" operator="equal">
      <formula>$G358</formula>
    </cfRule>
  </conditionalFormatting>
  <conditionalFormatting sqref="G362">
    <cfRule type="cellIs" dxfId="52" priority="103" stopIfTrue="1" operator="equal">
      <formula>$G358</formula>
    </cfRule>
  </conditionalFormatting>
  <conditionalFormatting sqref="G356:G357">
    <cfRule type="cellIs" dxfId="51" priority="102" stopIfTrue="1" operator="equal">
      <formula>$G355</formula>
    </cfRule>
  </conditionalFormatting>
  <conditionalFormatting sqref="G359">
    <cfRule type="cellIs" dxfId="50" priority="101" stopIfTrue="1" operator="equal">
      <formula>$G355</formula>
    </cfRule>
  </conditionalFormatting>
  <conditionalFormatting sqref="G359">
    <cfRule type="cellIs" dxfId="49" priority="100" stopIfTrue="1" operator="equal">
      <formula>$G356</formula>
    </cfRule>
  </conditionalFormatting>
  <conditionalFormatting sqref="G370:G371">
    <cfRule type="cellIs" dxfId="48" priority="99" stopIfTrue="1" operator="equal">
      <formula>$G369</formula>
    </cfRule>
  </conditionalFormatting>
  <conditionalFormatting sqref="G372">
    <cfRule type="cellIs" dxfId="47" priority="98" stopIfTrue="1" operator="equal">
      <formula>$G370</formula>
    </cfRule>
  </conditionalFormatting>
  <conditionalFormatting sqref="G378:G379">
    <cfRule type="cellIs" dxfId="46" priority="92" stopIfTrue="1" operator="equal">
      <formula>$G369</formula>
    </cfRule>
  </conditionalFormatting>
  <conditionalFormatting sqref="G385">
    <cfRule type="cellIs" dxfId="45" priority="91" stopIfTrue="1" operator="equal">
      <formula>$G370</formula>
    </cfRule>
  </conditionalFormatting>
  <conditionalFormatting sqref="G380:G381">
    <cfRule type="cellIs" dxfId="44" priority="90" stopIfTrue="1" operator="equal">
      <formula>$G370</formula>
    </cfRule>
  </conditionalFormatting>
  <conditionalFormatting sqref="G368:G369">
    <cfRule type="cellIs" dxfId="43" priority="89" stopIfTrue="1" operator="equal">
      <formula>$G367</formula>
    </cfRule>
  </conditionalFormatting>
  <conditionalFormatting sqref="G371:L371">
    <cfRule type="cellIs" dxfId="42" priority="86" stopIfTrue="1" operator="equal">
      <formula>$G370</formula>
    </cfRule>
  </conditionalFormatting>
  <conditionalFormatting sqref="G371">
    <cfRule type="cellIs" dxfId="41" priority="85" stopIfTrue="1" operator="equal">
      <formula>$G369</formula>
    </cfRule>
  </conditionalFormatting>
  <conditionalFormatting sqref="G375">
    <cfRule type="cellIs" dxfId="40" priority="77" stopIfTrue="1" operator="equal">
      <formula>$G380</formula>
    </cfRule>
  </conditionalFormatting>
  <conditionalFormatting sqref="G377">
    <cfRule type="cellIs" dxfId="39" priority="75" stopIfTrue="1" operator="equal">
      <formula>$G367</formula>
    </cfRule>
  </conditionalFormatting>
  <conditionalFormatting sqref="G381">
    <cfRule type="cellIs" dxfId="38" priority="73" stopIfTrue="1" operator="equal">
      <formula>$G368</formula>
    </cfRule>
  </conditionalFormatting>
  <conditionalFormatting sqref="G391">
    <cfRule type="cellIs" dxfId="37" priority="65" stopIfTrue="1" operator="equal">
      <formula>$G390</formula>
    </cfRule>
  </conditionalFormatting>
  <conditionalFormatting sqref="G392">
    <cfRule type="cellIs" dxfId="36" priority="64" stopIfTrue="1" operator="equal">
      <formula>$G391</formula>
    </cfRule>
  </conditionalFormatting>
  <conditionalFormatting sqref="G394">
    <cfRule type="cellIs" dxfId="35" priority="63" stopIfTrue="1" operator="equal">
      <formula>$G390</formula>
    </cfRule>
  </conditionalFormatting>
  <conditionalFormatting sqref="G397">
    <cfRule type="cellIs" dxfId="34" priority="62" stopIfTrue="1" operator="equal">
      <formula>$G391</formula>
    </cfRule>
  </conditionalFormatting>
  <conditionalFormatting sqref="G395">
    <cfRule type="cellIs" dxfId="33" priority="61" stopIfTrue="1" operator="equal">
      <formula>$G391</formula>
    </cfRule>
  </conditionalFormatting>
  <conditionalFormatting sqref="G389:G390">
    <cfRule type="cellIs" dxfId="32" priority="60" stopIfTrue="1" operator="equal">
      <formula>$G388</formula>
    </cfRule>
  </conditionalFormatting>
  <conditionalFormatting sqref="G392">
    <cfRule type="cellIs" dxfId="31" priority="59" stopIfTrue="1" operator="equal">
      <formula>$G388</formula>
    </cfRule>
  </conditionalFormatting>
  <conditionalFormatting sqref="G392">
    <cfRule type="cellIs" dxfId="30" priority="58" stopIfTrue="1" operator="equal">
      <formula>$G389</formula>
    </cfRule>
  </conditionalFormatting>
  <conditionalFormatting sqref="G333">
    <cfRule type="cellIs" dxfId="29" priority="54" stopIfTrue="1" operator="equal">
      <formula>$G324</formula>
    </cfRule>
  </conditionalFormatting>
  <conditionalFormatting sqref="G333">
    <cfRule type="cellIs" dxfId="28" priority="53" stopIfTrue="1" operator="equal">
      <formula>$G320</formula>
    </cfRule>
  </conditionalFormatting>
  <conditionalFormatting sqref="G347">
    <cfRule type="cellIs" dxfId="27" priority="51" stopIfTrue="1" operator="equal">
      <formula>$G339</formula>
    </cfRule>
  </conditionalFormatting>
  <conditionalFormatting sqref="G350">
    <cfRule type="cellIs" dxfId="26" priority="49" stopIfTrue="1" operator="equal">
      <formula>$G340</formula>
    </cfRule>
  </conditionalFormatting>
  <conditionalFormatting sqref="G350">
    <cfRule type="cellIs" dxfId="25" priority="48" stopIfTrue="1" operator="equal">
      <formula>$G341</formula>
    </cfRule>
  </conditionalFormatting>
  <conditionalFormatting sqref="G350">
    <cfRule type="cellIs" dxfId="24" priority="47" stopIfTrue="1" operator="equal">
      <formula>$G337</formula>
    </cfRule>
  </conditionalFormatting>
  <conditionalFormatting sqref="G259">
    <cfRule type="cellIs" dxfId="23" priority="45" stopIfTrue="1" operator="equal">
      <formula>$G258</formula>
    </cfRule>
  </conditionalFormatting>
  <conditionalFormatting sqref="G403">
    <cfRule type="cellIs" dxfId="22" priority="40" stopIfTrue="1" operator="equal">
      <formula>$G402</formula>
    </cfRule>
  </conditionalFormatting>
  <conditionalFormatting sqref="G404">
    <cfRule type="cellIs" dxfId="21" priority="39" stopIfTrue="1" operator="equal">
      <formula>$G403</formula>
    </cfRule>
  </conditionalFormatting>
  <conditionalFormatting sqref="G406">
    <cfRule type="cellIs" dxfId="20" priority="38" stopIfTrue="1" operator="equal">
      <formula>$G402</formula>
    </cfRule>
  </conditionalFormatting>
  <conditionalFormatting sqref="G409">
    <cfRule type="cellIs" dxfId="19" priority="37" stopIfTrue="1" operator="equal">
      <formula>$G403</formula>
    </cfRule>
  </conditionalFormatting>
  <conditionalFormatting sqref="G407">
    <cfRule type="cellIs" dxfId="18" priority="36" stopIfTrue="1" operator="equal">
      <formula>$G403</formula>
    </cfRule>
  </conditionalFormatting>
  <conditionalFormatting sqref="G401:G402">
    <cfRule type="cellIs" dxfId="17" priority="35" stopIfTrue="1" operator="equal">
      <formula>$G400</formula>
    </cfRule>
  </conditionalFormatting>
  <conditionalFormatting sqref="G404">
    <cfRule type="cellIs" dxfId="16" priority="34" stopIfTrue="1" operator="equal">
      <formula>$G400</formula>
    </cfRule>
  </conditionalFormatting>
  <conditionalFormatting sqref="G404">
    <cfRule type="cellIs" dxfId="15" priority="33" stopIfTrue="1" operator="equal">
      <formula>$G401</formula>
    </cfRule>
  </conditionalFormatting>
  <conditionalFormatting sqref="G288">
    <cfRule type="cellIs" dxfId="14" priority="32" stopIfTrue="1" operator="equal">
      <formula>$G285</formula>
    </cfRule>
  </conditionalFormatting>
  <conditionalFormatting sqref="G288">
    <cfRule type="cellIs" dxfId="13" priority="31" stopIfTrue="1" operator="equal">
      <formula>$G286</formula>
    </cfRule>
  </conditionalFormatting>
  <conditionalFormatting sqref="G288">
    <cfRule type="cellIs" dxfId="12" priority="30" stopIfTrue="1" operator="equal">
      <formula>$G285</formula>
    </cfRule>
  </conditionalFormatting>
  <conditionalFormatting sqref="G288">
    <cfRule type="cellIs" dxfId="11" priority="29" stopIfTrue="1" operator="equal">
      <formula>$G286</formula>
    </cfRule>
  </conditionalFormatting>
  <conditionalFormatting sqref="G288">
    <cfRule type="cellIs" dxfId="10" priority="28" stopIfTrue="1" operator="equal">
      <formula>$G285</formula>
    </cfRule>
  </conditionalFormatting>
  <conditionalFormatting sqref="G288">
    <cfRule type="cellIs" dxfId="9" priority="27" stopIfTrue="1" operator="equal">
      <formula>$G286</formula>
    </cfRule>
  </conditionalFormatting>
  <conditionalFormatting sqref="G288">
    <cfRule type="cellIs" dxfId="8" priority="26" stopIfTrue="1" operator="equal">
      <formula>$G286</formula>
    </cfRule>
  </conditionalFormatting>
  <conditionalFormatting sqref="G222">
    <cfRule type="cellIs" dxfId="7" priority="24" stopIfTrue="1" operator="equal">
      <formula>$G227</formula>
    </cfRule>
  </conditionalFormatting>
  <conditionalFormatting sqref="G305">
    <cfRule type="cellIs" dxfId="6" priority="23" stopIfTrue="1" operator="equal">
      <formula>$G302</formula>
    </cfRule>
  </conditionalFormatting>
  <conditionalFormatting sqref="G305">
    <cfRule type="cellIs" dxfId="5" priority="22" stopIfTrue="1" operator="equal">
      <formula>$G299</formula>
    </cfRule>
  </conditionalFormatting>
  <conditionalFormatting sqref="G305">
    <cfRule type="cellIs" dxfId="4" priority="21" stopIfTrue="1" operator="equal">
      <formula>$G300</formula>
    </cfRule>
  </conditionalFormatting>
  <conditionalFormatting sqref="G304">
    <cfRule type="cellIs" dxfId="3" priority="20" stopIfTrue="1" operator="equal">
      <formula>$G302</formula>
    </cfRule>
  </conditionalFormatting>
  <conditionalFormatting sqref="G313">
    <cfRule type="cellIs" dxfId="2" priority="1006" stopIfTrue="1" operator="equal">
      <formula>$G303</formula>
    </cfRule>
  </conditionalFormatting>
  <conditionalFormatting sqref="G373:G374">
    <cfRule type="cellIs" dxfId="1" priority="1108" stopIfTrue="1" operator="equal">
      <formula>$G376</formula>
    </cfRule>
  </conditionalFormatting>
  <conditionalFormatting sqref="G375">
    <cfRule type="cellIs" dxfId="0" priority="111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5" fitToHeight="500" orientation="landscape" r:id="rId1"/>
  <headerFooter alignWithMargins="0"/>
  <rowBreaks count="14" manualBreakCount="14">
    <brk id="34" max="64" man="1"/>
    <brk id="67" max="64" man="1"/>
    <brk id="99" max="64" man="1"/>
    <brk id="131" max="64" man="1"/>
    <brk id="159" max="64" man="1"/>
    <brk id="189" max="64" man="1"/>
    <brk id="217" max="64" man="1"/>
    <brk id="237" max="64" man="1"/>
    <brk id="249" max="64" man="1"/>
    <brk id="269" max="64" man="1"/>
    <brk id="295" max="64" man="1"/>
    <brk id="327" max="64" man="1"/>
    <brk id="353" max="64" man="1"/>
    <brk id="3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1417670</vt:lpstr>
      <vt:lpstr>'1417670'!Область_друку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2023-11-28T08:55:23Z</cp:lastPrinted>
  <dcterms:created xsi:type="dcterms:W3CDTF">2016-08-15T09:54:21Z</dcterms:created>
  <dcterms:modified xsi:type="dcterms:W3CDTF">2023-11-28T12:52:06Z</dcterms:modified>
</cp:coreProperties>
</file>