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C:\Users\P_Lishchuk\Desktop\"/>
    </mc:Choice>
  </mc:AlternateContent>
  <bookViews>
    <workbookView xWindow="0" yWindow="0" windowWidth="19200" windowHeight="10995" tabRatio="585" activeTab="6"/>
  </bookViews>
  <sheets>
    <sheet name="дод1" sheetId="126" r:id="rId1"/>
    <sheet name="dod2" sheetId="127" r:id="rId2"/>
    <sheet name="dod3" sheetId="97" r:id="rId3"/>
    <sheet name="dod4" sheetId="107" r:id="rId4"/>
    <sheet name="dod5" sheetId="98" r:id="rId5"/>
    <sheet name="dod6" sheetId="108" r:id="rId6"/>
    <sheet name="dod7" sheetId="116" r:id="rId7"/>
    <sheet name="dod8" sheetId="125" r:id="rId8"/>
    <sheet name="dod9" sheetId="128" r:id="rId9"/>
  </sheets>
  <definedNames>
    <definedName name="_GoBack" localSheetId="4">'dod5'!#REF!</definedName>
    <definedName name="_xlnm.Print_Titles" localSheetId="2">'dod3'!$9:$12</definedName>
    <definedName name="_xlnm.Print_Titles" localSheetId="4">'dod5'!$4:$5</definedName>
    <definedName name="_xlnm.Print_Titles" localSheetId="7">'dod8'!$8:$10</definedName>
    <definedName name="_xlnm.Print_Area" localSheetId="1">'dod2'!$A$1:$F$38</definedName>
    <definedName name="_xlnm.Print_Area" localSheetId="2">'dod3'!$A$2:$P$191</definedName>
    <definedName name="_xlnm.Print_Area" localSheetId="3">'dod4'!$B$1:$Q$18</definedName>
    <definedName name="_xlnm.Print_Area" localSheetId="4">'dod5'!$B$1:$J$177</definedName>
    <definedName name="_xlnm.Print_Area" localSheetId="5">'dod6'!$A$1:$E$35</definedName>
    <definedName name="_xlnm.Print_Area" localSheetId="6">'dod7'!$A$1:$F$21</definedName>
    <definedName name="_xlnm.Print_Area" localSheetId="7">'dod8'!$A$1:$J$217</definedName>
    <definedName name="_xlnm.Print_Area" localSheetId="0">дод1!$A$1:$F$111</definedName>
    <definedName name="С16" localSheetId="1">#REF!</definedName>
    <definedName name="С16" localSheetId="7">#REF!</definedName>
    <definedName name="С16" localSheetId="0">#REF!</definedName>
    <definedName name="С16">#REF!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85" i="97" l="1"/>
  <c r="O185" i="97"/>
  <c r="K150" i="97"/>
  <c r="K154" i="97"/>
  <c r="K153" i="97"/>
  <c r="K152" i="97"/>
  <c r="K151" i="97"/>
  <c r="K142" i="97"/>
  <c r="J147" i="98"/>
  <c r="J140" i="98"/>
  <c r="J139" i="98"/>
  <c r="J135" i="98"/>
  <c r="J130" i="98"/>
  <c r="J129" i="98"/>
  <c r="J128" i="98"/>
  <c r="J124" i="98"/>
  <c r="I89" i="98"/>
  <c r="I128" i="98" l="1"/>
  <c r="I147" i="98"/>
  <c r="I139" i="98"/>
  <c r="I140" i="98"/>
  <c r="I135" i="98"/>
  <c r="I130" i="98"/>
  <c r="I129" i="98"/>
  <c r="L185" i="97" l="1"/>
  <c r="M185" i="97"/>
  <c r="F185" i="97"/>
  <c r="F181" i="97"/>
  <c r="F41" i="97" l="1"/>
  <c r="H194" i="125" l="1"/>
  <c r="H190" i="125"/>
  <c r="J191" i="125"/>
  <c r="I191" i="125"/>
  <c r="H191" i="125"/>
  <c r="G135" i="125"/>
  <c r="I157" i="98"/>
  <c r="F164" i="97"/>
  <c r="K162" i="97"/>
  <c r="F162" i="97"/>
  <c r="F121" i="97"/>
  <c r="H46" i="125"/>
  <c r="G46" i="125" s="1"/>
  <c r="K41" i="97" l="1"/>
  <c r="J86" i="125" l="1"/>
  <c r="E80" i="97"/>
  <c r="O80" i="97"/>
  <c r="F66" i="97"/>
  <c r="H86" i="125" l="1"/>
  <c r="J80" i="97"/>
  <c r="P80" i="97" s="1"/>
  <c r="F49" i="97"/>
  <c r="I86" i="125" l="1"/>
  <c r="G86" i="125" s="1"/>
  <c r="K140" i="97"/>
  <c r="I99" i="98"/>
  <c r="I105" i="98"/>
  <c r="I87" i="98"/>
  <c r="O140" i="97" l="1"/>
  <c r="F56" i="97"/>
  <c r="F55" i="97"/>
  <c r="I37" i="98" l="1"/>
  <c r="K48" i="97"/>
  <c r="I23" i="98"/>
  <c r="K30" i="97"/>
  <c r="O31" i="97" l="1"/>
  <c r="L31" i="97"/>
  <c r="J195" i="125" l="1"/>
  <c r="I195" i="125"/>
  <c r="G195" i="125" s="1"/>
  <c r="I156" i="98"/>
  <c r="I160" i="98"/>
  <c r="K165" i="97"/>
  <c r="K161" i="97"/>
  <c r="E165" i="97"/>
  <c r="L160" i="97"/>
  <c r="M160" i="97"/>
  <c r="N160" i="97"/>
  <c r="G160" i="97"/>
  <c r="H160" i="97"/>
  <c r="I160" i="97"/>
  <c r="K195" i="125" l="1"/>
  <c r="R165" i="97"/>
  <c r="M195" i="125"/>
  <c r="O165" i="97"/>
  <c r="J165" i="97" l="1"/>
  <c r="O71" i="97"/>
  <c r="J77" i="125"/>
  <c r="F65" i="97"/>
  <c r="J71" i="97"/>
  <c r="E71" i="97"/>
  <c r="H77" i="125" l="1"/>
  <c r="L195" i="125"/>
  <c r="P165" i="97"/>
  <c r="P71" i="97"/>
  <c r="I77" i="125"/>
  <c r="F28" i="97"/>
  <c r="G77" i="125" l="1"/>
  <c r="L169" i="97" l="1"/>
  <c r="O169" i="97"/>
  <c r="F13" i="116"/>
  <c r="I31" i="98" l="1"/>
  <c r="I38" i="98"/>
  <c r="K50" i="97"/>
  <c r="F29" i="97" l="1"/>
  <c r="I17" i="98" l="1"/>
  <c r="K28" i="97"/>
  <c r="K51" i="97"/>
  <c r="I41" i="98"/>
  <c r="F54" i="97"/>
  <c r="I16" i="98"/>
  <c r="K27" i="97"/>
  <c r="G185" i="97"/>
  <c r="G27" i="97"/>
  <c r="F27" i="97"/>
  <c r="F9" i="116" l="1"/>
  <c r="I77" i="98"/>
  <c r="K135" i="97"/>
  <c r="H13" i="125" l="1"/>
  <c r="L43" i="97" l="1"/>
  <c r="K164" i="97"/>
  <c r="M193" i="125" l="1"/>
  <c r="R164" i="97"/>
  <c r="K44" i="97"/>
  <c r="K133" i="97"/>
  <c r="I76" i="98"/>
  <c r="R44" i="97" l="1"/>
  <c r="H128" i="98"/>
  <c r="J146" i="98"/>
  <c r="J138" i="98"/>
  <c r="J136" i="98"/>
  <c r="L41" i="97" l="1"/>
  <c r="L42" i="97"/>
  <c r="L44" i="97"/>
  <c r="H50" i="125"/>
  <c r="F44" i="97"/>
  <c r="J185" i="97" l="1"/>
  <c r="F48" i="97" l="1"/>
  <c r="H185" i="97" l="1"/>
  <c r="G28" i="97"/>
  <c r="F106" i="97"/>
  <c r="J136" i="125" l="1"/>
  <c r="G137" i="125"/>
  <c r="G127" i="125"/>
  <c r="J139" i="125"/>
  <c r="R124" i="97"/>
  <c r="R111" i="97"/>
  <c r="I68" i="98"/>
  <c r="I66" i="98"/>
  <c r="I69" i="98"/>
  <c r="J70" i="98"/>
  <c r="O124" i="97"/>
  <c r="N110" i="97"/>
  <c r="L110" i="97"/>
  <c r="H110" i="97"/>
  <c r="I110" i="97"/>
  <c r="F122" i="97"/>
  <c r="F116" i="97"/>
  <c r="F115" i="97"/>
  <c r="J133" i="125"/>
  <c r="O120" i="97"/>
  <c r="E120" i="97"/>
  <c r="F112" i="97"/>
  <c r="K114" i="97"/>
  <c r="F114" i="97"/>
  <c r="G111" i="97"/>
  <c r="F111" i="97"/>
  <c r="M113" i="97"/>
  <c r="K113" i="97"/>
  <c r="G113" i="97"/>
  <c r="F113" i="97"/>
  <c r="F118" i="97"/>
  <c r="H188" i="125"/>
  <c r="R118" i="97" l="1"/>
  <c r="H133" i="125"/>
  <c r="I64" i="98"/>
  <c r="J126" i="125"/>
  <c r="J120" i="97"/>
  <c r="J124" i="97"/>
  <c r="R113" i="97"/>
  <c r="K110" i="97"/>
  <c r="G190" i="125"/>
  <c r="M110" i="97"/>
  <c r="R114" i="97"/>
  <c r="I133" i="125" l="1"/>
  <c r="G133" i="125" s="1"/>
  <c r="P120" i="97"/>
  <c r="I139" i="125"/>
  <c r="G194" i="125" l="1"/>
  <c r="G193" i="125"/>
  <c r="J189" i="125"/>
  <c r="I189" i="125"/>
  <c r="I188" i="125" s="1"/>
  <c r="G57" i="125"/>
  <c r="T78" i="97"/>
  <c r="J84" i="125" s="1"/>
  <c r="F75" i="97"/>
  <c r="J58" i="125"/>
  <c r="R48" i="97"/>
  <c r="R51" i="97"/>
  <c r="R42" i="97"/>
  <c r="I40" i="98"/>
  <c r="I33" i="98"/>
  <c r="J56" i="125"/>
  <c r="E50" i="97"/>
  <c r="L39" i="97"/>
  <c r="M39" i="97"/>
  <c r="N39" i="97"/>
  <c r="I39" i="97"/>
  <c r="H39" i="97"/>
  <c r="G39" i="97"/>
  <c r="F45" i="97"/>
  <c r="F46" i="97"/>
  <c r="F43" i="97"/>
  <c r="O51" i="97"/>
  <c r="E51" i="97"/>
  <c r="K43" i="97"/>
  <c r="I155" i="98" l="1"/>
  <c r="R50" i="97"/>
  <c r="F160" i="97"/>
  <c r="M189" i="125"/>
  <c r="J188" i="125"/>
  <c r="K160" i="97"/>
  <c r="H58" i="125"/>
  <c r="J51" i="97"/>
  <c r="F39" i="97"/>
  <c r="K39" i="97"/>
  <c r="R162" i="97"/>
  <c r="R41" i="97"/>
  <c r="O50" i="97"/>
  <c r="I58" i="125" l="1"/>
  <c r="G58" i="125" s="1"/>
  <c r="P51" i="97"/>
  <c r="J50" i="97"/>
  <c r="E24" i="108"/>
  <c r="E19" i="108"/>
  <c r="E28" i="108"/>
  <c r="L24" i="125"/>
  <c r="K24" i="125"/>
  <c r="G24" i="125"/>
  <c r="J19" i="125"/>
  <c r="I19" i="125"/>
  <c r="H19" i="125"/>
  <c r="I56" i="125" l="1"/>
  <c r="G56" i="125" s="1"/>
  <c r="P50" i="97"/>
  <c r="G19" i="125"/>
  <c r="M19" i="125"/>
  <c r="G14" i="125" l="1"/>
  <c r="I12" i="98"/>
  <c r="J18" i="125"/>
  <c r="M18" i="125" s="1"/>
  <c r="G20" i="125"/>
  <c r="G21" i="125"/>
  <c r="G22" i="125"/>
  <c r="G23" i="125"/>
  <c r="R23" i="97"/>
  <c r="I10" i="98"/>
  <c r="I8" i="98"/>
  <c r="N14" i="97"/>
  <c r="M14" i="97"/>
  <c r="I14" i="97"/>
  <c r="E23" i="97"/>
  <c r="O23" i="97"/>
  <c r="E24" i="97"/>
  <c r="O24" i="97"/>
  <c r="F21" i="97"/>
  <c r="L19" i="97"/>
  <c r="K17" i="97"/>
  <c r="F16" i="97"/>
  <c r="K15" i="97"/>
  <c r="H15" i="97"/>
  <c r="F15" i="97"/>
  <c r="I7" i="98" l="1"/>
  <c r="R24" i="97"/>
  <c r="J13" i="125"/>
  <c r="L14" i="97"/>
  <c r="H18" i="125"/>
  <c r="K18" i="125" s="1"/>
  <c r="K19" i="125"/>
  <c r="H14" i="97"/>
  <c r="F14" i="97"/>
  <c r="J24" i="97"/>
  <c r="K14" i="97"/>
  <c r="J23" i="97"/>
  <c r="H90" i="125"/>
  <c r="J89" i="125"/>
  <c r="I53" i="98"/>
  <c r="I48" i="98"/>
  <c r="K93" i="97"/>
  <c r="R148" i="97"/>
  <c r="L28" i="97"/>
  <c r="J60" i="98"/>
  <c r="I49" i="98"/>
  <c r="J49" i="98" s="1"/>
  <c r="I47" i="98"/>
  <c r="I46" i="98"/>
  <c r="K96" i="97"/>
  <c r="F59" i="97"/>
  <c r="J53" i="98" l="1"/>
  <c r="R83" i="97"/>
  <c r="P24" i="97"/>
  <c r="P23" i="97"/>
  <c r="L19" i="125"/>
  <c r="I18" i="125"/>
  <c r="L18" i="125" s="1"/>
  <c r="R93" i="97"/>
  <c r="G90" i="125"/>
  <c r="K94" i="97"/>
  <c r="F94" i="97"/>
  <c r="G93" i="97"/>
  <c r="F93" i="97"/>
  <c r="G83" i="97"/>
  <c r="F83" i="97"/>
  <c r="K82" i="97"/>
  <c r="G82" i="97"/>
  <c r="F82" i="97"/>
  <c r="K101" i="97"/>
  <c r="H114" i="125"/>
  <c r="H111" i="125"/>
  <c r="J111" i="125"/>
  <c r="J110" i="125" s="1"/>
  <c r="I111" i="125"/>
  <c r="R108" i="97"/>
  <c r="J120" i="125"/>
  <c r="I60" i="98"/>
  <c r="I61" i="98"/>
  <c r="R94" i="97" l="1"/>
  <c r="G18" i="125"/>
  <c r="G114" i="125"/>
  <c r="G111" i="125"/>
  <c r="I56" i="98" l="1"/>
  <c r="I58" i="98"/>
  <c r="O108" i="97"/>
  <c r="E108" i="97"/>
  <c r="N100" i="97"/>
  <c r="M100" i="97"/>
  <c r="L100" i="97"/>
  <c r="I100" i="97"/>
  <c r="G100" i="97"/>
  <c r="F107" i="97"/>
  <c r="K105" i="97"/>
  <c r="F105" i="97"/>
  <c r="K104" i="97"/>
  <c r="F103" i="97"/>
  <c r="H101" i="97"/>
  <c r="F101" i="97"/>
  <c r="F179" i="97"/>
  <c r="G204" i="125"/>
  <c r="F174" i="97"/>
  <c r="J200" i="125"/>
  <c r="G198" i="125"/>
  <c r="F168" i="97"/>
  <c r="F157" i="97"/>
  <c r="H184" i="125"/>
  <c r="G185" i="125"/>
  <c r="G176" i="125"/>
  <c r="F148" i="97"/>
  <c r="G144" i="125"/>
  <c r="F127" i="97"/>
  <c r="R103" i="97" l="1"/>
  <c r="F100" i="97"/>
  <c r="J113" i="125"/>
  <c r="H100" i="97"/>
  <c r="K100" i="97"/>
  <c r="H120" i="125"/>
  <c r="R101" i="97"/>
  <c r="I55" i="98"/>
  <c r="J108" i="97"/>
  <c r="P108" i="97" l="1"/>
  <c r="I120" i="125"/>
  <c r="G120" i="125" s="1"/>
  <c r="K137" i="97"/>
  <c r="E137" i="97"/>
  <c r="F139" i="97"/>
  <c r="F138" i="97"/>
  <c r="F140" i="97"/>
  <c r="H135" i="97"/>
  <c r="F135" i="97"/>
  <c r="F134" i="97"/>
  <c r="F131" i="97"/>
  <c r="E25" i="108"/>
  <c r="O143" i="97"/>
  <c r="I110" i="98"/>
  <c r="I109" i="98"/>
  <c r="I82" i="98"/>
  <c r="I78" i="98" s="1"/>
  <c r="K136" i="97"/>
  <c r="G154" i="125"/>
  <c r="N126" i="97"/>
  <c r="M126" i="97"/>
  <c r="L126" i="97"/>
  <c r="I126" i="97"/>
  <c r="H123" i="98"/>
  <c r="H159" i="125" l="1"/>
  <c r="H126" i="97"/>
  <c r="O137" i="97"/>
  <c r="J153" i="125"/>
  <c r="J159" i="125"/>
  <c r="J82" i="98"/>
  <c r="J86" i="98"/>
  <c r="I86" i="98"/>
  <c r="O170" i="97"/>
  <c r="E170" i="97"/>
  <c r="I152" i="98"/>
  <c r="K158" i="97"/>
  <c r="H134" i="98"/>
  <c r="H200" i="125" l="1"/>
  <c r="J170" i="97"/>
  <c r="J137" i="97"/>
  <c r="J186" i="125"/>
  <c r="I132" i="98"/>
  <c r="O149" i="97"/>
  <c r="E150" i="97"/>
  <c r="E154" i="97"/>
  <c r="L147" i="97"/>
  <c r="M147" i="97"/>
  <c r="N147" i="97"/>
  <c r="G147" i="97"/>
  <c r="H147" i="97"/>
  <c r="I147" i="97"/>
  <c r="E148" i="97"/>
  <c r="J21" i="98"/>
  <c r="J178" i="125" l="1"/>
  <c r="P170" i="97"/>
  <c r="I200" i="125"/>
  <c r="G200" i="125" s="1"/>
  <c r="H178" i="125"/>
  <c r="O150" i="97"/>
  <c r="I159" i="125"/>
  <c r="G159" i="125" s="1"/>
  <c r="P137" i="97"/>
  <c r="H182" i="125"/>
  <c r="I126" i="98"/>
  <c r="O154" i="97"/>
  <c r="J182" i="125"/>
  <c r="K147" i="97"/>
  <c r="I19" i="98"/>
  <c r="O28" i="97" l="1"/>
  <c r="J150" i="97"/>
  <c r="J154" i="97"/>
  <c r="F126" i="97"/>
  <c r="J145" i="125"/>
  <c r="E128" i="97"/>
  <c r="O128" i="97"/>
  <c r="H35" i="125"/>
  <c r="G35" i="125" s="1"/>
  <c r="J31" i="125"/>
  <c r="J29" i="125" s="1"/>
  <c r="I31" i="125"/>
  <c r="H31" i="125"/>
  <c r="I24" i="98"/>
  <c r="I22" i="98"/>
  <c r="J18" i="98"/>
  <c r="I20" i="98"/>
  <c r="J20" i="98" s="1"/>
  <c r="F149" i="97"/>
  <c r="F32" i="97"/>
  <c r="H31" i="97"/>
  <c r="F31" i="97"/>
  <c r="F30" i="97"/>
  <c r="K29" i="97"/>
  <c r="P154" i="97" l="1"/>
  <c r="I178" i="125"/>
  <c r="G178" i="125" s="1"/>
  <c r="P150" i="97"/>
  <c r="J128" i="97"/>
  <c r="J34" i="125"/>
  <c r="F147" i="97"/>
  <c r="H145" i="125"/>
  <c r="I182" i="125"/>
  <c r="G182" i="125" s="1"/>
  <c r="G31" i="125"/>
  <c r="E185" i="97"/>
  <c r="P185" i="97" s="1"/>
  <c r="P128" i="97" l="1"/>
  <c r="I145" i="125"/>
  <c r="G145" i="125" s="1"/>
  <c r="J177" i="125"/>
  <c r="E149" i="97"/>
  <c r="J149" i="97"/>
  <c r="I177" i="125" l="1"/>
  <c r="H177" i="125"/>
  <c r="P149" i="97"/>
  <c r="R105" i="97"/>
  <c r="R104" i="97"/>
  <c r="R96" i="97"/>
  <c r="R95" i="97"/>
  <c r="R82" i="97"/>
  <c r="R59" i="97"/>
  <c r="R54" i="97"/>
  <c r="R37" i="97"/>
  <c r="R33" i="97"/>
  <c r="R29" i="97"/>
  <c r="R27" i="97"/>
  <c r="R17" i="97"/>
  <c r="R15" i="97"/>
  <c r="O171" i="97"/>
  <c r="O136" i="97"/>
  <c r="O106" i="97"/>
  <c r="O54" i="97"/>
  <c r="L26" i="97"/>
  <c r="J136" i="97" l="1"/>
  <c r="H175" i="125"/>
  <c r="G177" i="125"/>
  <c r="H33" i="97"/>
  <c r="G35" i="97"/>
  <c r="G33" i="97"/>
  <c r="F33" i="97" l="1"/>
  <c r="J41" i="125"/>
  <c r="J40" i="125"/>
  <c r="J42" i="125"/>
  <c r="E36" i="97"/>
  <c r="E37" i="97"/>
  <c r="O37" i="97"/>
  <c r="O35" i="97"/>
  <c r="O34" i="97"/>
  <c r="E35" i="97"/>
  <c r="E34" i="97"/>
  <c r="J35" i="97" l="1"/>
  <c r="J37" i="97"/>
  <c r="H40" i="125"/>
  <c r="H42" i="125"/>
  <c r="H41" i="125"/>
  <c r="P35" i="97" l="1"/>
  <c r="I42" i="125"/>
  <c r="G42" i="125" s="1"/>
  <c r="P37" i="97"/>
  <c r="I40" i="125"/>
  <c r="G40" i="125" s="1"/>
  <c r="K161" i="116"/>
  <c r="F16" i="116" l="1"/>
  <c r="C99" i="126" l="1"/>
  <c r="O182" i="97" l="1"/>
  <c r="O181" i="97"/>
  <c r="O180" i="97"/>
  <c r="O179" i="97"/>
  <c r="O176" i="97"/>
  <c r="O175" i="97"/>
  <c r="O174" i="97"/>
  <c r="O168" i="97"/>
  <c r="O164" i="97"/>
  <c r="O163" i="97"/>
  <c r="O162" i="97"/>
  <c r="O161" i="97"/>
  <c r="O160" i="97" s="1"/>
  <c r="O158" i="97"/>
  <c r="O157" i="97"/>
  <c r="O153" i="97"/>
  <c r="O152" i="97"/>
  <c r="O151" i="97"/>
  <c r="O148" i="97"/>
  <c r="O145" i="97"/>
  <c r="O139" i="97"/>
  <c r="O138" i="97"/>
  <c r="O135" i="97"/>
  <c r="O134" i="97"/>
  <c r="O133" i="97"/>
  <c r="O132" i="97"/>
  <c r="O131" i="97"/>
  <c r="O130" i="97"/>
  <c r="O129" i="97"/>
  <c r="O127" i="97"/>
  <c r="O123" i="97"/>
  <c r="O122" i="97"/>
  <c r="O121" i="97"/>
  <c r="O119" i="97"/>
  <c r="O118" i="97"/>
  <c r="O117" i="97"/>
  <c r="O116" i="97"/>
  <c r="O115" i="97"/>
  <c r="O114" i="97"/>
  <c r="O113" i="97"/>
  <c r="O112" i="97"/>
  <c r="O111" i="97"/>
  <c r="O107" i="97"/>
  <c r="O105" i="97"/>
  <c r="O104" i="97"/>
  <c r="O103" i="97"/>
  <c r="O102" i="97"/>
  <c r="O101" i="97"/>
  <c r="O97" i="97"/>
  <c r="O96" i="97"/>
  <c r="O95" i="97"/>
  <c r="O94" i="97"/>
  <c r="O90" i="97"/>
  <c r="O89" i="97"/>
  <c r="O88" i="97"/>
  <c r="O87" i="97"/>
  <c r="O86" i="97"/>
  <c r="O85" i="97"/>
  <c r="O84" i="97"/>
  <c r="O83" i="97"/>
  <c r="O82" i="97"/>
  <c r="O81" i="97"/>
  <c r="O77" i="97"/>
  <c r="O76" i="97"/>
  <c r="O75" i="97"/>
  <c r="O74" i="97"/>
  <c r="O73" i="97"/>
  <c r="O72" i="97"/>
  <c r="O70" i="97"/>
  <c r="O69" i="97"/>
  <c r="O68" i="97"/>
  <c r="O67" i="97"/>
  <c r="O66" i="97"/>
  <c r="O65" i="97"/>
  <c r="O64" i="97"/>
  <c r="O63" i="97"/>
  <c r="O62" i="97"/>
  <c r="O61" i="97"/>
  <c r="O60" i="97"/>
  <c r="O59" i="97"/>
  <c r="O58" i="97"/>
  <c r="O57" i="97"/>
  <c r="O56" i="97"/>
  <c r="O55" i="97"/>
  <c r="O49" i="97"/>
  <c r="O48" i="97"/>
  <c r="O47" i="97"/>
  <c r="O46" i="97"/>
  <c r="O45" i="97"/>
  <c r="O44" i="97"/>
  <c r="O42" i="97"/>
  <c r="O41" i="97"/>
  <c r="O40" i="97"/>
  <c r="O36" i="97"/>
  <c r="O33" i="97"/>
  <c r="O32" i="97"/>
  <c r="O29" i="97"/>
  <c r="O22" i="97"/>
  <c r="O21" i="97"/>
  <c r="O19" i="97"/>
  <c r="O18" i="97"/>
  <c r="O17" i="97"/>
  <c r="O16" i="97"/>
  <c r="O15" i="97"/>
  <c r="G145" i="97"/>
  <c r="J97" i="125"/>
  <c r="J173" i="125"/>
  <c r="O100" i="97" l="1"/>
  <c r="O14" i="97"/>
  <c r="J31" i="97"/>
  <c r="G126" i="97"/>
  <c r="O110" i="97"/>
  <c r="O109" i="97" s="1"/>
  <c r="O147" i="97"/>
  <c r="O146" i="97" s="1"/>
  <c r="O178" i="97"/>
  <c r="O177" i="97" s="1"/>
  <c r="O173" i="97"/>
  <c r="O172" i="97" s="1"/>
  <c r="O167" i="97"/>
  <c r="O159" i="97"/>
  <c r="O156" i="97"/>
  <c r="O155" i="97" s="1"/>
  <c r="O99" i="97"/>
  <c r="O166" i="97" l="1"/>
  <c r="O13" i="97"/>
  <c r="D101" i="126"/>
  <c r="C106" i="126"/>
  <c r="R28" i="97" l="1"/>
  <c r="F58" i="97" l="1"/>
  <c r="C100" i="126" l="1"/>
  <c r="C98" i="126"/>
  <c r="G33" i="125" l="1"/>
  <c r="G30" i="125"/>
  <c r="I99" i="97" l="1"/>
  <c r="E174" i="97"/>
  <c r="G26" i="97"/>
  <c r="G25" i="97" s="1"/>
  <c r="F13" i="97"/>
  <c r="H13" i="97"/>
  <c r="J206" i="125" l="1"/>
  <c r="J205" i="125"/>
  <c r="J203" i="125" l="1"/>
  <c r="K178" i="97"/>
  <c r="K177" i="97" s="1"/>
  <c r="G131" i="107" l="1"/>
  <c r="G131" i="108"/>
  <c r="G130" i="107"/>
  <c r="G130" i="108"/>
  <c r="G128" i="107"/>
  <c r="G128" i="108"/>
  <c r="G169" i="125"/>
  <c r="G129" i="108"/>
  <c r="G129" i="107"/>
  <c r="G126" i="107"/>
  <c r="G126" i="108"/>
  <c r="G166" i="125"/>
  <c r="G127" i="107"/>
  <c r="G127" i="108"/>
  <c r="G124" i="107"/>
  <c r="G124" i="108"/>
  <c r="G123" i="107"/>
  <c r="G123" i="108"/>
  <c r="G122" i="107"/>
  <c r="G122" i="108"/>
  <c r="G121" i="107"/>
  <c r="G121" i="108"/>
  <c r="G120" i="107"/>
  <c r="G120" i="108"/>
  <c r="G119" i="107"/>
  <c r="G119" i="108"/>
  <c r="G118" i="107"/>
  <c r="G118" i="108"/>
  <c r="G117" i="107"/>
  <c r="G117" i="108"/>
  <c r="G116" i="107"/>
  <c r="G116" i="108"/>
  <c r="G115" i="107"/>
  <c r="G115" i="108"/>
  <c r="G114" i="107"/>
  <c r="G114" i="108"/>
  <c r="G112" i="107"/>
  <c r="G112" i="108"/>
  <c r="G72" i="107"/>
  <c r="G72" i="108"/>
  <c r="G70" i="107"/>
  <c r="G70" i="108"/>
  <c r="G69" i="107"/>
  <c r="G69" i="108"/>
  <c r="G68" i="107"/>
  <c r="G68" i="108"/>
  <c r="G67" i="107"/>
  <c r="G67" i="108"/>
  <c r="G65" i="107"/>
  <c r="G65" i="108"/>
  <c r="G64" i="107"/>
  <c r="G64" i="108"/>
  <c r="G63" i="107"/>
  <c r="G63" i="108"/>
  <c r="G62" i="107"/>
  <c r="G62" i="108"/>
  <c r="G61" i="107"/>
  <c r="G61" i="108"/>
  <c r="G60" i="107"/>
  <c r="G60" i="108"/>
  <c r="G59" i="107"/>
  <c r="G59" i="108"/>
  <c r="G58" i="107"/>
  <c r="G58" i="108"/>
  <c r="G57" i="107"/>
  <c r="G57" i="108"/>
  <c r="G56" i="107"/>
  <c r="G56" i="108"/>
  <c r="G55" i="107"/>
  <c r="G55" i="108"/>
  <c r="G54" i="107"/>
  <c r="G54" i="108"/>
  <c r="G53" i="107"/>
  <c r="G53" i="108"/>
  <c r="G52" i="107"/>
  <c r="G52" i="108"/>
  <c r="G51" i="107"/>
  <c r="G51" i="108"/>
  <c r="G50" i="107"/>
  <c r="G50" i="108"/>
  <c r="G49" i="107"/>
  <c r="G49" i="108"/>
  <c r="G48" i="107"/>
  <c r="G48" i="108"/>
  <c r="G47" i="107"/>
  <c r="G47" i="108"/>
  <c r="G45" i="107"/>
  <c r="G45" i="108"/>
  <c r="G23" i="107"/>
  <c r="G23" i="108"/>
  <c r="G22" i="107"/>
  <c r="G22" i="108"/>
  <c r="G21" i="107"/>
  <c r="G21" i="108"/>
  <c r="G20" i="107"/>
  <c r="G20" i="108"/>
  <c r="G19" i="107"/>
  <c r="G19" i="108"/>
  <c r="G17" i="97"/>
  <c r="G16" i="108"/>
  <c r="G14" i="108"/>
  <c r="G13" i="107"/>
  <c r="G13" i="108"/>
  <c r="G139" i="107"/>
  <c r="G139" i="108"/>
  <c r="K158" i="107"/>
  <c r="K216" i="98"/>
  <c r="K158" i="108"/>
  <c r="G14" i="97" l="1"/>
  <c r="C34" i="127"/>
  <c r="C32" i="127"/>
  <c r="C31" i="127"/>
  <c r="C30" i="127"/>
  <c r="C15" i="127"/>
  <c r="C14" i="127"/>
  <c r="C13" i="127"/>
  <c r="F12" i="127"/>
  <c r="E12" i="127"/>
  <c r="D12" i="127"/>
  <c r="C105" i="126"/>
  <c r="C104" i="126"/>
  <c r="C103" i="126"/>
  <c r="C102" i="126"/>
  <c r="C101" i="126"/>
  <c r="C97" i="126"/>
  <c r="C96" i="126"/>
  <c r="C94" i="126"/>
  <c r="C88" i="126"/>
  <c r="C87" i="126"/>
  <c r="E86" i="126"/>
  <c r="C80" i="126"/>
  <c r="C79" i="126"/>
  <c r="F78" i="126"/>
  <c r="F77" i="126" s="1"/>
  <c r="E78" i="126"/>
  <c r="C78" i="126" s="1"/>
  <c r="C76" i="126"/>
  <c r="C75" i="126"/>
  <c r="F74" i="126"/>
  <c r="E74" i="126"/>
  <c r="C74" i="126" s="1"/>
  <c r="D73" i="126"/>
  <c r="C72" i="126"/>
  <c r="C71" i="126"/>
  <c r="C70" i="126"/>
  <c r="C69" i="126"/>
  <c r="C68" i="126"/>
  <c r="C67" i="126"/>
  <c r="E65" i="126"/>
  <c r="C65" i="126" s="1"/>
  <c r="D64" i="126"/>
  <c r="C63" i="126"/>
  <c r="C62" i="126"/>
  <c r="C61" i="126"/>
  <c r="E60" i="126"/>
  <c r="D60" i="126"/>
  <c r="C59" i="126"/>
  <c r="C58" i="126"/>
  <c r="C57" i="126"/>
  <c r="D56" i="126"/>
  <c r="C56" i="126" s="1"/>
  <c r="C55" i="126"/>
  <c r="C54" i="126"/>
  <c r="C50" i="126"/>
  <c r="C49" i="126"/>
  <c r="C48" i="126"/>
  <c r="D47" i="126"/>
  <c r="C47" i="126" s="1"/>
  <c r="C45" i="126"/>
  <c r="F44" i="126"/>
  <c r="C43" i="126"/>
  <c r="C42" i="126"/>
  <c r="C41" i="126"/>
  <c r="D40" i="126"/>
  <c r="C40" i="126" s="1"/>
  <c r="C39" i="126"/>
  <c r="C38" i="126"/>
  <c r="D37" i="126"/>
  <c r="C37" i="126" s="1"/>
  <c r="C36" i="126"/>
  <c r="C35" i="126"/>
  <c r="D34" i="126"/>
  <c r="C34" i="126" s="1"/>
  <c r="C33" i="126"/>
  <c r="C32" i="126"/>
  <c r="C31" i="126"/>
  <c r="C30" i="126"/>
  <c r="C29" i="126"/>
  <c r="C28" i="126"/>
  <c r="C27" i="126"/>
  <c r="C26" i="126"/>
  <c r="C25" i="126"/>
  <c r="C24" i="126"/>
  <c r="D23" i="126"/>
  <c r="C23" i="126" s="1"/>
  <c r="C19" i="126"/>
  <c r="C18" i="126"/>
  <c r="C17" i="126"/>
  <c r="C16" i="126"/>
  <c r="C15" i="126"/>
  <c r="C14" i="126"/>
  <c r="C13" i="126"/>
  <c r="D12" i="126"/>
  <c r="C12" i="126" s="1"/>
  <c r="C60" i="126" l="1"/>
  <c r="D22" i="126"/>
  <c r="C22" i="126" s="1"/>
  <c r="E77" i="126"/>
  <c r="C77" i="126" s="1"/>
  <c r="D86" i="126"/>
  <c r="C86" i="126" s="1"/>
  <c r="F73" i="126"/>
  <c r="F82" i="126" s="1"/>
  <c r="F107" i="126" s="1"/>
  <c r="D51" i="126"/>
  <c r="C51" i="126" s="1"/>
  <c r="D11" i="126"/>
  <c r="C11" i="126" s="1"/>
  <c r="E64" i="126"/>
  <c r="E44" i="126" s="1"/>
  <c r="C12" i="127"/>
  <c r="D44" i="126"/>
  <c r="E73" i="126" l="1"/>
  <c r="C73" i="126" s="1"/>
  <c r="C44" i="126"/>
  <c r="D10" i="126"/>
  <c r="D82" i="126" s="1"/>
  <c r="D83" i="126"/>
  <c r="C64" i="126"/>
  <c r="E82" i="126"/>
  <c r="E107" i="126" s="1"/>
  <c r="C10" i="126" l="1"/>
  <c r="D107" i="126"/>
  <c r="C107" i="126" s="1"/>
  <c r="C82" i="126"/>
  <c r="H208" i="125" l="1"/>
  <c r="H207" i="125" s="1"/>
  <c r="J202" i="125"/>
  <c r="J116" i="97"/>
  <c r="J90" i="97"/>
  <c r="J67" i="97"/>
  <c r="J36" i="97"/>
  <c r="J103" i="97"/>
  <c r="J107" i="97"/>
  <c r="J153" i="97"/>
  <c r="J158" i="97"/>
  <c r="J57" i="97"/>
  <c r="J46" i="97"/>
  <c r="J182" i="97"/>
  <c r="J181" i="97"/>
  <c r="J176" i="97"/>
  <c r="J175" i="97"/>
  <c r="J171" i="97"/>
  <c r="J169" i="97"/>
  <c r="J162" i="97"/>
  <c r="J161" i="97"/>
  <c r="J152" i="97"/>
  <c r="J145" i="97"/>
  <c r="J114" i="97"/>
  <c r="J118" i="97"/>
  <c r="J123" i="97"/>
  <c r="J127" i="97"/>
  <c r="J131" i="97"/>
  <c r="J135" i="97"/>
  <c r="J140" i="97"/>
  <c r="J104" i="97"/>
  <c r="J97" i="97"/>
  <c r="J96" i="97"/>
  <c r="J89" i="97"/>
  <c r="J85" i="97"/>
  <c r="J66" i="97"/>
  <c r="J54" i="97"/>
  <c r="J19" i="97"/>
  <c r="J18" i="97"/>
  <c r="L189" i="125" l="1"/>
  <c r="I126" i="125"/>
  <c r="I173" i="125"/>
  <c r="I186" i="125"/>
  <c r="I41" i="125"/>
  <c r="I110" i="125"/>
  <c r="I97" i="125"/>
  <c r="J56" i="97"/>
  <c r="J77" i="97"/>
  <c r="J60" i="97"/>
  <c r="J84" i="97"/>
  <c r="J113" i="97"/>
  <c r="J102" i="97"/>
  <c r="J134" i="97"/>
  <c r="J180" i="97"/>
  <c r="J174" i="97"/>
  <c r="J143" i="97"/>
  <c r="J40" i="97"/>
  <c r="J32" i="97"/>
  <c r="J21" i="97"/>
  <c r="J16" i="97"/>
  <c r="J55" i="97"/>
  <c r="J47" i="97"/>
  <c r="J42" i="97"/>
  <c r="J76" i="97"/>
  <c r="J72" i="97"/>
  <c r="J63" i="97"/>
  <c r="J59" i="97"/>
  <c r="J94" i="97"/>
  <c r="J87" i="97"/>
  <c r="J83" i="97"/>
  <c r="J121" i="97"/>
  <c r="J112" i="97"/>
  <c r="J105" i="97"/>
  <c r="J101" i="97"/>
  <c r="J148" i="97"/>
  <c r="J138" i="97"/>
  <c r="J133" i="97"/>
  <c r="J129" i="97"/>
  <c r="J179" i="97"/>
  <c r="J163" i="97"/>
  <c r="J157" i="97"/>
  <c r="J33" i="97"/>
  <c r="J17" i="97"/>
  <c r="J48" i="97"/>
  <c r="J73" i="97"/>
  <c r="J64" i="97"/>
  <c r="J88" i="97"/>
  <c r="J122" i="97"/>
  <c r="J106" i="97"/>
  <c r="J139" i="97"/>
  <c r="J130" i="97"/>
  <c r="J164" i="97"/>
  <c r="J15" i="97"/>
  <c r="J82" i="97"/>
  <c r="J75" i="97"/>
  <c r="J70" i="97"/>
  <c r="J62" i="97"/>
  <c r="J58" i="97"/>
  <c r="J86" i="97"/>
  <c r="J119" i="97"/>
  <c r="J115" i="97"/>
  <c r="J111" i="97"/>
  <c r="J132" i="97"/>
  <c r="J41" i="97"/>
  <c r="J22" i="97"/>
  <c r="J44" i="97"/>
  <c r="J68" i="97"/>
  <c r="J95" i="97"/>
  <c r="J117" i="97"/>
  <c r="J151" i="97"/>
  <c r="I206" i="125"/>
  <c r="J34" i="97"/>
  <c r="J29" i="97"/>
  <c r="J49" i="97"/>
  <c r="J45" i="97"/>
  <c r="J81" i="97"/>
  <c r="J74" i="97"/>
  <c r="J69" i="97"/>
  <c r="J65" i="97"/>
  <c r="J61" i="97"/>
  <c r="J168" i="97"/>
  <c r="I205" i="125"/>
  <c r="J201" i="125"/>
  <c r="J199" i="125"/>
  <c r="H201" i="125"/>
  <c r="H183" i="125"/>
  <c r="H174" i="125"/>
  <c r="L193" i="125" l="1"/>
  <c r="I13" i="125"/>
  <c r="I203" i="125"/>
  <c r="I202" i="125" s="1"/>
  <c r="I113" i="125"/>
  <c r="I136" i="125"/>
  <c r="I184" i="125"/>
  <c r="G186" i="125"/>
  <c r="G184" i="125" s="1"/>
  <c r="G183" i="125" s="1"/>
  <c r="I153" i="125"/>
  <c r="I89" i="125"/>
  <c r="J197" i="125"/>
  <c r="J196" i="125" s="1"/>
  <c r="I183" i="125" l="1"/>
  <c r="J184" i="125"/>
  <c r="O142" i="97"/>
  <c r="F159" i="97"/>
  <c r="G159" i="97"/>
  <c r="H159" i="97"/>
  <c r="I159" i="97"/>
  <c r="K159" i="97"/>
  <c r="L159" i="97"/>
  <c r="M159" i="97"/>
  <c r="N159" i="97"/>
  <c r="H187" i="125"/>
  <c r="I187" i="125"/>
  <c r="J187" i="125"/>
  <c r="M192" i="125"/>
  <c r="M190" i="125"/>
  <c r="L190" i="125"/>
  <c r="G191" i="125"/>
  <c r="G192" i="125"/>
  <c r="G189" i="125"/>
  <c r="L192" i="125"/>
  <c r="F125" i="97"/>
  <c r="H125" i="97"/>
  <c r="I125" i="97"/>
  <c r="L125" i="97"/>
  <c r="M125" i="97"/>
  <c r="N125" i="97"/>
  <c r="E143" i="97"/>
  <c r="E97" i="97"/>
  <c r="I17" i="125"/>
  <c r="J17" i="125"/>
  <c r="M17" i="125" s="1"/>
  <c r="G16" i="125"/>
  <c r="J15" i="125"/>
  <c r="M15" i="125" s="1"/>
  <c r="I170" i="98"/>
  <c r="J209" i="125"/>
  <c r="J208" i="125" s="1"/>
  <c r="J207" i="125" s="1"/>
  <c r="I13" i="97"/>
  <c r="K13" i="97"/>
  <c r="L13" i="97"/>
  <c r="M13" i="97"/>
  <c r="N13" i="97"/>
  <c r="I15" i="125"/>
  <c r="L15" i="125" s="1"/>
  <c r="E89" i="97"/>
  <c r="E168" i="97"/>
  <c r="E127" i="97"/>
  <c r="E179" i="97"/>
  <c r="I209" i="125"/>
  <c r="E157" i="97"/>
  <c r="J160" i="125"/>
  <c r="J161" i="125"/>
  <c r="J155" i="125"/>
  <c r="J156" i="125"/>
  <c r="J158" i="125"/>
  <c r="J151" i="125"/>
  <c r="J152" i="125"/>
  <c r="J150" i="125"/>
  <c r="J146" i="125"/>
  <c r="I172" i="125"/>
  <c r="G172" i="125" s="1"/>
  <c r="G188" i="125" l="1"/>
  <c r="G187" i="125" s="1"/>
  <c r="H97" i="125"/>
  <c r="G97" i="125" s="1"/>
  <c r="G13" i="125"/>
  <c r="I12" i="125"/>
  <c r="I11" i="125" s="1"/>
  <c r="J12" i="125"/>
  <c r="J11" i="125" s="1"/>
  <c r="J183" i="125"/>
  <c r="J160" i="97"/>
  <c r="J159" i="97" s="1"/>
  <c r="J14" i="97"/>
  <c r="J13" i="97" s="1"/>
  <c r="G209" i="125"/>
  <c r="G208" i="125" s="1"/>
  <c r="G207" i="125" s="1"/>
  <c r="I208" i="125"/>
  <c r="I207" i="125" s="1"/>
  <c r="I169" i="98"/>
  <c r="M187" i="125"/>
  <c r="J171" i="125"/>
  <c r="P143" i="97"/>
  <c r="P97" i="97"/>
  <c r="L17" i="125"/>
  <c r="P179" i="97"/>
  <c r="P89" i="97"/>
  <c r="P168" i="97"/>
  <c r="P127" i="97"/>
  <c r="P157" i="97"/>
  <c r="P174" i="97"/>
  <c r="P148" i="97"/>
  <c r="J142" i="97" l="1"/>
  <c r="Q97" i="97"/>
  <c r="Q143" i="97"/>
  <c r="I161" i="125"/>
  <c r="E139" i="97"/>
  <c r="H161" i="125" l="1"/>
  <c r="G161" i="125" s="1"/>
  <c r="J162" i="125"/>
  <c r="J143" i="125" s="1"/>
  <c r="P139" i="97"/>
  <c r="O93" i="97"/>
  <c r="I35" i="98"/>
  <c r="O43" i="97"/>
  <c r="O39" i="97" l="1"/>
  <c r="J39" i="97" s="1"/>
  <c r="R43" i="97"/>
  <c r="I30" i="98"/>
  <c r="J142" i="125"/>
  <c r="I43" i="98"/>
  <c r="E40" i="97"/>
  <c r="E54" i="97"/>
  <c r="H103" i="125"/>
  <c r="O38" i="97" l="1"/>
  <c r="J93" i="97"/>
  <c r="J43" i="97"/>
  <c r="P40" i="97"/>
  <c r="P54" i="97"/>
  <c r="E138" i="97"/>
  <c r="I160" i="125"/>
  <c r="H160" i="125" l="1"/>
  <c r="G160" i="125" s="1"/>
  <c r="P138" i="97"/>
  <c r="J49" i="125" l="1"/>
  <c r="G50" i="125"/>
  <c r="J98" i="125"/>
  <c r="I98" i="125"/>
  <c r="I92" i="125"/>
  <c r="J92" i="125"/>
  <c r="I93" i="125"/>
  <c r="J93" i="125"/>
  <c r="I87" i="125"/>
  <c r="J87" i="125"/>
  <c r="I82" i="125"/>
  <c r="J82" i="125"/>
  <c r="I83" i="125"/>
  <c r="J83" i="125"/>
  <c r="I81" i="125"/>
  <c r="J81" i="125"/>
  <c r="I78" i="125"/>
  <c r="J78" i="125"/>
  <c r="I79" i="125"/>
  <c r="J79" i="125"/>
  <c r="I80" i="125"/>
  <c r="J80" i="125"/>
  <c r="I71" i="125"/>
  <c r="J71" i="125"/>
  <c r="I72" i="125"/>
  <c r="J72" i="125"/>
  <c r="I73" i="125"/>
  <c r="J73" i="125"/>
  <c r="I74" i="125"/>
  <c r="J74" i="125"/>
  <c r="I75" i="125"/>
  <c r="J75" i="125"/>
  <c r="I76" i="125"/>
  <c r="J76" i="125"/>
  <c r="J70" i="125"/>
  <c r="I70" i="125"/>
  <c r="I62" i="125"/>
  <c r="J62" i="125"/>
  <c r="I63" i="125"/>
  <c r="J63" i="125"/>
  <c r="I64" i="125"/>
  <c r="J64" i="125"/>
  <c r="J61" i="125"/>
  <c r="E96" i="97"/>
  <c r="J39" i="125"/>
  <c r="J38" i="125"/>
  <c r="J37" i="125"/>
  <c r="J36" i="125"/>
  <c r="J32" i="125"/>
  <c r="O30" i="97"/>
  <c r="I26" i="97"/>
  <c r="I25" i="97" s="1"/>
  <c r="L25" i="97"/>
  <c r="M26" i="97"/>
  <c r="M25" i="97" s="1"/>
  <c r="N26" i="97"/>
  <c r="N25" i="97" s="1"/>
  <c r="G118" i="97"/>
  <c r="F146" i="97"/>
  <c r="G146" i="97"/>
  <c r="H146" i="97"/>
  <c r="I146" i="97"/>
  <c r="K146" i="97"/>
  <c r="L146" i="97"/>
  <c r="M146" i="97"/>
  <c r="N146" i="97"/>
  <c r="R30" i="97" l="1"/>
  <c r="I15" i="98"/>
  <c r="G110" i="97"/>
  <c r="O27" i="97"/>
  <c r="K26" i="97"/>
  <c r="G41" i="125"/>
  <c r="J28" i="125"/>
  <c r="J147" i="97"/>
  <c r="J146" i="97" s="1"/>
  <c r="H26" i="97"/>
  <c r="H25" i="97" s="1"/>
  <c r="F26" i="97"/>
  <c r="F25" i="97" s="1"/>
  <c r="P36" i="97"/>
  <c r="I32" i="125"/>
  <c r="I36" i="125"/>
  <c r="I37" i="125"/>
  <c r="I38" i="125"/>
  <c r="I39" i="125"/>
  <c r="J55" i="125"/>
  <c r="J54" i="125"/>
  <c r="J51" i="125"/>
  <c r="J48" i="125"/>
  <c r="J47" i="125"/>
  <c r="J45" i="125"/>
  <c r="J117" i="125"/>
  <c r="G118" i="125"/>
  <c r="J115" i="125"/>
  <c r="G116" i="125"/>
  <c r="K38" i="97"/>
  <c r="I45" i="125"/>
  <c r="F38" i="97"/>
  <c r="G38" i="97"/>
  <c r="H38" i="97"/>
  <c r="I38" i="97"/>
  <c r="L38" i="97"/>
  <c r="M38" i="97"/>
  <c r="N38" i="97"/>
  <c r="I29" i="98"/>
  <c r="I47" i="125"/>
  <c r="I49" i="125"/>
  <c r="I51" i="125"/>
  <c r="I54" i="125"/>
  <c r="I55" i="125"/>
  <c r="O26" i="97" l="1"/>
  <c r="J26" i="97" s="1"/>
  <c r="J25" i="97" s="1"/>
  <c r="J44" i="125"/>
  <c r="J43" i="125" s="1"/>
  <c r="R26" i="97"/>
  <c r="J27" i="125"/>
  <c r="J26" i="125" s="1"/>
  <c r="J30" i="97"/>
  <c r="J27" i="97"/>
  <c r="J28" i="97"/>
  <c r="K25" i="97"/>
  <c r="I48" i="125"/>
  <c r="F178" i="97"/>
  <c r="F177" i="97" s="1"/>
  <c r="G178" i="97"/>
  <c r="G177" i="97" s="1"/>
  <c r="H178" i="97"/>
  <c r="H177" i="97" s="1"/>
  <c r="I178" i="97"/>
  <c r="I177" i="97" s="1"/>
  <c r="L178" i="97"/>
  <c r="L177" i="97" s="1"/>
  <c r="M178" i="97"/>
  <c r="M177" i="97" s="1"/>
  <c r="N178" i="97"/>
  <c r="N177" i="97" s="1"/>
  <c r="O25" i="97" l="1"/>
  <c r="I29" i="125"/>
  <c r="I34" i="125"/>
  <c r="I44" i="125"/>
  <c r="I43" i="125" s="1"/>
  <c r="M26" i="125"/>
  <c r="J38" i="97"/>
  <c r="I28" i="125"/>
  <c r="J178" i="97"/>
  <c r="J177" i="97" s="1"/>
  <c r="R178" i="97"/>
  <c r="M43" i="125"/>
  <c r="I27" i="125" l="1"/>
  <c r="I26" i="125" s="1"/>
  <c r="L26" i="125" s="1"/>
  <c r="F173" i="97"/>
  <c r="F172" i="97" s="1"/>
  <c r="G173" i="97"/>
  <c r="G172" i="97" s="1"/>
  <c r="H173" i="97"/>
  <c r="H172" i="97" s="1"/>
  <c r="I173" i="97"/>
  <c r="I172" i="97" s="1"/>
  <c r="K173" i="97"/>
  <c r="L173" i="97"/>
  <c r="L172" i="97" s="1"/>
  <c r="M173" i="97"/>
  <c r="M172" i="97" s="1"/>
  <c r="N173" i="97"/>
  <c r="N172" i="97" s="1"/>
  <c r="E176" i="97"/>
  <c r="E175" i="97"/>
  <c r="F167" i="97"/>
  <c r="F166" i="97" s="1"/>
  <c r="G167" i="97"/>
  <c r="G166" i="97" s="1"/>
  <c r="H167" i="97"/>
  <c r="H166" i="97" s="1"/>
  <c r="I167" i="97"/>
  <c r="I166" i="97" s="1"/>
  <c r="K167" i="97"/>
  <c r="L167" i="97"/>
  <c r="L166" i="97" s="1"/>
  <c r="M167" i="97"/>
  <c r="M166" i="97" s="1"/>
  <c r="N167" i="97"/>
  <c r="N166" i="97" s="1"/>
  <c r="I199" i="125"/>
  <c r="E169" i="97"/>
  <c r="F156" i="97"/>
  <c r="F155" i="97" s="1"/>
  <c r="G156" i="97"/>
  <c r="G155" i="97" s="1"/>
  <c r="H156" i="97"/>
  <c r="H155" i="97" s="1"/>
  <c r="I156" i="97"/>
  <c r="I155" i="97" s="1"/>
  <c r="K156" i="97"/>
  <c r="M184" i="125" s="1"/>
  <c r="L156" i="97"/>
  <c r="L155" i="97" s="1"/>
  <c r="M156" i="97"/>
  <c r="M155" i="97" s="1"/>
  <c r="N156" i="97"/>
  <c r="N155" i="97" s="1"/>
  <c r="E158" i="97"/>
  <c r="K166" i="97" l="1"/>
  <c r="M196" i="125"/>
  <c r="K172" i="97"/>
  <c r="M202" i="125"/>
  <c r="K155" i="97"/>
  <c r="H205" i="125"/>
  <c r="H206" i="125"/>
  <c r="G206" i="125" s="1"/>
  <c r="E156" i="97"/>
  <c r="J167" i="97"/>
  <c r="J156" i="97"/>
  <c r="J173" i="97"/>
  <c r="P171" i="97"/>
  <c r="I201" i="125"/>
  <c r="G201" i="125" s="1"/>
  <c r="E167" i="97"/>
  <c r="E166" i="97" s="1"/>
  <c r="H199" i="125"/>
  <c r="H197" i="125" s="1"/>
  <c r="E173" i="97"/>
  <c r="E172" i="97" s="1"/>
  <c r="P169" i="97"/>
  <c r="P176" i="97"/>
  <c r="P175" i="97"/>
  <c r="P158" i="97"/>
  <c r="J172" i="97" l="1"/>
  <c r="L202" i="125"/>
  <c r="J155" i="97"/>
  <c r="L184" i="125"/>
  <c r="H203" i="125"/>
  <c r="H202" i="125" s="1"/>
  <c r="K202" i="125" s="1"/>
  <c r="I197" i="125"/>
  <c r="I196" i="125" s="1"/>
  <c r="L196" i="125" s="1"/>
  <c r="E155" i="97"/>
  <c r="K184" i="125"/>
  <c r="J166" i="97"/>
  <c r="G16" i="116" s="1"/>
  <c r="R167" i="97"/>
  <c r="G205" i="125"/>
  <c r="G203" i="125" s="1"/>
  <c r="H196" i="125"/>
  <c r="K196" i="125" s="1"/>
  <c r="G199" i="125"/>
  <c r="I88" i="98"/>
  <c r="I73" i="98" s="1"/>
  <c r="E134" i="97"/>
  <c r="I155" i="125"/>
  <c r="I150" i="125"/>
  <c r="I151" i="125"/>
  <c r="I152" i="125"/>
  <c r="I156" i="125"/>
  <c r="I158" i="125"/>
  <c r="I162" i="125"/>
  <c r="I171" i="125"/>
  <c r="G125" i="97"/>
  <c r="E145" i="97"/>
  <c r="E142" i="97"/>
  <c r="K141" i="97"/>
  <c r="E141" i="97"/>
  <c r="E140" i="97"/>
  <c r="E136" i="97"/>
  <c r="E135" i="97"/>
  <c r="E133" i="97"/>
  <c r="E132" i="97"/>
  <c r="E131" i="97"/>
  <c r="E130" i="97"/>
  <c r="E129" i="97"/>
  <c r="E126" i="97" l="1"/>
  <c r="H173" i="125"/>
  <c r="G173" i="125" s="1"/>
  <c r="H153" i="125"/>
  <c r="G153" i="125" s="1"/>
  <c r="G197" i="125"/>
  <c r="G196" i="125" s="1"/>
  <c r="O141" i="97"/>
  <c r="K126" i="97"/>
  <c r="H150" i="125"/>
  <c r="G150" i="125" s="1"/>
  <c r="H156" i="125"/>
  <c r="G156" i="125" s="1"/>
  <c r="H163" i="125"/>
  <c r="G163" i="125" s="1"/>
  <c r="H151" i="125"/>
  <c r="G151" i="125" s="1"/>
  <c r="H158" i="125"/>
  <c r="G158" i="125" s="1"/>
  <c r="H171" i="125"/>
  <c r="G171" i="125" s="1"/>
  <c r="H155" i="125"/>
  <c r="G155" i="125" s="1"/>
  <c r="H152" i="125"/>
  <c r="G152" i="125" s="1"/>
  <c r="H162" i="125"/>
  <c r="G162" i="125" s="1"/>
  <c r="I146" i="125"/>
  <c r="I143" i="125" s="1"/>
  <c r="E125" i="97"/>
  <c r="H146" i="125"/>
  <c r="P142" i="97"/>
  <c r="P131" i="97"/>
  <c r="P130" i="97"/>
  <c r="P135" i="97"/>
  <c r="P145" i="97"/>
  <c r="P134" i="97"/>
  <c r="P140" i="97"/>
  <c r="P132" i="97"/>
  <c r="P136" i="97"/>
  <c r="P129" i="97"/>
  <c r="P133" i="97"/>
  <c r="O126" i="97" l="1"/>
  <c r="O125" i="97" s="1"/>
  <c r="H143" i="125"/>
  <c r="H142" i="125" s="1"/>
  <c r="K142" i="125" s="1"/>
  <c r="I142" i="125"/>
  <c r="M142" i="125"/>
  <c r="R126" i="97"/>
  <c r="J141" i="97"/>
  <c r="K125" i="97"/>
  <c r="G146" i="125"/>
  <c r="G143" i="125" s="1"/>
  <c r="J104" i="125"/>
  <c r="J140" i="125"/>
  <c r="I140" i="125"/>
  <c r="H140" i="125"/>
  <c r="J138" i="125"/>
  <c r="J134" i="125"/>
  <c r="J132" i="125"/>
  <c r="J131" i="125"/>
  <c r="J130" i="125"/>
  <c r="J129" i="125"/>
  <c r="J128" i="125"/>
  <c r="J125" i="125"/>
  <c r="J124" i="125"/>
  <c r="J123" i="125"/>
  <c r="I124" i="125"/>
  <c r="I125" i="125"/>
  <c r="I128" i="125"/>
  <c r="I129" i="125"/>
  <c r="I130" i="125"/>
  <c r="I131" i="125"/>
  <c r="I132" i="125"/>
  <c r="I134" i="125"/>
  <c r="I138" i="125"/>
  <c r="I123" i="125"/>
  <c r="G109" i="97"/>
  <c r="H109" i="97"/>
  <c r="I109" i="97"/>
  <c r="K109" i="97"/>
  <c r="L109" i="97"/>
  <c r="M109" i="97"/>
  <c r="N109" i="97"/>
  <c r="J105" i="125"/>
  <c r="H105" i="125"/>
  <c r="J94" i="125"/>
  <c r="I94" i="125"/>
  <c r="G95" i="125"/>
  <c r="J91" i="125"/>
  <c r="I91" i="125"/>
  <c r="J65" i="125"/>
  <c r="J66" i="125"/>
  <c r="I66" i="125"/>
  <c r="J68" i="125"/>
  <c r="I68" i="125"/>
  <c r="J67" i="125"/>
  <c r="I67" i="125"/>
  <c r="J69" i="125"/>
  <c r="I69" i="125"/>
  <c r="I96" i="125"/>
  <c r="J96" i="125"/>
  <c r="J102" i="125"/>
  <c r="G103" i="125"/>
  <c r="J101" i="125"/>
  <c r="J88" i="125"/>
  <c r="I65" i="125"/>
  <c r="I104" i="125"/>
  <c r="I105" i="125"/>
  <c r="I88" i="125"/>
  <c r="I101" i="125"/>
  <c r="I61" i="125"/>
  <c r="K11" i="107"/>
  <c r="K10" i="107" s="1"/>
  <c r="L11" i="107"/>
  <c r="L10" i="107" s="1"/>
  <c r="J11" i="107"/>
  <c r="J10" i="107" s="1"/>
  <c r="G11" i="107"/>
  <c r="G10" i="107" s="1"/>
  <c r="H11" i="107"/>
  <c r="H10" i="107" s="1"/>
  <c r="F11" i="107"/>
  <c r="O13" i="107"/>
  <c r="O12" i="107"/>
  <c r="N12" i="107"/>
  <c r="M12" i="107"/>
  <c r="I12" i="107"/>
  <c r="I11" i="107" s="1"/>
  <c r="G119" i="125"/>
  <c r="J109" i="125"/>
  <c r="J112" i="125"/>
  <c r="J108" i="125"/>
  <c r="I117" i="125"/>
  <c r="K99" i="97"/>
  <c r="L99" i="97"/>
  <c r="M99" i="97"/>
  <c r="N99" i="97"/>
  <c r="I109" i="125"/>
  <c r="I112" i="125"/>
  <c r="I115" i="125"/>
  <c r="I108" i="125"/>
  <c r="G99" i="97"/>
  <c r="H99" i="97"/>
  <c r="J126" i="97" l="1"/>
  <c r="J125" i="97" s="1"/>
  <c r="P141" i="97"/>
  <c r="I107" i="125"/>
  <c r="I106" i="125" s="1"/>
  <c r="J107" i="125"/>
  <c r="J106" i="125" s="1"/>
  <c r="M106" i="125" s="1"/>
  <c r="G142" i="125"/>
  <c r="E100" i="97"/>
  <c r="E99" i="97" s="1"/>
  <c r="F99" i="97"/>
  <c r="P11" i="107"/>
  <c r="P10" i="107" s="1"/>
  <c r="P14" i="107" s="1"/>
  <c r="J110" i="97"/>
  <c r="J109" i="97" s="1"/>
  <c r="J100" i="97"/>
  <c r="J99" i="97" s="1"/>
  <c r="O11" i="107"/>
  <c r="O10" i="107" s="1"/>
  <c r="O14" i="107" s="1"/>
  <c r="I10" i="107"/>
  <c r="Q12" i="107"/>
  <c r="I102" i="125"/>
  <c r="I122" i="125"/>
  <c r="I121" i="125" s="1"/>
  <c r="J122" i="125"/>
  <c r="J121" i="125" s="1"/>
  <c r="M121" i="125" s="1"/>
  <c r="P96" i="97"/>
  <c r="G140" i="125"/>
  <c r="J60" i="125"/>
  <c r="J59" i="125" s="1"/>
  <c r="R110" i="97"/>
  <c r="G105" i="125"/>
  <c r="R100" i="97"/>
  <c r="I181" i="125"/>
  <c r="I180" i="125"/>
  <c r="I179" i="125"/>
  <c r="L142" i="125" l="1"/>
  <c r="P126" i="97"/>
  <c r="I175" i="125"/>
  <c r="L175" i="125" s="1"/>
  <c r="L121" i="125"/>
  <c r="P100" i="97"/>
  <c r="G179" i="125"/>
  <c r="J180" i="125"/>
  <c r="G180" i="125"/>
  <c r="J181" i="125"/>
  <c r="G181" i="125"/>
  <c r="L106" i="125"/>
  <c r="J179" i="125"/>
  <c r="Q126" i="97" l="1"/>
  <c r="I174" i="125"/>
  <c r="G175" i="125"/>
  <c r="G174" i="125" s="1"/>
  <c r="J175" i="125"/>
  <c r="M175" i="125" s="1"/>
  <c r="J174" i="125" l="1"/>
  <c r="H131" i="98" l="1"/>
  <c r="J131" i="98" s="1"/>
  <c r="H137" i="98" l="1"/>
  <c r="J137" i="98" s="1"/>
  <c r="H133" i="98"/>
  <c r="J133" i="98" s="1"/>
  <c r="H132" i="98"/>
  <c r="J132" i="98" s="1"/>
  <c r="I6" i="98"/>
  <c r="I162" i="98"/>
  <c r="I161" i="98" s="1"/>
  <c r="I153" i="98"/>
  <c r="I150" i="98"/>
  <c r="I125" i="98"/>
  <c r="I63" i="98"/>
  <c r="I54" i="98"/>
  <c r="I14" i="98"/>
  <c r="R173" i="97" l="1"/>
  <c r="R147" i="97"/>
  <c r="R14" i="97"/>
  <c r="R39" i="97"/>
  <c r="I154" i="98"/>
  <c r="R160" i="97"/>
  <c r="I149" i="98"/>
  <c r="I42" i="98"/>
  <c r="I72" i="98"/>
  <c r="I148" i="98" l="1"/>
  <c r="I172" i="98" s="1"/>
  <c r="R156" i="97"/>
  <c r="J210" i="125" l="1"/>
  <c r="F124" i="97" l="1"/>
  <c r="F110" i="97" l="1"/>
  <c r="F109" i="97" s="1"/>
  <c r="E124" i="97"/>
  <c r="H139" i="125" l="1"/>
  <c r="G139" i="125" s="1"/>
  <c r="P124" i="97"/>
  <c r="E74" i="97" l="1"/>
  <c r="E95" i="97"/>
  <c r="H104" i="125" l="1"/>
  <c r="G104" i="125" s="1"/>
  <c r="H80" i="125"/>
  <c r="G80" i="125" s="1"/>
  <c r="P74" i="97"/>
  <c r="P95" i="97" l="1"/>
  <c r="E47" i="97" l="1"/>
  <c r="E46" i="97"/>
  <c r="H52" i="125" l="1"/>
  <c r="G52" i="125" s="1"/>
  <c r="H53" i="125"/>
  <c r="G53" i="125" s="1"/>
  <c r="E114" i="97"/>
  <c r="H126" i="125" l="1"/>
  <c r="G126" i="125" s="1"/>
  <c r="P46" i="97"/>
  <c r="P47" i="97"/>
  <c r="P114" i="97"/>
  <c r="E87" i="97" l="1"/>
  <c r="H94" i="125" l="1"/>
  <c r="G94" i="125" s="1"/>
  <c r="E76" i="97"/>
  <c r="E73" i="97"/>
  <c r="E77" i="97"/>
  <c r="H82" i="125" l="1"/>
  <c r="G82" i="125" s="1"/>
  <c r="H79" i="125"/>
  <c r="G79" i="125" s="1"/>
  <c r="H83" i="125"/>
  <c r="G83" i="125" s="1"/>
  <c r="E75" i="97"/>
  <c r="P77" i="97"/>
  <c r="P76" i="97"/>
  <c r="H81" i="125" l="1"/>
  <c r="G81" i="125" s="1"/>
  <c r="P73" i="97"/>
  <c r="P75" i="97"/>
  <c r="E123" i="97" l="1"/>
  <c r="H138" i="125" l="1"/>
  <c r="G138" i="125" s="1"/>
  <c r="P123" i="97"/>
  <c r="E107" i="97" l="1"/>
  <c r="E106" i="97"/>
  <c r="E94" i="97"/>
  <c r="E93" i="97"/>
  <c r="E49" i="97"/>
  <c r="E33" i="97"/>
  <c r="H55" i="125" l="1"/>
  <c r="G55" i="125"/>
  <c r="H38" i="125"/>
  <c r="G38" i="125" s="1"/>
  <c r="H102" i="125"/>
  <c r="G102" i="125" s="1"/>
  <c r="H101" i="125"/>
  <c r="G101" i="125" s="1"/>
  <c r="H39" i="125"/>
  <c r="G39" i="125" s="1"/>
  <c r="H115" i="125"/>
  <c r="G115" i="125" s="1"/>
  <c r="H117" i="125"/>
  <c r="G117" i="125" s="1"/>
  <c r="E48" i="97"/>
  <c r="P34" i="97"/>
  <c r="H54" i="125" l="1"/>
  <c r="G54" i="125" s="1"/>
  <c r="P106" i="97"/>
  <c r="P93" i="97"/>
  <c r="P107" i="97"/>
  <c r="P49" i="97"/>
  <c r="P48" i="97"/>
  <c r="P94" i="97"/>
  <c r="P33" i="97"/>
  <c r="E153" i="97" l="1"/>
  <c r="E152" i="97"/>
  <c r="E151" i="97"/>
  <c r="E147" i="97" l="1"/>
  <c r="K175" i="125" s="1"/>
  <c r="P152" i="97"/>
  <c r="P153" i="97"/>
  <c r="P151" i="97"/>
  <c r="E18" i="97"/>
  <c r="P147" i="97" l="1"/>
  <c r="E146" i="97"/>
  <c r="Q147" i="97"/>
  <c r="P18" i="97"/>
  <c r="E162" i="97" l="1"/>
  <c r="E163" i="97"/>
  <c r="E164" i="97"/>
  <c r="K190" i="125" l="1"/>
  <c r="K193" i="125"/>
  <c r="K192" i="125"/>
  <c r="P164" i="97"/>
  <c r="P163" i="97"/>
  <c r="P162" i="97"/>
  <c r="E19" i="97" l="1"/>
  <c r="P19" i="97" l="1"/>
  <c r="Q19" i="97" l="1"/>
  <c r="E45" i="97"/>
  <c r="H51" i="125" l="1"/>
  <c r="G51" i="125" s="1"/>
  <c r="P45" i="97"/>
  <c r="E180" i="97" l="1"/>
  <c r="E112" i="97" l="1"/>
  <c r="E90" i="97"/>
  <c r="H98" i="125" l="1"/>
  <c r="G98" i="125" s="1"/>
  <c r="H124" i="125"/>
  <c r="G124" i="125" s="1"/>
  <c r="E161" i="97"/>
  <c r="E160" i="97" s="1"/>
  <c r="K189" i="125" l="1"/>
  <c r="P161" i="97"/>
  <c r="K187" i="125" l="1"/>
  <c r="E159" i="97"/>
  <c r="N13" i="107"/>
  <c r="E44" i="97" l="1"/>
  <c r="H49" i="125" l="1"/>
  <c r="G49" i="125" s="1"/>
  <c r="N11" i="107"/>
  <c r="N10" i="107" s="1"/>
  <c r="N14" i="107" s="1"/>
  <c r="F10" i="107"/>
  <c r="F14" i="107" s="1"/>
  <c r="E104" i="97" l="1"/>
  <c r="E29" i="108"/>
  <c r="E15" i="108"/>
  <c r="E17" i="108" s="1"/>
  <c r="L14" i="107"/>
  <c r="J14" i="107"/>
  <c r="H14" i="107"/>
  <c r="E16" i="97"/>
  <c r="E15" i="97"/>
  <c r="E27" i="97"/>
  <c r="E32" i="97"/>
  <c r="E29" i="97"/>
  <c r="E30" i="97"/>
  <c r="E88" i="97"/>
  <c r="E43" i="97"/>
  <c r="E42" i="97"/>
  <c r="E41" i="97"/>
  <c r="E121" i="97"/>
  <c r="E119" i="97"/>
  <c r="E117" i="97"/>
  <c r="E116" i="97"/>
  <c r="E115" i="97"/>
  <c r="E113" i="97"/>
  <c r="E22" i="97"/>
  <c r="E56" i="97"/>
  <c r="E55" i="97"/>
  <c r="E66" i="97"/>
  <c r="E31" i="97"/>
  <c r="E63" i="97"/>
  <c r="E57" i="97"/>
  <c r="E61" i="97"/>
  <c r="E60" i="97"/>
  <c r="E59" i="97"/>
  <c r="E64" i="97"/>
  <c r="E70" i="97"/>
  <c r="E65" i="97"/>
  <c r="E69" i="97"/>
  <c r="E68" i="97"/>
  <c r="E67" i="97"/>
  <c r="E82" i="97"/>
  <c r="E58" i="97"/>
  <c r="E111" i="97"/>
  <c r="E83" i="97"/>
  <c r="H134" i="125" l="1"/>
  <c r="H45" i="125"/>
  <c r="G45" i="125" s="1"/>
  <c r="H34" i="125"/>
  <c r="G34" i="125" s="1"/>
  <c r="H89" i="125"/>
  <c r="G89" i="125" s="1"/>
  <c r="E39" i="97"/>
  <c r="P39" i="97" s="1"/>
  <c r="F29" i="108"/>
  <c r="G29" i="108"/>
  <c r="G18" i="108" s="1"/>
  <c r="H88" i="125"/>
  <c r="G88" i="125" s="1"/>
  <c r="H62" i="125"/>
  <c r="G62" i="125" s="1"/>
  <c r="H76" i="125"/>
  <c r="G76" i="125" s="1"/>
  <c r="H67" i="125"/>
  <c r="G67" i="125" s="1"/>
  <c r="H36" i="125"/>
  <c r="G36" i="125" s="1"/>
  <c r="H130" i="125"/>
  <c r="G130" i="125" s="1"/>
  <c r="H32" i="125"/>
  <c r="G32" i="125" s="1"/>
  <c r="H71" i="125"/>
  <c r="G71" i="125" s="1"/>
  <c r="H66" i="125"/>
  <c r="G66" i="125" s="1"/>
  <c r="H129" i="125"/>
  <c r="G129" i="125" s="1"/>
  <c r="H123" i="125"/>
  <c r="H74" i="125"/>
  <c r="G74" i="125" s="1"/>
  <c r="H63" i="125"/>
  <c r="G63" i="125" s="1"/>
  <c r="H125" i="125"/>
  <c r="G125" i="125" s="1"/>
  <c r="H132" i="125"/>
  <c r="G132" i="125" s="1"/>
  <c r="H48" i="125"/>
  <c r="G48" i="125" s="1"/>
  <c r="H37" i="125"/>
  <c r="G37" i="125" s="1"/>
  <c r="H73" i="125"/>
  <c r="G73" i="125" s="1"/>
  <c r="H70" i="125"/>
  <c r="G70" i="125" s="1"/>
  <c r="H64" i="125"/>
  <c r="G64" i="125" s="1"/>
  <c r="H75" i="125"/>
  <c r="G75" i="125" s="1"/>
  <c r="H65" i="125"/>
  <c r="G65" i="125" s="1"/>
  <c r="H69" i="125"/>
  <c r="G69" i="125" s="1"/>
  <c r="H128" i="125"/>
  <c r="G128" i="125" s="1"/>
  <c r="G134" i="125"/>
  <c r="H96" i="125"/>
  <c r="G96" i="125" s="1"/>
  <c r="H112" i="125"/>
  <c r="G112" i="125" s="1"/>
  <c r="H72" i="125"/>
  <c r="G72" i="125" s="1"/>
  <c r="H61" i="125"/>
  <c r="G61" i="125" s="1"/>
  <c r="H47" i="125"/>
  <c r="G47" i="125" s="1"/>
  <c r="H28" i="125"/>
  <c r="G28" i="125" s="1"/>
  <c r="E103" i="97"/>
  <c r="E182" i="97"/>
  <c r="E81" i="97"/>
  <c r="E86" i="97"/>
  <c r="E101" i="97"/>
  <c r="E72" i="97"/>
  <c r="E85" i="97"/>
  <c r="E105" i="97"/>
  <c r="M13" i="107"/>
  <c r="K14" i="107"/>
  <c r="E181" i="97"/>
  <c r="E17" i="97"/>
  <c r="P22" i="97"/>
  <c r="E21" i="97"/>
  <c r="E122" i="97"/>
  <c r="E118" i="97"/>
  <c r="E102" i="97"/>
  <c r="G13" i="97"/>
  <c r="E62" i="97"/>
  <c r="E28" i="97"/>
  <c r="H136" i="125" l="1"/>
  <c r="G136" i="125" s="1"/>
  <c r="H110" i="125"/>
  <c r="G110" i="125" s="1"/>
  <c r="E14" i="97"/>
  <c r="E13" i="97" s="1"/>
  <c r="H113" i="125"/>
  <c r="G113" i="125" s="1"/>
  <c r="P86" i="97"/>
  <c r="E110" i="97"/>
  <c r="H44" i="125"/>
  <c r="H43" i="125" s="1"/>
  <c r="P38" i="97"/>
  <c r="E26" i="97"/>
  <c r="H29" i="125"/>
  <c r="G29" i="125" s="1"/>
  <c r="G123" i="125"/>
  <c r="H92" i="125"/>
  <c r="G92" i="125" s="1"/>
  <c r="H17" i="125"/>
  <c r="H78" i="125"/>
  <c r="G78" i="125" s="1"/>
  <c r="H68" i="125"/>
  <c r="G68" i="125" s="1"/>
  <c r="H87" i="125"/>
  <c r="G87" i="125" s="1"/>
  <c r="H109" i="125"/>
  <c r="G109" i="125" s="1"/>
  <c r="H108" i="125"/>
  <c r="H15" i="125"/>
  <c r="H93" i="125"/>
  <c r="G93" i="125" s="1"/>
  <c r="E38" i="97"/>
  <c r="E178" i="97"/>
  <c r="E177" i="97" s="1"/>
  <c r="Q13" i="107"/>
  <c r="M11" i="107"/>
  <c r="G44" i="125"/>
  <c r="H131" i="125"/>
  <c r="P56" i="97"/>
  <c r="P15" i="97"/>
  <c r="P119" i="97"/>
  <c r="P57" i="97"/>
  <c r="P59" i="97"/>
  <c r="P55" i="97"/>
  <c r="E84" i="97"/>
  <c r="P58" i="97"/>
  <c r="P90" i="97"/>
  <c r="P182" i="97"/>
  <c r="P63" i="97"/>
  <c r="P83" i="97"/>
  <c r="P60" i="97"/>
  <c r="P61" i="97"/>
  <c r="P41" i="97"/>
  <c r="P180" i="97"/>
  <c r="P43" i="97"/>
  <c r="P67" i="97"/>
  <c r="P104" i="97"/>
  <c r="P16" i="97"/>
  <c r="P64" i="97"/>
  <c r="P70" i="97"/>
  <c r="P115" i="97"/>
  <c r="P29" i="97"/>
  <c r="P113" i="97"/>
  <c r="P66" i="97"/>
  <c r="P88" i="97"/>
  <c r="P122" i="97"/>
  <c r="P112" i="97"/>
  <c r="P31" i="97"/>
  <c r="P30" i="97"/>
  <c r="P81" i="97"/>
  <c r="P69" i="97"/>
  <c r="P42" i="97"/>
  <c r="P65" i="97"/>
  <c r="P111" i="97"/>
  <c r="P72" i="97"/>
  <c r="P68" i="97"/>
  <c r="P85" i="97"/>
  <c r="P181" i="97"/>
  <c r="P121" i="97"/>
  <c r="P116" i="97"/>
  <c r="P32" i="97"/>
  <c r="P62" i="97"/>
  <c r="P27" i="97"/>
  <c r="P82" i="97"/>
  <c r="P102" i="97"/>
  <c r="P28" i="97"/>
  <c r="H12" i="125" l="1"/>
  <c r="H11" i="125" s="1"/>
  <c r="G15" i="125"/>
  <c r="G17" i="125"/>
  <c r="K17" i="125"/>
  <c r="G108" i="125"/>
  <c r="G107" i="125" s="1"/>
  <c r="G106" i="125" s="1"/>
  <c r="H107" i="125"/>
  <c r="H106" i="125" s="1"/>
  <c r="K106" i="125" s="1"/>
  <c r="H122" i="125"/>
  <c r="H121" i="125" s="1"/>
  <c r="K121" i="125" s="1"/>
  <c r="G27" i="125"/>
  <c r="G26" i="125" s="1"/>
  <c r="H27" i="125"/>
  <c r="H26" i="125" s="1"/>
  <c r="K26" i="125" s="1"/>
  <c r="H91" i="125"/>
  <c r="G91" i="125" s="1"/>
  <c r="K15" i="125"/>
  <c r="P110" i="97"/>
  <c r="E109" i="97"/>
  <c r="G43" i="125"/>
  <c r="P26" i="97"/>
  <c r="Q26" i="97" s="1"/>
  <c r="E25" i="97"/>
  <c r="K43" i="125"/>
  <c r="P14" i="97"/>
  <c r="M10" i="107"/>
  <c r="M14" i="107" s="1"/>
  <c r="Q11" i="107"/>
  <c r="Q10" i="107" s="1"/>
  <c r="Q14" i="107" s="1"/>
  <c r="G131" i="125"/>
  <c r="P17" i="97"/>
  <c r="P84" i="97"/>
  <c r="L43" i="125"/>
  <c r="P44" i="97"/>
  <c r="P101" i="97"/>
  <c r="P105" i="97"/>
  <c r="P21" i="97"/>
  <c r="P117" i="97"/>
  <c r="P118" i="97"/>
  <c r="P103" i="97"/>
  <c r="G122" i="125" l="1"/>
  <c r="G121" i="125" s="1"/>
  <c r="Q100" i="97"/>
  <c r="Q14" i="97"/>
  <c r="Q39" i="97"/>
  <c r="Q110" i="97"/>
  <c r="G12" i="125"/>
  <c r="G11" i="125" s="1"/>
  <c r="P99" i="97"/>
  <c r="P87" i="97"/>
  <c r="I14" i="107"/>
  <c r="G14" i="107" s="1"/>
  <c r="P25" i="97" l="1"/>
  <c r="P13" i="97"/>
  <c r="P125" i="97"/>
  <c r="P109" i="97" l="1"/>
  <c r="P178" i="97" l="1"/>
  <c r="P177" i="97" s="1"/>
  <c r="P173" i="97"/>
  <c r="P172" i="97" l="1"/>
  <c r="Q173" i="97"/>
  <c r="Q178" i="97"/>
  <c r="P167" i="97" l="1"/>
  <c r="Q167" i="97" s="1"/>
  <c r="P166" i="97" l="1"/>
  <c r="L187" i="125"/>
  <c r="P160" i="97"/>
  <c r="Q160" i="97" s="1"/>
  <c r="P159" i="97" l="1"/>
  <c r="P156" i="97"/>
  <c r="P155" i="97" l="1"/>
  <c r="Q156" i="97"/>
  <c r="P146" i="97" l="1"/>
  <c r="G202" i="125" l="1"/>
  <c r="N53" i="97" l="1"/>
  <c r="N183" i="97" s="1"/>
  <c r="N192" i="97" s="1"/>
  <c r="K53" i="97"/>
  <c r="K52" i="97" s="1"/>
  <c r="M53" i="97"/>
  <c r="M52" i="97" s="1"/>
  <c r="O78" i="97"/>
  <c r="L53" i="97"/>
  <c r="L183" i="97" s="1"/>
  <c r="M183" i="97" l="1"/>
  <c r="M192" i="97" s="1"/>
  <c r="L192" i="97"/>
  <c r="L193" i="97"/>
  <c r="K183" i="97"/>
  <c r="K192" i="97" s="1"/>
  <c r="N52" i="97"/>
  <c r="M59" i="125"/>
  <c r="O53" i="97"/>
  <c r="J53" i="97" s="1"/>
  <c r="J78" i="97"/>
  <c r="R53" i="97"/>
  <c r="I53" i="97"/>
  <c r="L52" i="97"/>
  <c r="R78" i="97" l="1"/>
  <c r="I84" i="125"/>
  <c r="I60" i="125" s="1"/>
  <c r="O183" i="97"/>
  <c r="O193" i="97" s="1"/>
  <c r="Q183" i="97"/>
  <c r="K172" i="98"/>
  <c r="O52" i="97"/>
  <c r="H53" i="97"/>
  <c r="I52" i="97"/>
  <c r="I183" i="97"/>
  <c r="I192" i="97" s="1"/>
  <c r="J183" i="97"/>
  <c r="J192" i="97" s="1"/>
  <c r="J52" i="97"/>
  <c r="O192" i="97" l="1"/>
  <c r="I59" i="125"/>
  <c r="L59" i="125" s="1"/>
  <c r="I210" i="125"/>
  <c r="H52" i="97"/>
  <c r="H183" i="97"/>
  <c r="H192" i="97" s="1"/>
  <c r="G53" i="97"/>
  <c r="G183" i="97" l="1"/>
  <c r="G192" i="97" s="1"/>
  <c r="G52" i="97"/>
  <c r="E78" i="97"/>
  <c r="F53" i="97"/>
  <c r="F52" i="97" s="1"/>
  <c r="F183" i="97" s="1"/>
  <c r="Q78" i="97" l="1"/>
  <c r="H84" i="125" s="1"/>
  <c r="F192" i="97"/>
  <c r="F196" i="97"/>
  <c r="E53" i="97"/>
  <c r="E52" i="97" s="1"/>
  <c r="P78" i="97"/>
  <c r="E183" i="97" l="1"/>
  <c r="P53" i="97"/>
  <c r="Q53" i="97" s="1"/>
  <c r="G84" i="125"/>
  <c r="G60" i="125" s="1"/>
  <c r="H60" i="125"/>
  <c r="E195" i="97" l="1"/>
  <c r="F193" i="97"/>
  <c r="P52" i="97"/>
  <c r="P183" i="97" s="1"/>
  <c r="F195" i="97" s="1"/>
  <c r="E192" i="97"/>
  <c r="H59" i="125"/>
  <c r="K59" i="125" s="1"/>
  <c r="H210" i="125"/>
  <c r="G59" i="125"/>
  <c r="G210" i="125"/>
  <c r="P193" i="97" l="1"/>
  <c r="P192" i="97"/>
  <c r="K210" i="125"/>
</calcChain>
</file>

<file path=xl/sharedStrings.xml><?xml version="1.0" encoding="utf-8"?>
<sst xmlns="http://schemas.openxmlformats.org/spreadsheetml/2006/main" count="2857" uniqueCount="961">
  <si>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</si>
  <si>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</si>
  <si>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</si>
  <si>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</si>
  <si>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1</t>
  </si>
  <si>
    <t>2</t>
  </si>
  <si>
    <t>Проведення навчально-тренувальних зборів і змагань з неолімпійських видів спорту</t>
  </si>
  <si>
    <t>4</t>
  </si>
  <si>
    <t>Надання субсидій населенню для відшкодування витрат на оплату житлово-комунальних послуг</t>
  </si>
  <si>
    <t>Пільгове медичне обслуговування осіб, які постраждали внаслідок Чорнобильської катастрофи</t>
  </si>
  <si>
    <t>Надання допомоги у зв'язку з вагітністю і пологами</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</si>
  <si>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</si>
  <si>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</si>
  <si>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</si>
  <si>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</si>
  <si>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державної соціальної допомоги малозабезпеченим сім'ям</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</si>
  <si>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</si>
  <si>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</si>
  <si>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</si>
  <si>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субсидій населенню для відшкодування витрат на придбання твердого та рідкого пічного побутового палива і скрапленого газу</t>
  </si>
  <si>
    <t>Програма розвитку міста Хмельницького у сфері культури на період до 2020 року "50 кроків, що змінять місто"</t>
  </si>
  <si>
    <t>Компенсаційні виплати на пільговий проїзд електротранспортом окремим категоріям громадян</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</si>
  <si>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</si>
  <si>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</si>
  <si>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Разом</t>
  </si>
  <si>
    <t>Загальний фонд</t>
  </si>
  <si>
    <t>з них</t>
  </si>
  <si>
    <t>3</t>
  </si>
  <si>
    <t>комунальні послуги та енергоносії</t>
  </si>
  <si>
    <t>Код програмної класифікації видатків та кредитування місцевих бюджетів</t>
  </si>
  <si>
    <t>Код ФКВКБ</t>
  </si>
  <si>
    <t>Реконструкція існуючої будівлі краєзнавчого музею під музейний комплекс історії та культури по вул.Свободи,22 в м.Хмельницькому</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</si>
  <si>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</si>
  <si>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</si>
  <si>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1011100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</si>
  <si>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</si>
  <si>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</si>
  <si>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</si>
  <si>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</si>
  <si>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</si>
  <si>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</si>
  <si>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</si>
  <si>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</si>
  <si>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</si>
  <si>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</si>
  <si>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</si>
  <si>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Управління архітектури та містобудування департаменту архітектури, містобудування та земельних ресурсів (головний розпорядник)</t>
  </si>
  <si>
    <t xml:space="preserve">Управління з питань екології та контролю за благоустроєм міста (головний розпорядник) </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</si>
  <si>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</si>
  <si>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</si>
  <si>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</si>
  <si>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</si>
  <si>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</si>
  <si>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</si>
  <si>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</si>
  <si>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Проведення інформаційних заходів з організації проведення аукціонів</t>
  </si>
  <si>
    <t>Виготовлення документації із землеустрою</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</si>
  <si>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</si>
  <si>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</si>
  <si>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</si>
  <si>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</si>
  <si>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</si>
  <si>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</si>
  <si>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</si>
  <si>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</si>
  <si>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</si>
  <si>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Фінансове управління Хмельницької міської ради (відповідальний виконавець)</t>
  </si>
  <si>
    <t>Заходи з енергозбереження</t>
  </si>
  <si>
    <t>Резервний фонд</t>
  </si>
  <si>
    <t xml:space="preserve"> Реверсна дотація</t>
  </si>
  <si>
    <t>0133</t>
  </si>
  <si>
    <t>0180</t>
  </si>
  <si>
    <t>1113131</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</si>
  <si>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</si>
  <si>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</si>
  <si>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</si>
  <si>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</si>
  <si>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</si>
  <si>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</si>
  <si>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</si>
  <si>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Всього, в т.ч.:</t>
  </si>
  <si>
    <t>0511</t>
  </si>
  <si>
    <t>Охорона та раціональне використання природних ресурсів</t>
  </si>
  <si>
    <t>0540</t>
  </si>
  <si>
    <t>Спеціальний фонд</t>
  </si>
  <si>
    <t>видатки споживання</t>
  </si>
  <si>
    <t>оплата праці</t>
  </si>
  <si>
    <t>видатки розвитку</t>
  </si>
  <si>
    <t>Розподіл</t>
  </si>
  <si>
    <t>Додаток №3</t>
  </si>
  <si>
    <t>Капітальні видатки</t>
  </si>
  <si>
    <t xml:space="preserve">Реконструкція покрівель житлових будинків </t>
  </si>
  <si>
    <t>Додаток 1</t>
  </si>
  <si>
    <t>( грн.)</t>
  </si>
  <si>
    <t>Код</t>
  </si>
  <si>
    <t>Найменування згідно
 з класифікацією доходів бюджету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</si>
  <si>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</si>
  <si>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</si>
  <si>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</si>
  <si>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</si>
  <si>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</si>
  <si>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</si>
  <si>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</si>
  <si>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</si>
  <si>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</si>
  <si>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</si>
  <si>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</si>
  <si>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</si>
  <si>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</si>
  <si>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</si>
  <si>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</si>
  <si>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</si>
  <si>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</si>
  <si>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</si>
  <si>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</si>
  <si>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</si>
  <si>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</si>
  <si>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</si>
  <si>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</si>
  <si>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</si>
  <si>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</si>
  <si>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</si>
  <si>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</si>
  <si>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</si>
  <si>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</si>
  <si>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</si>
  <si>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</si>
  <si>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</si>
  <si>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</si>
  <si>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</si>
  <si>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</si>
  <si>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</si>
  <si>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</si>
  <si>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</si>
  <si>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</si>
  <si>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</si>
  <si>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</si>
  <si>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</si>
  <si>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</si>
  <si>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</si>
  <si>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</si>
  <si>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</si>
  <si>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</si>
  <si>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</si>
  <si>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</si>
  <si>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</si>
  <si>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</si>
  <si>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</si>
  <si>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</si>
  <si>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</si>
  <si>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</si>
  <si>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</si>
  <si>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</si>
  <si>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</si>
  <si>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</si>
  <si>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</si>
  <si>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</si>
  <si>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</si>
  <si>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</si>
  <si>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</si>
  <si>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</si>
  <si>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</si>
  <si>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</si>
  <si>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</si>
  <si>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</si>
  <si>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</si>
  <si>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</si>
  <si>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</si>
  <si>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</si>
  <si>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</si>
  <si>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Начальник фінансового управління</t>
  </si>
  <si>
    <t>С. Ямчук</t>
  </si>
  <si>
    <t>Додаток 2</t>
  </si>
  <si>
    <t>до рішення</t>
  </si>
  <si>
    <t>від                 №</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</si>
  <si>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</si>
  <si>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</si>
  <si>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</si>
  <si>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</si>
  <si>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</si>
  <si>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</si>
  <si>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</si>
  <si>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</si>
  <si>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</si>
  <si>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</si>
  <si>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</si>
  <si>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</si>
  <si>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t>Надання кредитів</t>
  </si>
  <si>
    <t>Повернення кредитів</t>
  </si>
  <si>
    <t>0,0</t>
  </si>
  <si>
    <t>Додаток №6</t>
  </si>
  <si>
    <t xml:space="preserve">до рішення №      від  </t>
  </si>
  <si>
    <t>Кошторис доходів та видатків цільового фонду</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</si>
  <si>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</si>
  <si>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</si>
  <si>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</si>
  <si>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</si>
  <si>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</si>
  <si>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</si>
  <si>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</si>
  <si>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</si>
  <si>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</si>
  <si>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</si>
  <si>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</si>
  <si>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</si>
  <si>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</si>
  <si>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</si>
  <si>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</si>
  <si>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</si>
  <si>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</si>
  <si>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</si>
  <si>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</si>
  <si>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</si>
  <si>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</si>
  <si>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3.2.5.</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</si>
  <si>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</si>
  <si>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</si>
  <si>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</si>
  <si>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</si>
  <si>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</si>
  <si>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</si>
  <si>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</si>
  <si>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</si>
  <si>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</si>
  <si>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</si>
  <si>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</si>
  <si>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</si>
  <si>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 xml:space="preserve">Начальник фінансового управління                                                                                        </t>
  </si>
  <si>
    <t xml:space="preserve">   С.Ямчук</t>
  </si>
  <si>
    <t>Пальне (вироблене в Україні)</t>
  </si>
  <si>
    <t>Пальне  (ввезене на митну територію  України)</t>
  </si>
  <si>
    <t>Начальник фінансового управління                                                                                                                                                            С. Ямчук</t>
  </si>
  <si>
    <t xml:space="preserve">Будівництво центру поводження з тваринами  КП “Надія” по вул. Заводській, 165 в м. Хмельницькому </t>
  </si>
  <si>
    <t>Адміністративний збір з проведення державної реєстрації юридичних осіб, фізичних осіб - підприємців та громадських формувань</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</si>
  <si>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</si>
  <si>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</si>
  <si>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</si>
  <si>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</si>
  <si>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</si>
  <si>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</si>
  <si>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</si>
  <si>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</si>
  <si>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</si>
  <si>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</si>
  <si>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</si>
  <si>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</si>
  <si>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</si>
  <si>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</si>
  <si>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</si>
  <si>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</si>
  <si>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</si>
  <si>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</si>
  <si>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</si>
  <si>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</si>
  <si>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</si>
  <si>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</si>
  <si>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</si>
  <si>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1014010</t>
  </si>
  <si>
    <t>4010</t>
  </si>
  <si>
    <t>4060</t>
  </si>
  <si>
    <t>3131</t>
  </si>
  <si>
    <t>0821</t>
  </si>
  <si>
    <t>Фінансова підтримка театрів</t>
  </si>
  <si>
    <t>1014030</t>
  </si>
  <si>
    <t>4030</t>
  </si>
  <si>
    <t>0824</t>
  </si>
  <si>
    <t>Забезпечення діяльності бібліотек</t>
  </si>
  <si>
    <t>1014040</t>
  </si>
  <si>
    <t>4040</t>
  </si>
  <si>
    <t xml:space="preserve"> Забезпечення діяльності музеїв i виставок</t>
  </si>
  <si>
    <t>1014060</t>
  </si>
  <si>
    <t>0828</t>
  </si>
  <si>
    <t>Забезпечення діяльності палаців i будинків культури, клубів, центрів дозвілля та iнших клубних закладів</t>
  </si>
  <si>
    <t>Надання спеціальної освіти школами естетичного виховання (музичними, художніми, хореографічними, театральними, хоровими, мистецькими)</t>
  </si>
  <si>
    <t>1100</t>
  </si>
  <si>
    <t>0960</t>
  </si>
  <si>
    <t>0829</t>
  </si>
  <si>
    <t>1113121</t>
  </si>
  <si>
    <t>3121</t>
  </si>
  <si>
    <t>1040</t>
  </si>
  <si>
    <t>Утримання та забезпечення діяльності центрів соціальних служб для сім’ї, дітей та молоді</t>
  </si>
  <si>
    <t>5011</t>
  </si>
  <si>
    <t>5012</t>
  </si>
  <si>
    <t>5022</t>
  </si>
  <si>
    <t>1113132</t>
  </si>
  <si>
    <t>3132</t>
  </si>
  <si>
    <t>3230</t>
  </si>
  <si>
    <t>1090</t>
  </si>
  <si>
    <t>5031</t>
  </si>
  <si>
    <t>5032</t>
  </si>
  <si>
    <t>5061</t>
  </si>
  <si>
    <t>0810</t>
  </si>
  <si>
    <t>5063</t>
  </si>
  <si>
    <t>7670</t>
  </si>
  <si>
    <t>0611010</t>
  </si>
  <si>
    <t>1010</t>
  </si>
  <si>
    <t>1020</t>
  </si>
  <si>
    <t>0910</t>
  </si>
  <si>
    <t>Надання дошкільної освіти</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</si>
  <si>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</si>
  <si>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0611020</t>
  </si>
  <si>
    <t>0921</t>
  </si>
  <si>
    <t>1030</t>
  </si>
  <si>
    <t>1070</t>
  </si>
  <si>
    <t>0611070</t>
  </si>
  <si>
    <t>0922</t>
  </si>
  <si>
    <t>0611090</t>
  </si>
  <si>
    <t>0611110</t>
  </si>
  <si>
    <t>1110</t>
  </si>
  <si>
    <t>0930</t>
  </si>
  <si>
    <t>Підготовка кадрів професійно-технічними закладами та іншими закладами освіти</t>
  </si>
  <si>
    <t>Методичне забезпечення діяльності навчальних закладів</t>
  </si>
  <si>
    <t>0611150</t>
  </si>
  <si>
    <t>1150</t>
  </si>
  <si>
    <t>0990</t>
  </si>
  <si>
    <t>2010</t>
  </si>
  <si>
    <t>0617640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</si>
  <si>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</si>
  <si>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</si>
  <si>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</si>
  <si>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</si>
  <si>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</si>
  <si>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</si>
  <si>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</si>
  <si>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</si>
  <si>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</si>
  <si>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</si>
  <si>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</si>
  <si>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</si>
  <si>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</si>
  <si>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</si>
  <si>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</si>
  <si>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</si>
  <si>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</si>
  <si>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</si>
  <si>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</si>
  <si>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</si>
  <si>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</si>
  <si>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</si>
  <si>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</si>
  <si>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</si>
  <si>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</si>
  <si>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</si>
  <si>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</si>
  <si>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</si>
  <si>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</si>
  <si>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</si>
  <si>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</si>
  <si>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</si>
  <si>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</si>
  <si>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</si>
  <si>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</si>
  <si>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</si>
  <si>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0210180</t>
  </si>
  <si>
    <t>Інша діяльність у сфері державного управління</t>
  </si>
  <si>
    <t>Надання пільг на оплату житлово-комунальних послуг окремим категоріям громадян відповідно до законодавства</t>
  </si>
  <si>
    <t>0813011</t>
  </si>
  <si>
    <t>3011</t>
  </si>
  <si>
    <t>3041</t>
  </si>
  <si>
    <t>3042</t>
  </si>
  <si>
    <t>3043</t>
  </si>
  <si>
    <t>3044</t>
  </si>
  <si>
    <t>3045</t>
  </si>
  <si>
    <t>3046</t>
  </si>
  <si>
    <t>3047</t>
  </si>
  <si>
    <t>Надання допомоги при усиновленні дитини</t>
  </si>
  <si>
    <t>0813041</t>
  </si>
  <si>
    <t>0813042</t>
  </si>
  <si>
    <t>0813043</t>
  </si>
  <si>
    <t>0813044</t>
  </si>
  <si>
    <t>0813045</t>
  </si>
  <si>
    <t>0813046</t>
  </si>
  <si>
    <t>0813047</t>
  </si>
  <si>
    <t>3050</t>
  </si>
  <si>
    <t>3090</t>
  </si>
  <si>
    <t>0813012</t>
  </si>
  <si>
    <t>3012</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</si>
  <si>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</si>
  <si>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0813021</t>
  </si>
  <si>
    <t>3021</t>
  </si>
  <si>
    <t>0813022</t>
  </si>
  <si>
    <t>3022</t>
  </si>
  <si>
    <t>0813050</t>
  </si>
  <si>
    <t>0813090</t>
  </si>
  <si>
    <t>Заходи з організації рятування на водах</t>
  </si>
  <si>
    <t>1218120</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</si>
  <si>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</si>
  <si>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</si>
  <si>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</si>
  <si>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</si>
  <si>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</si>
  <si>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</si>
  <si>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</si>
  <si>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</si>
  <si>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</si>
  <si>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</si>
  <si>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</si>
  <si>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</si>
  <si>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</si>
  <si>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0813230</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</si>
  <si>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</si>
  <si>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</si>
  <si>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</si>
  <si>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</si>
  <si>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</si>
  <si>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</si>
  <si>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</si>
  <si>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</si>
  <si>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</si>
  <si>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</si>
  <si>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</si>
  <si>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</si>
  <si>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</si>
  <si>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</si>
  <si>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</si>
  <si>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</si>
  <si>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</si>
  <si>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</si>
  <si>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</si>
  <si>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</si>
  <si>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</si>
  <si>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</si>
  <si>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</si>
  <si>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 xml:space="preserve">Інша діяльність, пов’язана з експлуатацією об’єктів житлово-комунального господарства </t>
  </si>
  <si>
    <t>1216013</t>
  </si>
  <si>
    <t>6013</t>
  </si>
  <si>
    <t>Забезпечення діяльності водопровідно-каналізаційного господарства</t>
  </si>
  <si>
    <t>1216030</t>
  </si>
  <si>
    <t>6030</t>
  </si>
  <si>
    <t>Організація благоустрою населених пунктів</t>
  </si>
  <si>
    <t>1217426</t>
  </si>
  <si>
    <t>7426</t>
  </si>
  <si>
    <t>Інші заходи у сфері електротранспорту</t>
  </si>
  <si>
    <t>0453</t>
  </si>
  <si>
    <t>1217461</t>
  </si>
  <si>
    <t>7461</t>
  </si>
  <si>
    <t>Утримання та розвиток автомобільних доріг та дорожньої інфраструктури за рахунок коштів місцевого бюджету</t>
  </si>
  <si>
    <t>0456</t>
  </si>
  <si>
    <t>1217640</t>
  </si>
  <si>
    <t>1218110</t>
  </si>
  <si>
    <t>8110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</si>
  <si>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</si>
  <si>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</si>
  <si>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</si>
  <si>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Членські внески до асоціацій органів місцевого самоврядування</t>
  </si>
  <si>
    <t>0217680</t>
  </si>
  <si>
    <t>7680</t>
  </si>
  <si>
    <t>1216015</t>
  </si>
  <si>
    <t>6015</t>
  </si>
  <si>
    <t>Забезпечення надійної та безперебійної експлуатації ліфтів</t>
  </si>
  <si>
    <t>0443</t>
  </si>
  <si>
    <t>1217310</t>
  </si>
  <si>
    <t>7310</t>
  </si>
  <si>
    <r>
      <t>Будівництвоˈ об'єктів житлово-комунального господарства</t>
    </r>
    <r>
      <rPr>
        <sz val="36"/>
        <rFont val="Calibri"/>
        <family val="2"/>
        <charset val="204"/>
      </rPr>
      <t>ˈ</t>
    </r>
  </si>
  <si>
    <r>
      <t xml:space="preserve">1 </t>
    </r>
    <r>
      <rPr>
        <sz val="2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</si>
  <si>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1217670</t>
  </si>
  <si>
    <t>Здійснення  заходів із землеустрою</t>
  </si>
  <si>
    <t>3617130</t>
  </si>
  <si>
    <t>7130</t>
  </si>
  <si>
    <t>0421</t>
  </si>
  <si>
    <t>1617350</t>
  </si>
  <si>
    <t>7350</t>
  </si>
  <si>
    <t>Розроблення схем планування та забудови територій (містобудівної документації)</t>
  </si>
  <si>
    <t>2818311</t>
  </si>
  <si>
    <t>8311</t>
  </si>
  <si>
    <t>2818330</t>
  </si>
  <si>
    <t>8330</t>
  </si>
  <si>
    <t xml:space="preserve">Інша діяльність у сфері екології та охорони природних ресурсів </t>
  </si>
  <si>
    <t>Будівництвоˈ  освітніх установ та закладів</t>
  </si>
  <si>
    <t>1517321</t>
  </si>
  <si>
    <t>7321</t>
  </si>
  <si>
    <t>1517325</t>
  </si>
  <si>
    <t>7325</t>
  </si>
  <si>
    <t>Будівництвоˈ споруд, установ та закладів фізичної культури і спорту</t>
  </si>
  <si>
    <t>1517330</t>
  </si>
  <si>
    <t>7330</t>
  </si>
  <si>
    <t>Додаток  № 7</t>
  </si>
  <si>
    <t xml:space="preserve">до рішення № </t>
  </si>
  <si>
    <t xml:space="preserve">від    </t>
  </si>
  <si>
    <t>Перелік природоохоронних заходів,</t>
  </si>
  <si>
    <t>які будуть фінансуватися з міського фонду охорони</t>
  </si>
  <si>
    <t>№ п/п</t>
  </si>
  <si>
    <t>Код КПКВ</t>
  </si>
  <si>
    <t>Заходи, на які виділяються кошти</t>
  </si>
  <si>
    <t>ВСЬОГО</t>
  </si>
  <si>
    <t xml:space="preserve">С. Ямчук </t>
  </si>
  <si>
    <t>Будівництвоˈ об'єктів житлово-комунального господарства</t>
  </si>
  <si>
    <t>Реконструкція прв. Перемоги з улаштуванням виїзду на вул.Свободи</t>
  </si>
  <si>
    <t xml:space="preserve">Будівництво внутрішньоквартального проїзду від вул.Залізняка до будинку 16/2 по вул.Лісогринівецькій </t>
  </si>
  <si>
    <t>Розробка проектно-кошторисної документації на реконструкцію парку культури та відпочинку ім. М.Чекмана</t>
  </si>
  <si>
    <t>План зонування території міста Хмельницького (зонінг)</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</si>
  <si>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</si>
  <si>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земельної ділянки несільськогосподарського призначення</t>
  </si>
  <si>
    <r>
      <t xml:space="preserve">1 </t>
    </r>
    <r>
      <rPr>
        <sz val="1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</si>
  <si>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0217670</t>
  </si>
  <si>
    <t>%</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</si>
  <si>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</si>
  <si>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</si>
  <si>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</si>
  <si>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</si>
  <si>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Забезпечення діяльності інших закладів у сфері освіти</t>
  </si>
  <si>
    <t>0611161</t>
  </si>
  <si>
    <t>1161</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</si>
  <si>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</si>
  <si>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</si>
  <si>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</si>
  <si>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</si>
  <si>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</si>
  <si>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</si>
  <si>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Надання допомоги по догляду за особами з інвалідністю I чи II групи внаслідок психічного розладу</t>
  </si>
  <si>
    <t>Видатки на поховання учасників бойових дій та осіб з інвалідністю внаслідок війни</t>
  </si>
  <si>
    <t xml:space="preserve">Надання реабілітаційних послуг особам з інвалідністю та дітям з інвалідністю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</si>
  <si>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</si>
  <si>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0813171</t>
  </si>
  <si>
    <t>3171</t>
  </si>
  <si>
    <t>0813172</t>
  </si>
  <si>
    <t>3172</t>
  </si>
  <si>
    <t>0813192</t>
  </si>
  <si>
    <t>3192</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</si>
  <si>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</si>
  <si>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</si>
  <si>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</si>
  <si>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</si>
  <si>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</si>
  <si>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</si>
  <si>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</si>
  <si>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 xml:space="preserve">Забезпечення діяльності інших закладів в галузі культури і мистецтва </t>
  </si>
  <si>
    <t>1014081</t>
  </si>
  <si>
    <t>4081</t>
  </si>
  <si>
    <t>1014082</t>
  </si>
  <si>
    <t>4082</t>
  </si>
  <si>
    <t>Інші заходи в галузі культури і мистецтва</t>
  </si>
  <si>
    <t>Інші програми та заходи у сфері освіти</t>
  </si>
  <si>
    <t>0611162</t>
  </si>
  <si>
    <t>1162</t>
  </si>
  <si>
    <t>7691</t>
  </si>
  <si>
    <t>0217691</t>
  </si>
  <si>
    <t>Заходи із запобігання та ліквідації надзвичайних ситуацій та наслідків стихійного лиха</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</si>
  <si>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</si>
  <si>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</si>
  <si>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</si>
  <si>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</si>
  <si>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</si>
  <si>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Інші субвенції з місцевого  бюджету, в тому числі: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</si>
  <si>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</si>
  <si>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Дотації з місцевих бюджетів іншим місцевим бюджетам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</si>
  <si>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t>
  </si>
  <si>
    <t xml:space="preserve">  місцевого самоврядування і місцевими органами виконавчої влади</t>
  </si>
  <si>
    <t>Амбулаторно-поліклінічна допомога населенню, крім первинної медичної допомоги</t>
  </si>
  <si>
    <t>0726</t>
  </si>
  <si>
    <t>0813083</t>
  </si>
  <si>
    <t>3083</t>
  </si>
  <si>
    <t>Надання державної соціальної допомоги особам з інвалідністю з дитинства та дітям з інвалідністю</t>
  </si>
  <si>
    <t>0813081</t>
  </si>
  <si>
    <t>3081</t>
  </si>
  <si>
    <t>0813085</t>
  </si>
  <si>
    <t>3085</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</si>
  <si>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</si>
  <si>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</si>
  <si>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</si>
  <si>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</si>
  <si>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</si>
  <si>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</si>
  <si>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</si>
  <si>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3180</t>
  </si>
  <si>
    <t>0813180</t>
  </si>
  <si>
    <t>Надання фінансової підтримки громадським організаціям ветеранів і осіб з інвалідністю, діяльність яких має соціальну спрямованість</t>
  </si>
  <si>
    <t>Проведення навчально-тренувальних зборів і змагань та заходів зі спорту осіб з інвалідністю</t>
  </si>
  <si>
    <t>2717370</t>
  </si>
  <si>
    <t>7370</t>
  </si>
  <si>
    <t>Будівництво на кладовищі надгробків на могилах загиблих учасників АТО</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</si>
  <si>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</si>
  <si>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</si>
  <si>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</si>
  <si>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</si>
  <si>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</si>
  <si>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(головний розпорядник)</t>
  </si>
  <si>
    <t>Управління земельних ресурсів та земельної реформи департаменту архітектури, містобудування та земельних ресурсів (відповідальний розпорядник)</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</si>
  <si>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</si>
  <si>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</si>
  <si>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</si>
  <si>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</si>
  <si>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</si>
  <si>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Середньострокові зобов"язання </t>
  </si>
  <si>
    <t xml:space="preserve">Погашення </t>
  </si>
  <si>
    <t>Зовнішні зобов"язання</t>
  </si>
  <si>
    <t>0170</t>
  </si>
  <si>
    <t>Обслуговування місцевого боргу</t>
  </si>
  <si>
    <t>0712144</t>
  </si>
  <si>
    <t>2144</t>
  </si>
  <si>
    <t>Централізовані заходи з лікування хворих на цукровий та
нецукровий діабет</t>
  </si>
  <si>
    <t>Відшкодування вартості лікарських засобів для лікування
окремих захворювань</t>
  </si>
  <si>
    <t>2146</t>
  </si>
  <si>
    <t>0712146</t>
  </si>
  <si>
    <t>1118841</t>
  </si>
  <si>
    <t>1118842</t>
  </si>
  <si>
    <t>8841</t>
  </si>
  <si>
    <t>8842</t>
  </si>
  <si>
    <t>9770</t>
  </si>
  <si>
    <t>Інші субвенції з місцевого бюджету</t>
  </si>
  <si>
    <t xml:space="preserve">Виготовлення проектно-кошторисної документації на будівництво багаторівневого паркінгу з вбудованими громадськими приміщеннями на вул. Проскурівського підпілля, 34 в м.Хмельницькому </t>
  </si>
  <si>
    <t>Програма створення та розвитку індустріального парку "Хмельницький"</t>
  </si>
  <si>
    <t>Програма підтримки книговидання місцевих авторів та популяризації української книги у м.Хмельницькому на 2018-2020 роки "Читай українською"</t>
  </si>
  <si>
    <t>6082</t>
  </si>
  <si>
    <t>Придбання житла для окремих категорій населення відповідно до законодавства</t>
  </si>
  <si>
    <t>0816082</t>
  </si>
  <si>
    <t>Створення цифрових інженерно-топографічних планів масштабу 1:2000 з цифровою точністю 1:500 та створення 3D будівель міста</t>
  </si>
  <si>
    <t>3617650</t>
  </si>
  <si>
    <t>7650</t>
  </si>
  <si>
    <t>Проведення експертної грошової оцінки земельної ділянки чи права на неї</t>
  </si>
  <si>
    <t>Проведення аерофототопографічної зйомки території міста Хмельницького</t>
  </si>
  <si>
    <t>Заходи з озеленення міста</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</si>
  <si>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</si>
  <si>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</si>
  <si>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</si>
  <si>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Будівництво дошкільного навчального закладу на 120 місць по провулку Шостаковича, 28-А в м. Хмельницькому</t>
  </si>
  <si>
    <t>Реконструкція приміщень НВО №1 по вул. Старокостянтинівське шосе, 3Б в м. Хмельницькому (в тому числі коригування проектно-кошторисної документації)</t>
  </si>
  <si>
    <t xml:space="preserve">Будівництво Палацу спорту по вул.Прибузькій, 5/1А в м.Хмельницькому, в т.ч. виготовлення проектно-кошторисної документації </t>
  </si>
  <si>
    <t>Будівництво магістральної дороги на вул. Січових стрільців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</si>
  <si>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</si>
  <si>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Внески до статутного капіталу ХКП "Спецкомунтранс" (придбання контейнерів)</t>
  </si>
  <si>
    <t>Будівництво свердловини для господарсько-питного водопостачання ПНЗ ДЮОК "Чайка"</t>
  </si>
  <si>
    <t>Будівництво навчально-виховного комплексу на вул. Залізняка, 32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</si>
  <si>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м.Хмельницькому</t>
  </si>
  <si>
    <t>Виготовлення проектно-кошторисної документації  на будівництво переходу через залізницю в продовження Старокостянтинівського шосе в м.Хмельницькому</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</si>
  <si>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</si>
  <si>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Виготовлення проектно-кошторисної документації на будівництво  вулиці від вулиці Степана Бандери до вулиці Західно-Окружної в м. Хмельницькому</t>
  </si>
  <si>
    <t>Виготовлення проектно-кошторисної документації на будівництво вулиці  Лісогринівецької (від вул. С.Бандери до Старокостянтинівського шосе) в м. Хмельницькому</t>
  </si>
  <si>
    <t>Організація та проведення громадських робіт</t>
  </si>
  <si>
    <t>3210</t>
  </si>
  <si>
    <t>1050</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</si>
  <si>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</si>
  <si>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</si>
  <si>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 xml:space="preserve">Реконструкція з добудовою їдальні до існуючого приміщення спеціалізованої загальноосвітньої школи І-ІІІ ступенів №8 по вул. Я.Гальчевського, 34 в м.Хмельницькому </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</si>
  <si>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</si>
  <si>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</si>
  <si>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1119770</t>
  </si>
  <si>
    <t xml:space="preserve"> Реконструкція з добудовою приміщень Хмельницького ліцею №17 під спортивну залу на вул.Героїв Майдану, 5 в м.Хмельницькому (в т.ч. виготовлення проектно-кошторисної документації)</t>
  </si>
  <si>
    <t>1216012</t>
  </si>
  <si>
    <t>6012</t>
  </si>
  <si>
    <t>Забезпечення діяльності з виробництва, транспортування, постачання теплової енергії</t>
  </si>
  <si>
    <t>Доходи  бюджету м. Хмельницького на 2019 рік</t>
  </si>
  <si>
    <t>на 2019 рік</t>
  </si>
  <si>
    <t>Залишок коштів на 01.01.2019 року</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</si>
  <si>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</si>
  <si>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</si>
  <si>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</si>
  <si>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</si>
  <si>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</si>
  <si>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</si>
  <si>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</si>
  <si>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</si>
  <si>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 xml:space="preserve">Фінансування бюджету міста Хмельницького на 2019 рік </t>
  </si>
  <si>
    <t>видатків бюджету міста Хмельницького на 2019 рік</t>
  </si>
  <si>
    <t>(грн.)</t>
  </si>
  <si>
    <t>С.Ямчук</t>
  </si>
  <si>
    <t xml:space="preserve">                      Начальник фінансового управління                                                 </t>
  </si>
  <si>
    <t>Код Типової програмної класифікації видатків та кредитування місцевих бюджетів</t>
  </si>
  <si>
    <t>Найменування головного розпорядника коштів бюджету міста Хмельницького /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</si>
  <si>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Кредитування бюджету міста Хмельницького у 2019 році</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</si>
  <si>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</si>
  <si>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</si>
  <si>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</si>
  <si>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</si>
  <si>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</si>
  <si>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</si>
  <si>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Розподіл коштів бюджету розвитку за об'єктами у 2019 році</t>
  </si>
  <si>
    <t>5</t>
  </si>
  <si>
    <t>6</t>
  </si>
  <si>
    <t>7</t>
  </si>
  <si>
    <t>8</t>
  </si>
  <si>
    <t>9</t>
  </si>
  <si>
    <t>10</t>
  </si>
  <si>
    <t>11</t>
  </si>
  <si>
    <t>12</t>
  </si>
  <si>
    <t>13</t>
  </si>
  <si>
    <t>14</t>
  </si>
  <si>
    <t>15</t>
  </si>
  <si>
    <t>16</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</si>
  <si>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</si>
  <si>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</si>
  <si>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 гривень</t>
  </si>
  <si>
    <t>Обсяг видатків бюджету розвитку, гривень</t>
  </si>
  <si>
    <t>Рівень будівельної готовності об'єкта на кінець бюджетного періоду, %</t>
  </si>
  <si>
    <t>навколишнього природного середовища у 2019 році</t>
  </si>
  <si>
    <t>Розподіл витрат бюджету міста Хмельницького на реалізацію місцевих/регіональних програм у 2019 році</t>
  </si>
  <si>
    <t>(грн)</t>
  </si>
  <si>
    <t>Сума, грн</t>
  </si>
  <si>
    <t>Найменування місцевої/регіональної програми</t>
  </si>
  <si>
    <t>Додаток №8</t>
  </si>
  <si>
    <t>Дата та номер документа, яким затверджено місцеву/регіональну програму</t>
  </si>
  <si>
    <t>Виготовлення проектно-кошторисної документації на будівництво міжквартального проїзду між вулицями Зарічанською та Прибузькою (повз стадіону Політехнічного коледжу) у м.Хмельницькому</t>
  </si>
  <si>
    <t>Наукові дослідження, проектні та проектно-конструкторські розроблення (виготовлення проекту на установлення обладнання для очищення газопилового потоку від забруднюючих речовин, що викидається в атмосферне повітря)</t>
  </si>
  <si>
    <t>Заходи щодо відновлення і підтримання сприятливого гідрологічного режиму та санітарного стану водойм міста - капітальний ремонт гідроспоруди на річці Південний Буг в районі вул.Трудової з розробкою проектно-кошторисної документації</t>
  </si>
  <si>
    <t>Придбання систем, приладів для здійснення контролю за якістю поверхневих та підземних вод на території міста (придбання муфельної печі ФНОЛ7.2/1100 для лабораторних досліджень питної води)</t>
  </si>
  <si>
    <t>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тощо</t>
  </si>
  <si>
    <t>Розроблення проекту землеустрою щодо встановлення меж міста Хмельницького</t>
  </si>
  <si>
    <t xml:space="preserve">Створення цифрових інженерно-топографічних планів масштабу 1:2000 з цифровою точністю 1:500 території міста Хмельницький та створення 3D моделей будівель міста </t>
  </si>
  <si>
    <t>2017 - 2020 роки</t>
  </si>
  <si>
    <t>Рішення 6-ї сесії Хмельницької міської ради від 18.05.2016 року №16</t>
  </si>
  <si>
    <t xml:space="preserve">Програма
підтримки обдарованих дітей м.Хмельницького 
</t>
  </si>
  <si>
    <t>Рішення 19-ї сесії Хмельницької міської ради від 21.02.2001 року №6</t>
  </si>
  <si>
    <t>Будівництво пандусу на території стадіону Рекреаційного центру "Берег надії" за адресою вул. Підлісна 4/1, с. Головчинці Летичівського району Хмельницької області (в т.ч. виготовлення ПКД)</t>
  </si>
  <si>
    <t>0817323</t>
  </si>
  <si>
    <t>7323</t>
  </si>
  <si>
    <t>Будівництвоˈ установ та закладів соціальної сфери</t>
  </si>
  <si>
    <t>Будівництво приміщення відділення тимчасового цілодобового перебування Хмельницького міського територіального центру соціального обслуговування (надання соціальних послуг) по вул. Перемоги, 7-А в м.Хмельницькому</t>
  </si>
  <si>
    <t>Рішення 11-ї сесії Хмельницької міської ради від 25.01.2017 року №20</t>
  </si>
  <si>
    <t>Рішення 20-ї сесії Хмельницької міської ради від 31.01.2018 року №82</t>
  </si>
  <si>
    <t>Рішення позачергової 10-ї сесії Хмельницької міської ради від 29.12.2016 року №1</t>
  </si>
  <si>
    <t>Внески до статутного капіталу комунального підприємства по будівництву, ремонту та експлуатації доріг (Придбання вакуумногодорожньо-прибирального причіпу)</t>
  </si>
  <si>
    <t>Внески до статутного капіталу МКП "Хмельницькводоканал" (на виготовлення проектно-кошторисної документації з будівництва сучасних каналізаційних очисних споруд господарсько-побутових стоків м. Хмельницький, вул. Вінницьке шосе, 135)</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</si>
  <si>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</si>
  <si>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</si>
  <si>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19-ї сесії Хмельницької міської ради від 27.12.2017 року №25</t>
  </si>
  <si>
    <t>Будівництво мережі каналізації ЗОШ №19 м.р. Ружична м.Хмельницький</t>
  </si>
  <si>
    <t>Рішення позачергової 10-ї сесії Хмельницької міської ради від 29.12.2016 року №2</t>
  </si>
  <si>
    <t>1217413</t>
  </si>
  <si>
    <t>7413</t>
  </si>
  <si>
    <t>0451</t>
  </si>
  <si>
    <t>Інші заходи у сфері автотранспорту</t>
  </si>
  <si>
    <t>0810160</t>
  </si>
  <si>
    <t>0710160</t>
  </si>
  <si>
    <t>Програма утримання та розвитку житлово-комунального господарства та благоустрою м.Хмельницького на 2017-2020 роки</t>
  </si>
  <si>
    <t>Програма співфінансування робіт з капітального ремонту багатоквартирних житлових будинків міста Хмельницького на 2017-2022 роки</t>
  </si>
  <si>
    <t>Програма розвитку міського електротранспорту м. Хмельницького на 2016-2020 роки</t>
  </si>
  <si>
    <t>Програма утримання та розвитку житлово-комунального господарства та благоустрою м.Хмельницького на 2017-2020 роки                      Програма сприяння впровадження відновлювальних джерел енергії власниками приватних житлових будинків м. Хмельницького на 2018-2029 роки</t>
  </si>
  <si>
    <t>Рішення позачергової 10-ї сесії Хмельницької міської ради від 29.12.2016 року № 6</t>
  </si>
  <si>
    <t>Рішення шістнадцятої сесії Хмельницької міської ради від 12.07.2017 року № 6</t>
  </si>
  <si>
    <t>Програми часткового відшкодування відсоткових ставок за залученими кредитами, що надаються фізичним особам, об’єднанням співвласників багатоквартирних будинків та житлово-будівельним кооперативам на заходи з підвищення енергоефективності на 2018-2021 роки</t>
  </si>
  <si>
    <t>Рішення 6-ї сесії Хмельницької міської ради від 18.05.2016 року № 37</t>
  </si>
  <si>
    <t>Рішення 19-ї сесії Хмельницької міської ради від 27.12.2017 р. № 40</t>
  </si>
  <si>
    <t>Програма відшкодування частини кредитів, отриманих ОСБб, ЖБК на впровадження відновлювальних джерел енергії та заходів з енергозбереження, термомодернізації багатоквартирних житлових будинків у м. Хмельницькому на 2018-2022 роки</t>
  </si>
  <si>
    <t>Рішення 4-ї сесії Хмельницької міськї ради від 27.01.2016 року №57</t>
  </si>
  <si>
    <t>1510160</t>
  </si>
  <si>
    <t>3610160</t>
  </si>
  <si>
    <t>1610160</t>
  </si>
  <si>
    <t>3710160</t>
  </si>
  <si>
    <t>1210160</t>
  </si>
  <si>
    <t>2810160</t>
  </si>
  <si>
    <t>Рішення 48-ї сесії Хмельницької міської ради від 04.03.2015 року №80</t>
  </si>
  <si>
    <t>Програма впровадження електронного урядування у Хмельницькій  міській раді на 2015-2020 роки (із змінами і доповненнями)</t>
  </si>
  <si>
    <t>Рішення 19-ї сесії Хмельницької міської ради від 27.12.2017 року №48</t>
  </si>
  <si>
    <t>Програма розвитку міського комунального підприємства "Муніципальна телерадіокомпанія "Місто"" на 2017-2020 роки (із змінами і доповненнями)</t>
  </si>
  <si>
    <t>0817691</t>
  </si>
  <si>
    <t>1217691</t>
  </si>
  <si>
    <t>Рішення 8-ї сесії Хмельницької міської ради від 21.09.2016 року №3</t>
  </si>
  <si>
    <t>Програма бюджетування за участі громадськості (Бюджет участі) міста Хмельницького на 2017-2019 роки (із змінами і доповненнями)</t>
  </si>
  <si>
    <t>Рішення 21-ї сесії Хмельницької міської ради від 11.04.2018 року №11</t>
  </si>
  <si>
    <t>Програма міжнародного співробітництва та промоції міста Хмельницького на 2016-2020 роки (із змінами і доповненнями)</t>
  </si>
  <si>
    <t>Рішення 7-ї сесії Хмельницької міської ради від 20.07.2016 року №76</t>
  </si>
  <si>
    <t>Внески до статутного капіталу ХКП "Спецкомунтранс" (придбання обладнання)</t>
  </si>
  <si>
    <t>Програма розвитку освіти міста Хмельницького на 2017-2021 роки (із змінами і доповненнями)</t>
  </si>
  <si>
    <t>Комплексна програма «Піклування» в м.Хмельницькому на 2017 - 2021 роки (із змінами і доповненнями)</t>
  </si>
  <si>
    <t>Програма охорони довкілля міста Хмельницького на 2016-2020 роки</t>
  </si>
  <si>
    <t>Рішення 5-ї сесії Хмельницької міської ради від 16.0.2016 року №31  (із змінами і доповненнями)</t>
  </si>
  <si>
    <t>у тому числі  бюджет розвитку</t>
  </si>
  <si>
    <t xml:space="preserve">Усього доходів </t>
  </si>
  <si>
    <t>Офіційні трансферти</t>
  </si>
  <si>
    <t xml:space="preserve">Внески до статутного капіталу МКП "Хмельницькводоканал" (на виготовлення проектно-кошторисної документації з реконструкції ГКНС з переоснащенням системи вентиляції, опалення, будівельних конструкцій і комунікацій </t>
  </si>
  <si>
    <t>Внески до статутного капіталу МКП "Хмельницькводоканал" (на виготовлення проектно-кошторисної документації на будівництво мереж каналізації від прв. Гавришка, 29/1 до вул. Вигодовського, 41 м-н Ружична м. Хмельницький</t>
  </si>
  <si>
    <t>План зонування території міста Хмельницький (зонінг)</t>
  </si>
  <si>
    <t>2019 рік</t>
  </si>
  <si>
    <t>Додаток 9 до рішення  </t>
  </si>
  <si>
    <t>ПЕРЕЛІК </t>
  </si>
  <si>
    <t>кредитів (позик), що залучаються Хмельницькою міською радою до спеціального фонду місцевого бюджету у 2019 році від міжнародних фінансових організацій для реалізації інвестиційних проектів</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</si>
  <si>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</si>
  <si>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</si>
  <si>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</si>
  <si>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</si>
  <si>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кредитора</t>
  </si>
  <si>
    <t>Найменування інвестиційного проекту, що реалізується за рахунок кредиту (позики)</t>
  </si>
  <si>
    <t>Номер та дата договору</t>
  </si>
  <si>
    <t>Термін кредитування</t>
  </si>
  <si>
    <t>Загальний обсяг кредиту (позики)</t>
  </si>
  <si>
    <t>Обсяг залучення кредиту (позики) у плановому році, тис. гривень</t>
  </si>
  <si>
    <t>назва валюти, в якій залучається кредит (позика) </t>
  </si>
  <si>
    <t>загальний обсяг кредиту (позики), тис. одиниць </t>
  </si>
  <si>
    <t>загальний обсяг залучення кредиту (позики), тис. гривень </t>
  </si>
  <si>
    <t>Департамент освіти та науки ХМР</t>
  </si>
  <si>
    <t xml:space="preserve">НЕФКО </t>
  </si>
  <si>
    <t>Підвищення енергетичної ефективності закладів бюджетної сфери міста Хмельницького</t>
  </si>
  <si>
    <t xml:space="preserve"> № ESC 2/16 27.12.2016 р.</t>
  </si>
  <si>
    <t>5 років</t>
  </si>
  <si>
    <t>гривня</t>
  </si>
  <si>
    <t>×</t>
  </si>
  <si>
    <t xml:space="preserve">Субвенція з місцевого бюджету на здійснення переданих видатків у сфері охорони здоров"я за рахунок коштів медичної субвенції </t>
  </si>
  <si>
    <t xml:space="preserve">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t>
  </si>
  <si>
    <t>0813210</t>
  </si>
  <si>
    <t>2006 - 2020 роки</t>
  </si>
  <si>
    <t>2018 - 2019 роки</t>
  </si>
  <si>
    <t>2016 - 2019 роки</t>
  </si>
  <si>
    <t>2012 - 2019 роки</t>
  </si>
  <si>
    <t>2018 - 2020 роки</t>
  </si>
  <si>
    <t>2015 - 2019 роки</t>
  </si>
  <si>
    <t>2013 - 2020 роки</t>
  </si>
  <si>
    <t>Будівництво пандусу для забезпечення доступності до території стадіону та ігрових майданчиків Рекреаційного центру "Берег надії" за адресою вул. Підлісна 4/1, с. Головчинці Летичівського району Хмельницької області (в т.ч. виготовлення ПКД)</t>
  </si>
  <si>
    <t>Будівництво спортивного майданчика для міні-футболу зі штучним покриттям на території Хмельницької спеціалізованої загальноосвітньої школи № 19 І-ІІІ ступенів імені академіка Михайла Павловського по вул. Кам’янецька, 164 у м. Хмельницькому</t>
  </si>
  <si>
    <t xml:space="preserve">   - на  забезпечення медикаментами відділень Хмельницької міської дитячої лікарні </t>
  </si>
  <si>
    <t xml:space="preserve">Субвенція з місцевого бюджету на здійснення переданих видатків у сфері освіти за рахунок коштів  освітньої субвенції ( на оплату праці з нарахуваннями педагогічних працівників інклюзивно-ресурсних центрів) </t>
  </si>
  <si>
    <t xml:space="preserve">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(підтримка осіб з особливими освітніми потребами) </t>
  </si>
  <si>
    <t>Попередження виникнення надзвичайних ситуацій та забезпечення  пожежної і техногенної безпеки об"єктів усіх форм власності,розвитку інфраструктури пожежно-рятувальних підрозділів у м.Хмельницькому на 2016-2020 роки</t>
  </si>
  <si>
    <t xml:space="preserve">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t>
  </si>
  <si>
    <t>підтримка малих групових будинків</t>
  </si>
  <si>
    <t>Будівництво 1 інших об'єктів комунальної власності</t>
  </si>
  <si>
    <t>Надання довгострокових кредитів громадянам на будівництво/реконструкцію/придбання житла</t>
  </si>
  <si>
    <t>Повернення довгострокових кредитів, наданих громадянам на будівництво/реконструкцію/придбання житла</t>
  </si>
  <si>
    <t>Програма зайнятості населення м. Хмельницького на 2018 - 2020 роки</t>
  </si>
  <si>
    <t>Рішення 22-ї сесії Хмельницької міської ради від 04.0.2018 року №5</t>
  </si>
  <si>
    <t>Програма економічного та соціального розвитку міста Хмельницького на 2019 рік</t>
  </si>
  <si>
    <t>Рішення 27-ї сесії Хмельницької міської ради від 14.12.2018 року №14</t>
  </si>
  <si>
    <t>Рішення позачергової 10-ї сесії Хмельницької міської ради від 29.12.2016 року № 6                    Рішення 20-ї сесії Хмельницької міської ради від 31.01.2018 р. № 19</t>
  </si>
  <si>
    <t>Рішення позачергової 10-ї сесії Хмельницької міської ради від 29.12.2016 року № 6                     Рішення 19-ї сесії Хмельницької міської ради від 27.12.2017 р. № 39</t>
  </si>
  <si>
    <t xml:space="preserve">Програма розвитку підприємництва міста Хмельницького на 2019-2021 роки </t>
  </si>
  <si>
    <t>Рішення 27-ї сесії Хмельницької міської ради від 14.12.2018 року №16</t>
  </si>
  <si>
    <t>Програма фінансової підтримки комунальної установи Хмельницької міської ради "Агенція розвитку Хмельницького" на 2019-2021 роки</t>
  </si>
  <si>
    <t>Рішення 27-ї сесії Хмельницької міської ради від 14.12.2018 року №13</t>
  </si>
  <si>
    <t xml:space="preserve">Субвенція з державного бюджету місцевим бюджетам на здійснення заходів щодо соціально-економічного розвитку окремих територій </t>
  </si>
  <si>
    <t>Субвенція з місцевого бюджету за рахунок залишку коштів медичної субвенції, що утворився на початок бюджетного періоду</t>
  </si>
  <si>
    <t>Заходи щодо відновлення і підтримання сприятливого гідрологічного режиму та санітарного стану водойм міста: розроблення проектно-кошторисної документації "Капітальний ремонт, розчистка річки Південний Буг та водовідвідних каналів від вул. Трудової до Східної об‘їзної" з проходженням експертних процедур (ОВД, експертиза проекту тощо)</t>
  </si>
  <si>
    <t>Заходи щодо відновлення і підтримання сприятливого гідрологічного режиму та санітарного стану водойм міста: "Біологічна меліорація (зариблення водойм) в межах міста Хмельницького"</t>
  </si>
  <si>
    <t>2818320</t>
  </si>
  <si>
    <t>8320</t>
  </si>
  <si>
    <t>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Витрати на резервування територій для заповідання</t>
  </si>
  <si>
    <t>0611170</t>
  </si>
  <si>
    <t>1170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</si>
  <si>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</si>
  <si>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</si>
  <si>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</si>
  <si>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</si>
  <si>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Будівництво спортивного майданчика зі штучним покриттям НВК-4 по вул.Перемоги 3/1 в м.Хмельницькому, Хмельницької області</t>
  </si>
  <si>
    <t>1510180</t>
  </si>
  <si>
    <t>2019 - 2020 роки</t>
  </si>
  <si>
    <t>ПОТРІБНО ВНЕСТИ ЗМІНИ ПО ЗАГАЛЬНОМУ ФОНДУ</t>
  </si>
  <si>
    <t>1210180</t>
  </si>
  <si>
    <t>Стара назва: Спортивний майданчик на території СЗОШ І-ІІІ ступенів №6 по провулку Володимирський, 12,  м.Хмельницький - будівництво</t>
  </si>
  <si>
    <t>1515043</t>
  </si>
  <si>
    <t>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t>
  </si>
  <si>
    <t>5043</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</si>
  <si>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</si>
  <si>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 xml:space="preserve">   Будівництво Льодового палацу  по вул.Прибузькій, 7/3А в м.Хмельницькому, в т.ч. виготовлення проектно-кошторисної документації</t>
  </si>
  <si>
    <t>Будівництво спеціалізованого залу боксу на території спортивного комплексу "Поділля" ДЮСШ №1 по вул.Проскурівській, 81  в м.Хмельницькому</t>
  </si>
  <si>
    <t>Будівництво підпірної стінки біля 130-ти квартирного житлового  будинку по вул.Лісогринівецькій,16 в м.Хмельницькому</t>
  </si>
  <si>
    <t>Будівництвоˈ інших об'єктів комунальної власності</t>
  </si>
  <si>
    <t>Збереження природно-заповідного фонду</t>
  </si>
  <si>
    <t>0520</t>
  </si>
  <si>
    <t xml:space="preserve">Будівництво парку "Молодіжний" на вул. С. Бандери в м. Хмельницькому </t>
  </si>
  <si>
    <t>Внески до статутного капіталу ХКП "Спецкомунтранс" (виготовлення проектної документації на реконструкцію полігону твердих побутових відходів з метою запобігання виникнення надзвичайної екологічної ситуації за адресою м. Хмельницький вул. Проспект Миру, 7)</t>
  </si>
  <si>
    <t>Будівництво спортивного майданчика з штучним покриттям по пров. Володимирському, 12 в м. Хмельницькому</t>
  </si>
  <si>
    <t>Внески до статутного капіталу ХКП "Спецкомунтранс" (придбання земельної ділянки)</t>
  </si>
  <si>
    <t>Внески до статутного капіталу МКП "Хмельницькводоканал" (будівництво вуличних мереж водопостачання житлових будинків по пров. Старицького в м. Хмельницький)</t>
  </si>
  <si>
    <t>Внески до статутного капіталу МКП "Хмельницькводоканал" (будівництво вуличних мереж водопостачання житлових будинків по вул. Антона Шашкевича в м. Хмельницькій)</t>
  </si>
  <si>
    <t>Внески до статутного капіталу ХМКП "Муніципальна дружина" (Придбання нагрудних відеореєстраторів)</t>
  </si>
  <si>
    <t>Внески до статутного капіталу ХМКП "Муніципальна дружина" (Придбання автомобіля)</t>
  </si>
  <si>
    <t>Внески до статутного капіталу КП "Південно-Західні тепломережі" (Будівництво теплової мережі від ТК-111 до ТК - 114 по вул.Львівське шосе в м.Хмельницькому)</t>
  </si>
  <si>
    <t>Внески до статутного капіталу Міського комунального підприємства по утриманню нежитлових приміщень (капітальний ремонт приміщень міського військового комісаріату (Хмельницького міського територіального центру комплектації та соціальної підтримки) по вул. Проскурівській, 35 в м. Хмельницькому)</t>
  </si>
  <si>
    <t>1017670</t>
  </si>
  <si>
    <t>Реконструкція існуючої системи опалення Хмельницької ДМШ №3 по вул.Кармелюка, 8/1</t>
  </si>
  <si>
    <t>1217370</t>
  </si>
  <si>
    <t>Внески до статутного капіталу МКП "Хмельницькводоканал" (будівництво вуличних мереж водовідведення по вул.О.Кошового та Черняховського у м.Хмельницький)</t>
  </si>
  <si>
    <t>Внески до статутного капіталу МКП "Хмельницькводоканал" (будівництво вуличних мереж водовідведення напірних каналізаційних колекторів, каналізаційно- насосної станції, електропостачання КНС, мікрорайон Дубове у м.Хмельницький)</t>
  </si>
  <si>
    <t>Внески до статутного капіталу МКП "Хмельницькводоканал" (будівництво вуличних мереж водопостачання, мікрорайон Лезневе у м.Хмельницький)</t>
  </si>
  <si>
    <t xml:space="preserve">Управління з питань екології та контролю за благоустроєм міста Хмельницької міської ради (головний розпорядник) </t>
  </si>
  <si>
    <t xml:space="preserve">Управління з питань екології та контролю за благоустроєм міста Хмельницької міської ради (відповідальний виконавець) </t>
  </si>
  <si>
    <t>Управління архітектури та містобудування Департаменту архітектури, містобудування та земельних ресурсів Хмельницької міської ради (головний розпорядник)</t>
  </si>
  <si>
    <t>Управління архітектури та містобудування Департаменту архітектури, містобудування та земельних ресурсів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</si>
  <si>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Хмельницької міської ради (головний розпорядник)</t>
  </si>
  <si>
    <t>Управління земельних ресурсів та земельної реформи Департаменту архітектури, містобудування та земельних ресурсів Хмельницької міської ради (відповідальний розпорядник)</t>
  </si>
  <si>
    <t>0219770</t>
  </si>
  <si>
    <t>Субвенція з місцевого бюджету державному бюджету на виконання програм соціально-економічного розвитку регіонів</t>
  </si>
  <si>
    <t>0219800</t>
  </si>
  <si>
    <t>9800</t>
  </si>
  <si>
    <t>Будівництво мереж водопостачання вул.Молодіжної села Кошелівка Красилівського району Хмельницької області</t>
  </si>
  <si>
    <t>ПОТРІБНО ВНЕСТИ ЗМІНИ</t>
  </si>
  <si>
    <t>Програма висвітлення діяльності Хмельницької міської ради та її виконавчих органів на 2019 рік</t>
  </si>
  <si>
    <t>Рішення 29-ї сесії Хмельницької міської ради від 13.02.2019 року №103</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</si>
  <si>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t>
  </si>
  <si>
    <t>Рішення 20-ї сесії Хмельницької міської ради від 31.01.2018 року №2</t>
  </si>
  <si>
    <t>Програма
шефської допомоги військовим частинам Збройних Сил України, Національної гвардії України, які розташовані на території м. Хмельницького на 2018 - 2019 роки  (із змінами і доповненнями)</t>
  </si>
  <si>
    <t>Внески до статутного капіталу ХКП "Спецкомунтранс" (проектні роботи з оцінки впливу на довкілля (ОВНС) "Реконструкція полігону твердих побутових відходів з метою запобігання виникнення надзвичайної екологічної ситуації за адресою м. Хмельницький, вул. Проспект Миру, 7"</t>
  </si>
  <si>
    <t>Внески до статутного капіталу ХКП "Спецкомунтранс" (виготовлення містобудівного розрахунку по об`єкту: "Реконструкція полігону твердих побутових відходів за адресою м. Хмельницький, вул. Проспект Миру, 7")</t>
  </si>
  <si>
    <t>Рішення 6-ї сесії Хмельницької міської ради від 18.05.2016 року №3</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</si>
  <si>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2016 - 2020 роки (із змінами і доповненнями)</t>
  </si>
  <si>
    <t>Рішення 15-ї сесії Хмельницької міської ради від 31.05.2017 року №6</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</si>
  <si>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2017 - 2020 роки (із змінами і доповненнями)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</si>
  <si>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 Хмельницькому на 2016 - 2020 роки (із змінами і доповненнями)</t>
  </si>
  <si>
    <t>Рішення 4-ї сесії Хмельницької міської ради від 27.01.2016 року №57</t>
  </si>
  <si>
    <t>Рішення 9-ї сесії Хмельницької міської ради від 26.10.2016 року №4</t>
  </si>
  <si>
    <t>Програма
військово-патріотичного виховання мешканців міста Хмельницького на 2016 - 2020 роки (із змінами і доповненнями)</t>
  </si>
  <si>
    <t>Комплексна програма мобілізації зусиль Хмельницької міської ради, її виконавчих органів та комунальних підприємств і Управління Державної міграційної служби України в Хмельницькій області по забезпеченню реалізації державної політики в сфері громадянства,</t>
  </si>
  <si>
    <t>Рішення 50-ї сесії Хмельницької міської ради від 27.05.2015 року №58</t>
  </si>
  <si>
    <t xml:space="preserve"> реєстрації фізичних осіб на 2015 - 2019 роки (із змінами і доповненнями)</t>
  </si>
  <si>
    <t>0717670</t>
  </si>
  <si>
    <t>Внески до статутного капіталу МКП "Хмельницькводоканал" (розроблення ПКД на будівництво мережі каналізації від вул. Польова, 51 по пров. Ентузіастів до вул. Івана Павла ІІ, 5, м-р. Гречани м. Хмельницький)</t>
  </si>
  <si>
    <t>0719770</t>
  </si>
  <si>
    <t>Реконструкція покрівлі з влаштуванням шатрового даху корпусу №2 Хмельницької міської лікарні по пров. Проскурівський, 1 в м. Хмельницькому (в тому числі виготовлення проектно-кошторисної документації)</t>
  </si>
  <si>
    <t>Будівництво дизельної електростанції (ДЕС) для резервного електропостачання відділення амбулаторного гемодіалізу Хмельницької міської лікарні по пров.Проскурівському, 1 в м.Хмельницькому (в тому числі виготовлення проектно-кошторисної документації)</t>
  </si>
  <si>
    <t>Протиаварійні роботи підвального приміщення адміністративної будівлі управління охорони здоров"я ХМР по вул. Грушевського, 64 м. Хмельницького (ремонтно-реставраційні роботи)</t>
  </si>
  <si>
    <t>Програма «Здоров’я хмельничан» на 2017-2021 роки (із змінами і доповненнями)</t>
  </si>
  <si>
    <t>0813086</t>
  </si>
  <si>
    <t>3086</t>
  </si>
  <si>
    <t>Надання допомоги на дітей, хворих на тяжкі перинатальні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t>
  </si>
  <si>
    <t>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</si>
  <si>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Рішення 6-ї сесії Хмельницької міської ради від 18.05.2016 року №7</t>
  </si>
  <si>
    <t>Програма 
"Громадські ініціативи" м.Хмельницького на 2016 - 2020 роки (із змінами і доповненнями)</t>
  </si>
  <si>
    <t>1115052</t>
  </si>
  <si>
    <t>5052</t>
  </si>
  <si>
    <t>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t>
  </si>
  <si>
    <t>1117670</t>
  </si>
  <si>
    <t>Завершення будівництва нежитлового приміщення з влаштуванням зовнішніх мереж та футбольного і тренажерного майданчиків на водно-спортивній станції по вул.Нижній Береговій, 2/1 в м.Хмельницькому</t>
  </si>
  <si>
    <t>2018 - 2022 роки</t>
  </si>
  <si>
    <t xml:space="preserve">Субвенція з державного бюджету місцевим бюджетам на надання державної підтримки особам з особливими освітніми потребами  </t>
  </si>
  <si>
    <t>Внески до статутного капіталу ХКП "Спецкомунтранс" (реконструкція туалету загального користування по вул. Проскурівській, 40-Б в м. Хмельницькому)</t>
  </si>
  <si>
    <t xml:space="preserve">Субвенція з місцевого бюджету на забезпечення якісної, сучасної та доступної загальної середньої освіти "Нова українська школа" </t>
  </si>
  <si>
    <t>Внески до статутного капіталу Міського комунального підприємства по утриманню нежитлових приміщень (капітальний ремонт приміщень першого поверху по вул. Кам'янецькій, 47 в м. Хмельницькому)</t>
  </si>
  <si>
    <t>Проведення проектно-вишукувальних робіт для "Реконструкції  спортивного майданчика біля житлового будинку по вул. Прибузькій, 36 в м.Хмельницькому"</t>
  </si>
  <si>
    <t>0813049</t>
  </si>
  <si>
    <t>Відшкодування послуги з догляду за дитиною до трьох років "муніципальна няня"</t>
  </si>
  <si>
    <t>3049</t>
  </si>
  <si>
    <t>2719770</t>
  </si>
  <si>
    <t>Реконструкція приміщень відділення хірургії та неврології КП "Хмельницька міська дитяча лікарня Хмельницької міської ради" за адресою: м.Хмельницький, вул.С.Разіна,1 (в тому числі виготовлення проектно-кошторисної документації)</t>
  </si>
  <si>
    <t xml:space="preserve">до рішення  №        від         2019 року </t>
  </si>
  <si>
    <t xml:space="preserve">Додаток № 5
до рішення №              від                 2019 року
</t>
  </si>
  <si>
    <t>Робочий проект на реконструкцію приміщень КП "Хмельницька міська дитяча лікарня Хмельницької міської ради" під відділення невідкладної допомоги та реанімації за адресою: м.Хмельницький, вул. С.Разіна,1</t>
  </si>
  <si>
    <t>Внески до статутного капіталу СКП "Хмельницька міська ритуальна служба" (капітальний ремонт приміщення адміністративної будівлі по вул.Львівському шосе №61/2а)</t>
  </si>
  <si>
    <t>Внески до статутного капіталу Міського комунального підприємства по утриманню нежитлових приміщень (капітальний ремонт приміщень міського військового комісаріату по вул. Проскурівській, 35 (штаб в/ч А7179, батальйон ТРО) в м. Хмельницькому)</t>
  </si>
  <si>
    <t>Внески до статутного капіталу МКП "Хмельницьктеплокомуненерго" (реконструкція котельні по вул. Водопровідній, 48, м. Хмельницький)</t>
  </si>
  <si>
    <t>Внески до статутного капіталу МКП "Хмельницьктеплокомуненерго" (реконструкція котельні з прибудовою приміщень по вул. Кам`янецькій, 46/1, 48/1, м. Хмельницький)</t>
  </si>
  <si>
    <t>Внески до статутного капіталу МКП "Хмельницькводоканал" (реконструкція ділянки водопроводу діам. 400 мм по вул. С.Бандери від вул. Верхня Берегова до вул.Нижня Берегова в м. Хмельницький)</t>
  </si>
  <si>
    <t>Додаток № 4
до рішення  №          від                     2019 року</t>
  </si>
  <si>
    <t xml:space="preserve">до рішення   №        від               2019 року   </t>
  </si>
  <si>
    <t>Будівництво - технічне переоснащення мережі зовнішнього електропостачання 107 садових будинків ОК "Садівниче товариство "Левада-Гречани" проїзд 1-й Трояндовий - 8-й Трояндовий в межах м. Хмельницького</t>
  </si>
  <si>
    <t>Внески до статутного капіталу МКП "Хмельницькводоканал" (реконструкція ділянки водопроводу діаметром  400 мм на перехресті вул. C.Бандери- вул.М. Мазура в м. Хмельницький)</t>
  </si>
  <si>
    <t>Внески до статутного капіталу МКП "Хмельницькводоканал" (на реконструкцію системи знезараження питної води ВНС-9 по проспекту Миру,36/2А у м Хмельницький)</t>
  </si>
  <si>
    <t>Реконструкція аеродромного комплексу КП «Аеропорт Хмельницький» з подовженням штучної злітно-посадкової смуги на 500 метрів</t>
  </si>
  <si>
    <t>Внески до статутного капіталу Міського комунального підприємства по утриманню нежитлових приміщень (реконструкція нежитлового приміщення за адресою вул.Героїв Майдану, 12 у м.Хмельницький)</t>
  </si>
  <si>
    <t>Внески до статутного капіталу КП по зеленому будівництву та благоустрою міста (придбання травокосарок)</t>
  </si>
  <si>
    <t>Програма співфінансування робіт з ремонту багатоквартирних житлових будинків м. Хмельницького на 2019-2023 роки</t>
  </si>
  <si>
    <t>Рішення виконавчого комітету від 28.03.2019 року № 290</t>
  </si>
  <si>
    <t>Програма популяризації та ефективного впрвадження програм у сфері житлово-комунального господарства на 2019-2023 роки</t>
  </si>
  <si>
    <t>Рішення виконавчого комітету від 28.03.2019 року № 291</t>
  </si>
  <si>
    <t xml:space="preserve">Секретар міської ради </t>
  </si>
  <si>
    <t>М. Кривак</t>
  </si>
  <si>
    <t xml:space="preserve">Секретар міської ради                                                                                                                                                                                  М. Кривак </t>
  </si>
  <si>
    <t xml:space="preserve">Секретар міської ради                                                                                                                                                                               М. Кривак </t>
  </si>
  <si>
    <t xml:space="preserve">М. Кривак </t>
  </si>
  <si>
    <t xml:space="preserve">                  Начальник фінансового управління</t>
  </si>
  <si>
    <t xml:space="preserve">Секретар міської ради                                                                                                                                                                                   М. Кривак </t>
  </si>
  <si>
    <t>1517370</t>
  </si>
  <si>
    <t>0813087</t>
  </si>
  <si>
    <t>3087</t>
  </si>
  <si>
    <t>Надання допомоги на дітей, які виховуються у багатодітних сім'ях</t>
  </si>
  <si>
    <t>Внески до статутного капіталу МКП "Хмельницькводоканал" (будівництво мереж водопроводу та напірної каналізації по вул. Геологів м.Хмельницький)</t>
  </si>
  <si>
    <t>Внески до статутного капіталу МКП "Хмельницькводоканал"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м.Хмельницький)</t>
  </si>
  <si>
    <t>Внески до статутного капіталу МКП "Хмельницькводоканал" (будівництво вуличного водопроводу по вул.Достоєвського від вул. Київська до прв. Достоєвського)</t>
  </si>
  <si>
    <t>Відшкодування витрат, понесених комунальним підприємством «Чайка», на надання лазневих послуг на пільгових умовах учасникам бойових дій,  особам з інвалідністю внаслідок війни, особам з інвалідністю внаслідок військової служби, які  зареєстровані у м. Хмельницькому</t>
  </si>
  <si>
    <t>Програма соціальної підтримки учасників АТО, учасників Революції Гідності, бійців-добровольців АТО у м. Хмельницькому та членів їх сімей на 2018 - 2020 рр. (із змінами і доповненнями)</t>
  </si>
  <si>
    <t>Програма соціальної підтримки учасників АТО, учасників Революції Гідності, бійців-добровольців АТО у м. Хмельницькому та членів їх сімей на 2018 - 2020 рр.  (із змінами і доповненнями)</t>
  </si>
  <si>
    <t>Реконструкція мереж водопроводу та каналізації в мікрорайоні "Лезнево" м.Хмельницький</t>
  </si>
  <si>
    <t>Внески до статутного капіталу МКП "Хмельницькводоканал" (реконструкція самопливного каналізаційного колектора по вул.Старокостянтинівське шосе в м.Хмельницький)</t>
  </si>
  <si>
    <t>Комплексна Програма реалізації молодіжної політики та розвитку фізичної культури і спорту у м.Хмельницькому на 2017 - 2021 роки (із змінами і доповненнями)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</si>
</sst>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0000"/>
    <numFmt numFmtId="168" formatCode="#,##0.0000"/>
  </numFmts>
  <fonts count="129" x14ac:knownFonts="1">
    <font>
      <sz val="10"/>
      <name val="Arial Cyr"/>
      <charset val="204"/>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8"/>
      <name val="Arial Cyr"/>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b/>
      <sz val="36"/>
      <name val="Times New Roman"/>
      <family val="1"/>
      <charset val="204"/>
    </font>
    <font>
      <i/>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i/>
      <sz val="10"/>
      <name val="Arial Cyr"/>
      <charset val="204"/>
    </font>
    <font>
      <sz val="11"/>
      <name val="Arial Cyr"/>
      <charset val="204"/>
    </font>
    <font>
      <b/>
      <sz val="28"/>
      <name val="Times New Roman Cyr"/>
      <family val="1"/>
      <charset val="204"/>
    </font>
    <font>
      <b/>
      <sz val="36"/>
      <name val="Times New Roman Cyr"/>
      <family val="1"/>
      <charset val="204"/>
    </font>
    <font>
      <sz val="20"/>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sz val="9"/>
      <name val="Times New Roman CYR"/>
      <charset val="204"/>
    </font>
    <font>
      <b/>
      <sz val="12.5"/>
      <name val="Times New Roman"/>
      <family val="1"/>
      <charset val="204"/>
    </font>
    <font>
      <sz val="12"/>
      <name val="Arial Cyr"/>
      <charset val="204"/>
    </font>
    <font>
      <sz val="12.5"/>
      <name val="Times New Roman"/>
      <family val="1"/>
      <charset val="204"/>
    </font>
    <font>
      <b/>
      <i/>
      <sz val="12.5"/>
      <name val="Times New Roman"/>
      <family val="1"/>
      <charset val="204"/>
    </font>
    <font>
      <b/>
      <i/>
      <sz val="10"/>
      <name val="Arial"/>
      <family val="2"/>
      <charset val="204"/>
    </font>
    <font>
      <b/>
      <sz val="36"/>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22"/>
      <name val="Times New Roman Cyr"/>
      <family val="1"/>
      <charset val="204"/>
    </font>
    <font>
      <sz val="10"/>
      <color theme="9"/>
      <name val="Arial"/>
      <family val="2"/>
      <charset val="204"/>
    </font>
    <font>
      <b/>
      <sz val="48"/>
      <name val="Times New Roman Cyr"/>
      <family val="1"/>
      <charset val="204"/>
    </font>
    <font>
      <sz val="48"/>
      <name val="Arial Cyr"/>
      <charset val="204"/>
    </font>
    <font>
      <sz val="36"/>
      <name val="Calibri"/>
      <family val="2"/>
      <charset val="204"/>
    </font>
    <font>
      <vertAlign val="superscript"/>
      <sz val="20"/>
      <name val="Times New Roman"/>
      <family val="1"/>
      <charset val="204"/>
    </font>
    <font>
      <sz val="20"/>
      <name val="Times New Roman"/>
      <family val="1"/>
      <charset val="204"/>
    </font>
    <font>
      <sz val="20"/>
      <name val="Arial Cyr"/>
      <charset val="204"/>
    </font>
    <font>
      <b/>
      <sz val="12"/>
      <color indexed="8"/>
      <name val="Times New Roman"/>
      <family val="1"/>
      <charset val="204"/>
    </font>
    <font>
      <sz val="12"/>
      <color indexed="8"/>
      <name val="Times New Roman"/>
      <family val="1"/>
      <charset val="204"/>
    </font>
    <font>
      <vertAlign val="superscript"/>
      <sz val="10"/>
      <name val="Times New Roman"/>
      <family val="1"/>
      <charset val="204"/>
    </font>
    <font>
      <sz val="10"/>
      <name val="Arial Cyr"/>
      <family val="2"/>
      <charset val="204"/>
    </font>
    <font>
      <sz val="36"/>
      <name val="Times New Roman Cyr"/>
      <family val="1"/>
      <charset val="204"/>
    </font>
    <font>
      <i/>
      <sz val="10"/>
      <name val="Times New Roman"/>
      <family val="1"/>
      <charset val="204"/>
    </font>
    <font>
      <sz val="50"/>
      <name val="Arial Cyr"/>
      <charset val="204"/>
    </font>
    <font>
      <sz val="11"/>
      <name val="Times New Roman Cyr"/>
      <family val="1"/>
      <charset val="204"/>
    </font>
    <font>
      <b/>
      <sz val="11"/>
      <name val="Times New Roman Cyr"/>
      <family val="1"/>
      <charset val="204"/>
    </font>
    <font>
      <i/>
      <sz val="11"/>
      <name val="Times New Roman Cyr"/>
      <family val="1"/>
      <charset val="204"/>
    </font>
    <font>
      <b/>
      <sz val="10"/>
      <name val="Times New Roman CYR"/>
      <charset val="204"/>
    </font>
    <font>
      <b/>
      <i/>
      <sz val="37"/>
      <name val="Arial Cyr"/>
      <charset val="204"/>
    </font>
    <font>
      <sz val="22"/>
      <name val="Times New Roman"/>
      <family val="1"/>
      <charset val="204"/>
    </font>
    <font>
      <sz val="36"/>
      <color indexed="8"/>
      <name val="Times New Roman"/>
      <family val="1"/>
      <charset val="204"/>
    </font>
    <font>
      <sz val="34"/>
      <name val="Times New Roman"/>
      <family val="1"/>
      <charset val="204"/>
    </font>
    <font>
      <sz val="14"/>
      <name val="Arial"/>
      <family val="2"/>
      <charset val="204"/>
    </font>
    <font>
      <sz val="32"/>
      <color indexed="8"/>
      <name val="Times New Roman"/>
      <family val="1"/>
      <charset val="204"/>
    </font>
    <font>
      <sz val="72"/>
      <name val="Arial Cyr"/>
      <charset val="204"/>
    </font>
    <font>
      <i/>
      <sz val="36"/>
      <name val="Arial Cyr"/>
      <charset val="204"/>
    </font>
    <font>
      <sz val="48"/>
      <name val="Times New Roman"/>
      <family val="1"/>
      <charset val="204"/>
    </font>
    <font>
      <sz val="12"/>
      <color theme="1"/>
      <name val="Times New Roman"/>
      <family val="1"/>
      <charset val="204"/>
    </font>
    <font>
      <b/>
      <sz val="14"/>
      <color rgb="FF000000"/>
      <name val="Times New Roman"/>
      <family val="1"/>
      <charset val="204"/>
    </font>
    <font>
      <sz val="11"/>
      <color rgb="FF000000"/>
      <name val="Times New Roman"/>
      <family val="1"/>
      <charset val="204"/>
    </font>
    <font>
      <sz val="10"/>
      <color rgb="FF000000"/>
      <name val="Times New Roman"/>
      <family val="1"/>
      <charset val="204"/>
    </font>
    <font>
      <b/>
      <sz val="12"/>
      <color rgb="FF000000"/>
      <name val="Arial Unicode MS"/>
      <family val="2"/>
      <charset val="204"/>
    </font>
    <font>
      <sz val="12"/>
      <color rgb="FF000000"/>
      <name val="Times New Roman"/>
      <family val="1"/>
      <charset val="204"/>
    </font>
    <font>
      <sz val="11"/>
      <color theme="1"/>
      <name val="Calibri"/>
      <family val="2"/>
      <charset val="204"/>
      <scheme val="minor"/>
    </font>
    <font>
      <i/>
      <sz val="11"/>
      <color theme="1"/>
      <name val="Times New Roman"/>
      <family val="1"/>
      <charset val="204"/>
    </font>
    <font>
      <i/>
      <sz val="37"/>
      <name val="Arial Cyr"/>
      <charset val="204"/>
    </font>
    <font>
      <i/>
      <sz val="48"/>
      <name val="Times New Roman"/>
      <family val="1"/>
      <charset val="204"/>
    </font>
    <font>
      <sz val="16"/>
      <name val="Times New Roman"/>
      <family val="1"/>
      <charset val="204"/>
    </font>
  </fonts>
  <fills count="34">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FF0000"/>
        <bgColor indexed="64"/>
      </patternFill>
    </fill>
    <fill>
      <patternFill patternType="solid">
        <fgColor rgb="FFFF9900"/>
        <bgColor indexed="64"/>
      </patternFill>
    </fill>
    <fill>
      <gradientFill type="path" left="0.5" right="0.5" top="0.5" bottom="0.5">
        <stop position="0">
          <color theme="0"/>
        </stop>
        <stop position="1">
          <color theme="9" tint="0.80001220740379042"/>
        </stop>
      </gradientFill>
    </fill>
    <fill>
      <gradientFill type="path" left="0.5" right="0.5" top="0.5" bottom="0.5">
        <stop position="0">
          <color theme="0"/>
        </stop>
        <stop position="1">
          <color rgb="FFFFFFCC"/>
        </stop>
      </gradientFill>
    </fill>
    <fill>
      <patternFill patternType="solid">
        <fgColor rgb="FF66FFFF"/>
        <bgColor auto="1"/>
      </patternFill>
    </fill>
    <fill>
      <patternFill patternType="solid">
        <fgColor rgb="FFFFFFFF"/>
        <bgColor indexed="64"/>
      </patternFill>
    </fill>
    <fill>
      <patternFill patternType="solid">
        <fgColor rgb="FF92D050"/>
        <bgColor indexed="64"/>
      </patternFill>
    </fill>
    <fill>
      <gradientFill type="path" left="0.5" right="0.5" top="0.5" bottom="0.5">
        <stop position="0">
          <color theme="0"/>
        </stop>
        <stop position="1">
          <color rgb="FFCCFFCC"/>
        </stop>
      </gradient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s>
  <cellStyleXfs count="95">
    <xf numFmtId="0" fontId="0" fillId="0" borderId="0"/>
    <xf numFmtId="0" fontId="3"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51" fillId="0" borderId="0"/>
    <xf numFmtId="0" fontId="27" fillId="0" borderId="0"/>
    <xf numFmtId="0" fontId="3" fillId="0" borderId="0"/>
    <xf numFmtId="0" fontId="51" fillId="0" borderId="0"/>
    <xf numFmtId="0" fontId="3" fillId="0" borderId="0"/>
    <xf numFmtId="0" fontId="51" fillId="0" borderId="0"/>
    <xf numFmtId="0" fontId="27" fillId="0" borderId="0"/>
    <xf numFmtId="0" fontId="27" fillId="0" borderId="0"/>
    <xf numFmtId="0" fontId="27" fillId="0" borderId="0"/>
    <xf numFmtId="0" fontId="27" fillId="0" borderId="0"/>
    <xf numFmtId="0" fontId="27" fillId="0" borderId="0"/>
    <xf numFmtId="0" fontId="48" fillId="0" borderId="0">
      <alignment vertical="top"/>
    </xf>
    <xf numFmtId="0" fontId="21" fillId="5" borderId="5" applyNumberFormat="0" applyAlignment="0" applyProtection="0"/>
    <xf numFmtId="0" fontId="22" fillId="0" borderId="0" applyNumberFormat="0" applyFill="0" applyBorder="0" applyAlignment="0" applyProtection="0"/>
    <xf numFmtId="0" fontId="3" fillId="0" borderId="0"/>
    <xf numFmtId="0" fontId="51" fillId="0" borderId="0"/>
    <xf numFmtId="0" fontId="5" fillId="0" borderId="0"/>
    <xf numFmtId="0" fontId="69" fillId="0" borderId="0" applyNumberFormat="0" applyFont="0" applyFill="0" applyBorder="0" applyAlignment="0" applyProtection="0">
      <alignment vertical="top"/>
    </xf>
    <xf numFmtId="0" fontId="26" fillId="0" borderId="0"/>
    <xf numFmtId="0" fontId="4" fillId="0" borderId="0" applyNumberFormat="0" applyFont="0" applyFill="0" applyBorder="0" applyAlignment="0" applyProtection="0">
      <alignment vertical="top"/>
    </xf>
    <xf numFmtId="0" fontId="5" fillId="0" borderId="0"/>
    <xf numFmtId="0" fontId="26" fillId="0" borderId="0"/>
    <xf numFmtId="0" fontId="51"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3" fillId="0" borderId="0"/>
    <xf numFmtId="0" fontId="82" fillId="7" borderId="0" applyNumberFormat="0" applyBorder="0" applyAlignment="0" applyProtection="0"/>
    <xf numFmtId="0" fontId="82" fillId="8"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3" borderId="0" applyNumberFormat="0" applyBorder="0" applyAlignment="0" applyProtection="0"/>
    <xf numFmtId="0" fontId="82" fillId="2"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14" borderId="0" applyNumberFormat="0" applyBorder="0" applyAlignment="0" applyProtection="0"/>
    <xf numFmtId="0" fontId="83" fillId="15"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2" borderId="0" applyNumberFormat="0" applyBorder="0" applyAlignment="0" applyProtection="0"/>
    <xf numFmtId="0" fontId="17" fillId="2" borderId="1" applyNumberFormat="0" applyAlignment="0" applyProtection="0"/>
    <xf numFmtId="0" fontId="84" fillId="23" borderId="19" applyNumberFormat="0" applyAlignment="0" applyProtection="0"/>
    <xf numFmtId="0" fontId="85" fillId="23" borderId="1" applyNumberFormat="0" applyAlignment="0" applyProtection="0"/>
    <xf numFmtId="0" fontId="81" fillId="0" borderId="0" applyNumberFormat="0" applyFill="0" applyBorder="0" applyAlignment="0" applyProtection="0">
      <alignment vertical="top"/>
      <protection locked="0"/>
    </xf>
    <xf numFmtId="0" fontId="86" fillId="0" borderId="20"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87" fillId="4" borderId="0" applyNumberFormat="0" applyBorder="0" applyAlignment="0" applyProtection="0"/>
    <xf numFmtId="0" fontId="88" fillId="8" borderId="0" applyNumberFormat="0" applyBorder="0" applyAlignment="0" applyProtection="0"/>
    <xf numFmtId="0" fontId="89" fillId="0" borderId="0" applyNumberFormat="0" applyFill="0" applyBorder="0" applyAlignment="0" applyProtection="0"/>
    <xf numFmtId="0" fontId="82" fillId="24" borderId="21"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101" fillId="0" borderId="0"/>
    <xf numFmtId="0" fontId="3" fillId="0" borderId="0"/>
    <xf numFmtId="0" fontId="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04">
    <xf numFmtId="0" fontId="0" fillId="0" borderId="0" xfId="0"/>
    <xf numFmtId="0" fontId="6" fillId="0" borderId="0" xfId="0" applyFont="1" applyAlignment="1">
      <alignment vertical="center"/>
    </xf>
    <xf numFmtId="0" fontId="8" fillId="0" borderId="0" xfId="0" applyFont="1"/>
    <xf numFmtId="4" fontId="6" fillId="0" borderId="0" xfId="0" applyNumberFormat="1"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164" fontId="7" fillId="0" borderId="0" xfId="0" applyNumberFormat="1" applyFont="1" applyAlignment="1">
      <alignment horizontal="right" vertical="center" wrapText="1"/>
    </xf>
    <xf numFmtId="0" fontId="40" fillId="0" borderId="0" xfId="0" applyFont="1" applyAlignment="1">
      <alignment vertical="center"/>
    </xf>
    <xf numFmtId="0" fontId="38"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right" vertical="center"/>
    </xf>
    <xf numFmtId="49" fontId="38" fillId="0" borderId="7" xfId="0" applyNumberFormat="1" applyFont="1" applyBorder="1" applyAlignment="1">
      <alignment horizontal="center" vertical="center" wrapText="1"/>
    </xf>
    <xf numFmtId="4" fontId="40" fillId="0" borderId="0" xfId="0" applyNumberFormat="1" applyFont="1" applyAlignment="1">
      <alignment horizontal="center" vertical="center"/>
    </xf>
    <xf numFmtId="0" fontId="46" fillId="0" borderId="0" xfId="0" applyFont="1"/>
    <xf numFmtId="4" fontId="46" fillId="0" borderId="0" xfId="0" applyNumberFormat="1" applyFont="1"/>
    <xf numFmtId="0" fontId="9" fillId="0" borderId="0" xfId="35" applyFont="1"/>
    <xf numFmtId="0" fontId="5" fillId="0" borderId="0" xfId="35"/>
    <xf numFmtId="0" fontId="13" fillId="0" borderId="7" xfId="35" applyFont="1" applyBorder="1" applyAlignment="1">
      <alignment horizontal="center" vertical="center" wrapText="1"/>
    </xf>
    <xf numFmtId="0" fontId="30" fillId="0" borderId="7" xfId="35" applyFont="1" applyBorder="1" applyAlignment="1">
      <alignment horizontal="center" vertical="center" wrapText="1"/>
    </xf>
    <xf numFmtId="4" fontId="56" fillId="0" borderId="0" xfId="0" applyNumberFormat="1" applyFont="1" applyAlignment="1">
      <alignment vertical="center"/>
    </xf>
    <xf numFmtId="0" fontId="5" fillId="6" borderId="0" xfId="35" applyFill="1"/>
    <xf numFmtId="4" fontId="57" fillId="0" borderId="0" xfId="0" applyNumberFormat="1" applyFont="1" applyAlignment="1">
      <alignment vertical="center"/>
    </xf>
    <xf numFmtId="0" fontId="57" fillId="0" borderId="0" xfId="0" applyFont="1" applyAlignment="1">
      <alignment vertical="center"/>
    </xf>
    <xf numFmtId="0" fontId="58" fillId="0" borderId="0" xfId="0" applyFont="1" applyAlignment="1">
      <alignment vertical="center"/>
    </xf>
    <xf numFmtId="4" fontId="59" fillId="0" borderId="0" xfId="0" applyNumberFormat="1" applyFont="1" applyAlignment="1">
      <alignment vertical="center"/>
    </xf>
    <xf numFmtId="0" fontId="5" fillId="0" borderId="0" xfId="39"/>
    <xf numFmtId="0" fontId="29" fillId="0" borderId="0" xfId="39" applyFont="1" applyAlignment="1">
      <alignment horizontal="center" vertical="center"/>
    </xf>
    <xf numFmtId="0" fontId="14" fillId="0" borderId="11" xfId="39" applyFont="1" applyBorder="1" applyAlignment="1">
      <alignment vertical="center"/>
    </xf>
    <xf numFmtId="0" fontId="5" fillId="0" borderId="0" xfId="39" applyAlignment="1">
      <alignment vertical="center" wrapText="1"/>
    </xf>
    <xf numFmtId="0" fontId="13" fillId="0" borderId="7" xfId="39" applyFont="1" applyBorder="1" applyAlignment="1">
      <alignment horizontal="center" vertical="center" wrapText="1"/>
    </xf>
    <xf numFmtId="0" fontId="29" fillId="0" borderId="0" xfId="39" applyFont="1" applyAlignment="1">
      <alignment wrapText="1"/>
    </xf>
    <xf numFmtId="0" fontId="30" fillId="0" borderId="7" xfId="39" applyFont="1" applyBorder="1" applyAlignment="1">
      <alignment horizontal="center" vertical="center" wrapText="1"/>
    </xf>
    <xf numFmtId="0" fontId="30" fillId="0" borderId="7" xfId="39" applyFont="1" applyBorder="1" applyAlignment="1">
      <alignment horizontal="left" vertical="center" wrapText="1"/>
    </xf>
    <xf numFmtId="4" fontId="31" fillId="0" borderId="7" xfId="39" applyNumberFormat="1" applyFont="1" applyBorder="1" applyAlignment="1">
      <alignment vertical="center" wrapText="1"/>
    </xf>
    <xf numFmtId="0" fontId="30" fillId="0" borderId="0" xfId="39" applyFont="1" applyAlignment="1">
      <alignment wrapText="1"/>
    </xf>
    <xf numFmtId="0" fontId="29" fillId="0" borderId="7" xfId="39" applyFont="1" applyBorder="1" applyAlignment="1">
      <alignment horizontal="center" vertical="center" wrapText="1"/>
    </xf>
    <xf numFmtId="0" fontId="13" fillId="0" borderId="7" xfId="39" applyFont="1" applyBorder="1" applyAlignment="1">
      <alignment vertical="center" wrapText="1"/>
    </xf>
    <xf numFmtId="4" fontId="15" fillId="0" borderId="7" xfId="39" applyNumberFormat="1" applyFont="1" applyBorder="1" applyAlignment="1">
      <alignment vertical="center" wrapText="1"/>
    </xf>
    <xf numFmtId="4" fontId="32" fillId="0" borderId="7" xfId="39" applyNumberFormat="1" applyFont="1" applyBorder="1" applyAlignment="1">
      <alignment vertical="center" wrapText="1"/>
    </xf>
    <xf numFmtId="0" fontId="61" fillId="0" borderId="0" xfId="39" applyFont="1" applyAlignment="1">
      <alignment wrapText="1"/>
    </xf>
    <xf numFmtId="0" fontId="35" fillId="0" borderId="7" xfId="39" applyFont="1" applyBorder="1" applyAlignment="1">
      <alignment vertical="center" wrapText="1"/>
    </xf>
    <xf numFmtId="4" fontId="36" fillId="0" borderId="7" xfId="39" applyNumberFormat="1" applyFont="1" applyBorder="1" applyAlignment="1">
      <alignment vertical="center" wrapText="1"/>
    </xf>
    <xf numFmtId="0" fontId="61" fillId="0" borderId="7" xfId="39" applyFont="1" applyBorder="1" applyAlignment="1">
      <alignment horizontal="center" vertical="center" wrapText="1"/>
    </xf>
    <xf numFmtId="0" fontId="61" fillId="0" borderId="7" xfId="39" applyFont="1" applyBorder="1" applyAlignment="1">
      <alignment vertical="center" wrapText="1"/>
    </xf>
    <xf numFmtId="4" fontId="34" fillId="0" borderId="7" xfId="39" applyNumberFormat="1" applyFont="1" applyBorder="1" applyAlignment="1">
      <alignment vertical="center" wrapText="1"/>
    </xf>
    <xf numFmtId="4" fontId="30" fillId="0" borderId="7" xfId="39" applyNumberFormat="1" applyFont="1" applyBorder="1" applyAlignment="1">
      <alignment horizontal="right" vertical="center" wrapText="1"/>
    </xf>
    <xf numFmtId="4" fontId="29" fillId="0" borderId="7" xfId="39" applyNumberFormat="1" applyFont="1" applyBorder="1" applyAlignment="1">
      <alignment horizontal="right" vertical="center" wrapText="1"/>
    </xf>
    <xf numFmtId="0" fontId="61" fillId="0" borderId="7" xfId="37" applyFont="1" applyBorder="1" applyAlignment="1">
      <alignment horizontal="justify" vertical="top" wrapText="1"/>
    </xf>
    <xf numFmtId="4" fontId="29" fillId="0" borderId="7" xfId="39" applyNumberFormat="1" applyFont="1" applyBorder="1" applyAlignment="1">
      <alignment vertical="center" wrapText="1"/>
    </xf>
    <xf numFmtId="4" fontId="37" fillId="0" borderId="7" xfId="39" applyNumberFormat="1" applyFont="1" applyBorder="1" applyAlignment="1">
      <alignment vertical="center" wrapText="1"/>
    </xf>
    <xf numFmtId="0" fontId="5" fillId="0" borderId="0" xfId="39" applyAlignment="1">
      <alignment wrapText="1"/>
    </xf>
    <xf numFmtId="0" fontId="30" fillId="0" borderId="7" xfId="39" applyFont="1" applyBorder="1" applyAlignment="1">
      <alignment vertical="center" wrapText="1"/>
    </xf>
    <xf numFmtId="0" fontId="31" fillId="0" borderId="7" xfId="37" applyFont="1" applyBorder="1" applyAlignment="1">
      <alignment horizontal="justify" vertical="top" wrapText="1"/>
    </xf>
    <xf numFmtId="4" fontId="33" fillId="0" borderId="7" xfId="39" applyNumberFormat="1" applyFont="1" applyBorder="1" applyAlignment="1">
      <alignment vertical="center" wrapText="1"/>
    </xf>
    <xf numFmtId="0" fontId="34" fillId="0" borderId="7" xfId="37" applyFont="1" applyBorder="1" applyAlignment="1">
      <alignment horizontal="justify" vertical="top" wrapText="1"/>
    </xf>
    <xf numFmtId="0" fontId="61" fillId="0" borderId="13" xfId="37" applyFont="1" applyBorder="1" applyAlignment="1">
      <alignment horizontal="justify" vertical="top" wrapText="1"/>
    </xf>
    <xf numFmtId="0" fontId="62" fillId="0" borderId="7" xfId="37" applyFont="1" applyBorder="1" applyAlignment="1">
      <alignment horizontal="justify" vertical="top" wrapText="1"/>
    </xf>
    <xf numFmtId="0" fontId="63" fillId="0" borderId="7" xfId="37" applyFont="1" applyBorder="1" applyAlignment="1">
      <alignment horizontal="justify" vertical="top" wrapText="1"/>
    </xf>
    <xf numFmtId="0" fontId="35" fillId="0" borderId="7" xfId="39" applyFont="1" applyBorder="1" applyAlignment="1">
      <alignment horizontal="center" vertical="center" wrapText="1"/>
    </xf>
    <xf numFmtId="0" fontId="36" fillId="0" borderId="7" xfId="37" applyFont="1" applyBorder="1" applyAlignment="1">
      <alignment horizontal="justify" vertical="top" wrapText="1"/>
    </xf>
    <xf numFmtId="0" fontId="34" fillId="0" borderId="7" xfId="37" applyFont="1" applyBorder="1" applyAlignment="1">
      <alignment vertical="top" wrapText="1"/>
    </xf>
    <xf numFmtId="0" fontId="5" fillId="0" borderId="7" xfId="39" applyBorder="1" applyAlignment="1">
      <alignment vertical="center" wrapText="1"/>
    </xf>
    <xf numFmtId="0" fontId="64" fillId="0" borderId="0" xfId="39" applyFont="1" applyAlignment="1">
      <alignment wrapText="1"/>
    </xf>
    <xf numFmtId="0" fontId="63" fillId="0" borderId="7" xfId="39" applyFont="1" applyBorder="1" applyAlignment="1">
      <alignment horizontal="center" vertical="center" wrapText="1"/>
    </xf>
    <xf numFmtId="0" fontId="62" fillId="0" borderId="7" xfId="37" applyFont="1" applyBorder="1" applyAlignment="1">
      <alignment vertical="top" wrapText="1"/>
    </xf>
    <xf numFmtId="4" fontId="62" fillId="0" borderId="7" xfId="39" applyNumberFormat="1" applyFont="1" applyBorder="1" applyAlignment="1">
      <alignment vertical="center" wrapText="1"/>
    </xf>
    <xf numFmtId="4" fontId="65" fillId="0" borderId="7" xfId="39" applyNumberFormat="1" applyFont="1" applyBorder="1" applyAlignment="1">
      <alignment vertical="center" wrapText="1"/>
    </xf>
    <xf numFmtId="0" fontId="66" fillId="0" borderId="7" xfId="37" applyFont="1" applyBorder="1" applyAlignment="1">
      <alignment horizontal="justify" vertical="top" wrapText="1"/>
    </xf>
    <xf numFmtId="0" fontId="67" fillId="0" borderId="7" xfId="37" applyFont="1" applyBorder="1" applyAlignment="1">
      <alignment horizontal="justify" vertical="top" wrapText="1"/>
    </xf>
    <xf numFmtId="0" fontId="29" fillId="0" borderId="7" xfId="39" applyFont="1" applyBorder="1" applyAlignment="1">
      <alignment vertical="center" wrapText="1"/>
    </xf>
    <xf numFmtId="0" fontId="68" fillId="0" borderId="7" xfId="37" applyFont="1" applyBorder="1" applyAlignment="1">
      <alignment horizontal="justify" vertical="top" wrapText="1"/>
    </xf>
    <xf numFmtId="0" fontId="13" fillId="0" borderId="7" xfId="37" applyFont="1" applyBorder="1" applyAlignment="1">
      <alignment horizontal="justify" vertical="top" wrapText="1"/>
    </xf>
    <xf numFmtId="0" fontId="11" fillId="0" borderId="7" xfId="37" applyFont="1" applyBorder="1" applyAlignment="1">
      <alignment horizontal="justify" vertical="top" wrapText="1"/>
    </xf>
    <xf numFmtId="0" fontId="63" fillId="0" borderId="7" xfId="0" applyFont="1" applyBorder="1" applyAlignment="1">
      <alignment horizontal="left" vertical="center" wrapText="1"/>
    </xf>
    <xf numFmtId="0" fontId="61" fillId="0" borderId="7" xfId="0" applyFont="1" applyBorder="1" applyAlignment="1">
      <alignment horizontal="left" vertical="center" wrapText="1"/>
    </xf>
    <xf numFmtId="0" fontId="5" fillId="0" borderId="7" xfId="39" applyBorder="1" applyAlignment="1">
      <alignment horizontal="center" vertical="center" wrapText="1"/>
    </xf>
    <xf numFmtId="0" fontId="60" fillId="0" borderId="7" xfId="39" applyFont="1" applyBorder="1" applyAlignment="1">
      <alignment vertical="center" wrapText="1"/>
    </xf>
    <xf numFmtId="0" fontId="10" fillId="0" borderId="0" xfId="39" applyFont="1"/>
    <xf numFmtId="2" fontId="5" fillId="0" borderId="0" xfId="39" applyNumberFormat="1"/>
    <xf numFmtId="4" fontId="5" fillId="0" borderId="0" xfId="39" applyNumberFormat="1"/>
    <xf numFmtId="0" fontId="15" fillId="0" borderId="0" xfId="0" applyFont="1"/>
    <xf numFmtId="0" fontId="14" fillId="0" borderId="7" xfId="0" applyFont="1" applyBorder="1" applyAlignment="1">
      <alignment horizontal="center" vertical="top" wrapText="1"/>
    </xf>
    <xf numFmtId="0" fontId="71" fillId="0" borderId="7" xfId="0" applyFont="1" applyBorder="1" applyAlignment="1">
      <alignment horizontal="center" vertical="top" wrapText="1"/>
    </xf>
    <xf numFmtId="4" fontId="13"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72" fillId="0" borderId="0" xfId="35" applyFont="1"/>
    <xf numFmtId="0" fontId="11" fillId="0" borderId="0" xfId="35" applyFont="1" applyAlignment="1">
      <alignment horizontal="center" vertical="center" wrapText="1"/>
    </xf>
    <xf numFmtId="0" fontId="14" fillId="0" borderId="0" xfId="35" applyFont="1" applyAlignment="1">
      <alignment horizontal="center" vertical="center" wrapText="1"/>
    </xf>
    <xf numFmtId="0" fontId="11" fillId="0" borderId="0" xfId="35" applyFont="1" applyAlignment="1">
      <alignment horizontal="center"/>
    </xf>
    <xf numFmtId="0" fontId="72" fillId="0" borderId="0" xfId="35" applyFont="1" applyAlignment="1">
      <alignment horizontal="center"/>
    </xf>
    <xf numFmtId="0" fontId="14" fillId="0" borderId="0" xfId="35" applyFont="1" applyAlignment="1">
      <alignment horizontal="right"/>
    </xf>
    <xf numFmtId="0" fontId="72" fillId="0" borderId="15" xfId="35" applyFont="1" applyBorder="1"/>
    <xf numFmtId="0" fontId="72" fillId="0" borderId="16" xfId="35" applyFont="1" applyBorder="1"/>
    <xf numFmtId="0" fontId="61" fillId="0" borderId="0" xfId="35" applyFont="1"/>
    <xf numFmtId="0" fontId="73" fillId="0" borderId="0" xfId="35" applyFont="1"/>
    <xf numFmtId="0" fontId="74" fillId="0" borderId="0" xfId="36" applyFont="1">
      <alignment vertical="top"/>
    </xf>
    <xf numFmtId="0" fontId="69" fillId="0" borderId="0" xfId="36">
      <alignment vertical="top"/>
    </xf>
    <xf numFmtId="0" fontId="74" fillId="0" borderId="0" xfId="36" applyFont="1" applyAlignment="1">
      <alignment horizontal="center" vertical="top"/>
    </xf>
    <xf numFmtId="0" fontId="10" fillId="0" borderId="0" xfId="36" applyFont="1" applyAlignment="1">
      <alignment horizontal="center" vertical="top"/>
    </xf>
    <xf numFmtId="2" fontId="69" fillId="0" borderId="0" xfId="36" applyNumberFormat="1" applyAlignment="1">
      <alignment horizontal="center" vertical="top"/>
    </xf>
    <xf numFmtId="2" fontId="74" fillId="0" borderId="7" xfId="36" applyNumberFormat="1" applyFont="1" applyBorder="1" applyAlignment="1">
      <alignment horizontal="center" vertical="center"/>
    </xf>
    <xf numFmtId="2" fontId="10" fillId="0" borderId="0" xfId="36" applyNumberFormat="1" applyFont="1" applyAlignment="1">
      <alignment horizontal="center" vertical="top"/>
    </xf>
    <xf numFmtId="2" fontId="9" fillId="0" borderId="7" xfId="36" applyNumberFormat="1" applyFont="1" applyBorder="1" applyAlignment="1">
      <alignment horizontal="center" vertical="center" wrapText="1"/>
    </xf>
    <xf numFmtId="4" fontId="9" fillId="0" borderId="7" xfId="36" applyNumberFormat="1" applyFont="1" applyBorder="1" applyAlignment="1">
      <alignment horizontal="center" vertical="center"/>
    </xf>
    <xf numFmtId="4" fontId="77" fillId="0" borderId="7" xfId="36" applyNumberFormat="1" applyFont="1" applyBorder="1" applyAlignment="1">
      <alignment horizontal="center" vertical="center" wrapText="1"/>
    </xf>
    <xf numFmtId="0" fontId="76" fillId="0" borderId="0" xfId="36" applyFont="1" applyAlignment="1">
      <alignment horizontal="center" vertical="top" wrapText="1"/>
    </xf>
    <xf numFmtId="2" fontId="76" fillId="0" borderId="0" xfId="36" applyNumberFormat="1" applyFont="1" applyAlignment="1">
      <alignment horizontal="center" vertical="top" wrapText="1"/>
    </xf>
    <xf numFmtId="165" fontId="9" fillId="0" borderId="0" xfId="36" applyNumberFormat="1" applyFont="1" applyAlignment="1">
      <alignment horizontal="center" vertical="top"/>
    </xf>
    <xf numFmtId="0" fontId="78" fillId="0" borderId="0" xfId="38" applyFont="1" applyAlignment="1" applyProtection="1">
      <alignment horizontal="left" vertical="center" wrapText="1"/>
      <protection locked="0"/>
    </xf>
    <xf numFmtId="0" fontId="76" fillId="0" borderId="0" xfId="36" applyFont="1" applyAlignment="1">
      <alignment horizontal="left" vertical="top" wrapText="1"/>
    </xf>
    <xf numFmtId="4" fontId="44" fillId="0" borderId="7" xfId="38" applyNumberFormat="1" applyFont="1" applyBorder="1" applyAlignment="1" applyProtection="1">
      <alignment horizontal="center" vertical="center" wrapText="1"/>
      <protection locked="0"/>
    </xf>
    <xf numFmtId="0" fontId="80" fillId="0" borderId="0" xfId="0" applyFont="1"/>
    <xf numFmtId="0" fontId="12" fillId="0" borderId="0" xfId="39" applyFont="1"/>
    <xf numFmtId="0" fontId="13" fillId="0" borderId="7" xfId="0" applyFont="1" applyBorder="1" applyAlignment="1">
      <alignment horizontal="left" vertical="center" wrapText="1"/>
    </xf>
    <xf numFmtId="0" fontId="90" fillId="0" borderId="0" xfId="0" applyFont="1" applyAlignment="1">
      <alignment vertical="center"/>
    </xf>
    <xf numFmtId="2" fontId="91" fillId="0" borderId="0" xfId="36" applyNumberFormat="1" applyFont="1" applyAlignment="1">
      <alignment horizontal="center" vertical="top"/>
    </xf>
    <xf numFmtId="4" fontId="5" fillId="0" borderId="0" xfId="35" applyNumberFormat="1"/>
    <xf numFmtId="4" fontId="92" fillId="0" borderId="0" xfId="0" applyNumberFormat="1" applyFont="1" applyAlignment="1">
      <alignment vertical="center"/>
    </xf>
    <xf numFmtId="4" fontId="93" fillId="0" borderId="0" xfId="0" applyNumberFormat="1" applyFont="1" applyAlignment="1">
      <alignment vertical="center"/>
    </xf>
    <xf numFmtId="0" fontId="95" fillId="0" borderId="0" xfId="0" applyFont="1" applyAlignment="1">
      <alignment horizontal="left" vertical="center"/>
    </xf>
    <xf numFmtId="0" fontId="97" fillId="0" borderId="0" xfId="0" applyFont="1" applyAlignment="1">
      <alignment horizontal="left" vertical="center"/>
    </xf>
    <xf numFmtId="0" fontId="54" fillId="0" borderId="0" xfId="0" applyFont="1"/>
    <xf numFmtId="0" fontId="5" fillId="0" borderId="0" xfId="0" applyFont="1"/>
    <xf numFmtId="0" fontId="98" fillId="0" borderId="7" xfId="0" applyFont="1" applyBorder="1" applyAlignment="1">
      <alignment horizontal="center" vertical="center" wrapText="1"/>
    </xf>
    <xf numFmtId="0" fontId="10" fillId="0" borderId="7" xfId="35" applyFont="1" applyBorder="1" applyAlignment="1">
      <alignment horizontal="center" vertical="center" wrapText="1"/>
    </xf>
    <xf numFmtId="0" fontId="98" fillId="0" borderId="7" xfId="0" applyFont="1" applyBorder="1" applyAlignment="1">
      <alignment horizontal="center" vertical="center"/>
    </xf>
    <xf numFmtId="4" fontId="98" fillId="25" borderId="7" xfId="0" applyNumberFormat="1" applyFont="1" applyFill="1" applyBorder="1" applyAlignment="1">
      <alignment horizontal="center" vertical="center"/>
    </xf>
    <xf numFmtId="0" fontId="9" fillId="0" borderId="0" xfId="0" applyFont="1"/>
    <xf numFmtId="2" fontId="9" fillId="0" borderId="0" xfId="36" applyNumberFormat="1" applyFont="1">
      <alignment vertical="top"/>
    </xf>
    <xf numFmtId="0" fontId="98" fillId="0" borderId="0" xfId="0" applyFont="1" applyAlignment="1">
      <alignment horizontal="center" vertical="center"/>
    </xf>
    <xf numFmtId="4" fontId="98" fillId="0" borderId="0" xfId="0" applyNumberFormat="1" applyFont="1" applyAlignment="1">
      <alignment horizontal="center" vertical="center"/>
    </xf>
    <xf numFmtId="4" fontId="102" fillId="0" borderId="0" xfId="0" applyNumberFormat="1" applyFont="1" applyAlignment="1">
      <alignment vertical="center"/>
    </xf>
    <xf numFmtId="0" fontId="10" fillId="0" borderId="7" xfId="37" applyFont="1" applyBorder="1" applyAlignment="1">
      <alignment horizontal="justify" vertical="top" wrapText="1"/>
    </xf>
    <xf numFmtId="0" fontId="29" fillId="0" borderId="7" xfId="37" applyFont="1" applyBorder="1" applyAlignment="1">
      <alignment horizontal="justify" vertical="top" wrapText="1"/>
    </xf>
    <xf numFmtId="0" fontId="13" fillId="0" borderId="7" xfId="0" applyFont="1" applyBorder="1" applyAlignment="1">
      <alignment horizontal="center" vertical="center" wrapText="1"/>
    </xf>
    <xf numFmtId="4" fontId="8" fillId="0" borderId="0" xfId="0" applyNumberFormat="1" applyFont="1"/>
    <xf numFmtId="0" fontId="5" fillId="26" borderId="0" xfId="35" applyFill="1"/>
    <xf numFmtId="0" fontId="5" fillId="0" borderId="0" xfId="35" applyAlignment="1">
      <alignment horizontal="center" vertical="center"/>
    </xf>
    <xf numFmtId="0" fontId="103" fillId="0" borderId="0" xfId="35" applyFont="1"/>
    <xf numFmtId="4" fontId="79" fillId="0" borderId="0" xfId="0" applyNumberFormat="1" applyFont="1" applyAlignment="1">
      <alignment horizontal="left" vertical="center"/>
    </xf>
    <xf numFmtId="4" fontId="42" fillId="0" borderId="7" xfId="38" applyNumberFormat="1" applyFont="1" applyBorder="1" applyAlignment="1" applyProtection="1">
      <alignment horizontal="center" vertical="center" wrapText="1"/>
      <protection locked="0"/>
    </xf>
    <xf numFmtId="4" fontId="42" fillId="29" borderId="7" xfId="0" applyNumberFormat="1" applyFont="1" applyFill="1" applyBorder="1" applyAlignment="1">
      <alignment horizontal="center" vertical="center"/>
    </xf>
    <xf numFmtId="0" fontId="30" fillId="29" borderId="7" xfId="35" applyFont="1" applyFill="1" applyBorder="1" applyAlignment="1">
      <alignment horizontal="center" vertical="center" wrapText="1"/>
    </xf>
    <xf numFmtId="4" fontId="30" fillId="29" borderId="7" xfId="35" applyNumberFormat="1" applyFont="1" applyFill="1" applyBorder="1" applyAlignment="1">
      <alignment horizontal="center" vertical="center"/>
    </xf>
    <xf numFmtId="4" fontId="31" fillId="29" borderId="7" xfId="35" applyNumberFormat="1" applyFont="1" applyFill="1" applyBorder="1" applyAlignment="1">
      <alignment horizontal="center" vertical="center"/>
    </xf>
    <xf numFmtId="2" fontId="69" fillId="29" borderId="7" xfId="36" applyNumberFormat="1" applyFill="1" applyBorder="1" applyAlignment="1">
      <alignment horizontal="center" vertical="center" wrapText="1"/>
    </xf>
    <xf numFmtId="4" fontId="77" fillId="29" borderId="7" xfId="36" applyNumberFormat="1" applyFont="1" applyFill="1" applyBorder="1" applyAlignment="1">
      <alignment horizontal="center" vertical="center"/>
    </xf>
    <xf numFmtId="2" fontId="9" fillId="29" borderId="7" xfId="36" applyNumberFormat="1" applyFont="1" applyFill="1" applyBorder="1" applyAlignment="1">
      <alignment horizontal="center" vertical="center" wrapText="1"/>
    </xf>
    <xf numFmtId="4" fontId="77" fillId="29" borderId="7" xfId="36" applyNumberFormat="1" applyFont="1" applyFill="1" applyBorder="1" applyAlignment="1">
      <alignment horizontal="center" vertical="center" wrapText="1"/>
    </xf>
    <xf numFmtId="4" fontId="98" fillId="29" borderId="7" xfId="0" applyNumberFormat="1" applyFont="1" applyFill="1" applyBorder="1" applyAlignment="1">
      <alignment horizontal="center" vertical="center"/>
    </xf>
    <xf numFmtId="4" fontId="40" fillId="0" borderId="0" xfId="0" applyNumberFormat="1" applyFont="1" applyAlignment="1">
      <alignment horizontal="left" vertical="center"/>
    </xf>
    <xf numFmtId="4" fontId="42" fillId="27" borderId="0" xfId="0" applyNumberFormat="1" applyFont="1" applyFill="1" applyAlignment="1">
      <alignment horizontal="center" vertical="center" wrapText="1"/>
    </xf>
    <xf numFmtId="4" fontId="44" fillId="0" borderId="7" xfId="38" applyNumberFormat="1" applyFont="1" applyBorder="1" applyAlignment="1">
      <alignment horizontal="center" vertical="center" wrapText="1"/>
    </xf>
    <xf numFmtId="4" fontId="42" fillId="27" borderId="0" xfId="0" applyNumberFormat="1" applyFont="1" applyFill="1" applyAlignment="1">
      <alignment horizontal="left" vertical="center" wrapText="1"/>
    </xf>
    <xf numFmtId="0" fontId="5" fillId="28" borderId="0" xfId="35" applyFill="1"/>
    <xf numFmtId="0" fontId="49" fillId="0" borderId="7" xfId="39" applyFont="1" applyBorder="1" applyAlignment="1">
      <alignment horizontal="center" vertical="center" wrapText="1"/>
    </xf>
    <xf numFmtId="0" fontId="49" fillId="0" borderId="0" xfId="39" applyFont="1" applyAlignment="1">
      <alignment wrapText="1"/>
    </xf>
    <xf numFmtId="0" fontId="104" fillId="0" borderId="0" xfId="0" applyFont="1"/>
    <xf numFmtId="164" fontId="32" fillId="0" borderId="7" xfId="30" applyNumberFormat="1" applyFont="1" applyBorder="1" applyAlignment="1">
      <alignment horizontal="center" vertical="center" wrapText="1"/>
    </xf>
    <xf numFmtId="0" fontId="99" fillId="0" borderId="7" xfId="0" applyFont="1" applyBorder="1" applyAlignment="1">
      <alignment horizontal="center" vertical="center"/>
    </xf>
    <xf numFmtId="0" fontId="99" fillId="0" borderId="7" xfId="0" applyFont="1" applyBorder="1" applyAlignment="1">
      <alignment horizontal="left" vertical="center" wrapText="1"/>
    </xf>
    <xf numFmtId="4" fontId="99" fillId="0" borderId="7" xfId="0" applyNumberFormat="1" applyFont="1" applyBorder="1" applyAlignment="1">
      <alignment horizontal="center" vertical="center"/>
    </xf>
    <xf numFmtId="0" fontId="9" fillId="0" borderId="7" xfId="0" applyFont="1" applyBorder="1" applyAlignment="1">
      <alignment horizontal="left" vertical="center" wrapText="1"/>
    </xf>
    <xf numFmtId="0" fontId="44" fillId="0" borderId="0" xfId="0" applyFont="1"/>
    <xf numFmtId="0" fontId="29" fillId="0" borderId="0" xfId="35" applyFont="1" applyAlignment="1">
      <alignment horizontal="center" vertical="center" wrapText="1"/>
    </xf>
    <xf numFmtId="4" fontId="30" fillId="0" borderId="0" xfId="35" applyNumberFormat="1" applyFont="1" applyAlignment="1">
      <alignment horizontal="center" vertical="center"/>
    </xf>
    <xf numFmtId="0" fontId="105" fillId="0" borderId="0" xfId="0" applyFont="1" applyAlignment="1">
      <alignment vertical="center"/>
    </xf>
    <xf numFmtId="4" fontId="106" fillId="0" borderId="0" xfId="0" applyNumberFormat="1" applyFont="1" applyAlignment="1">
      <alignment vertical="center"/>
    </xf>
    <xf numFmtId="4" fontId="107" fillId="0" borderId="0" xfId="0" applyNumberFormat="1" applyFont="1" applyAlignment="1">
      <alignment vertical="center"/>
    </xf>
    <xf numFmtId="0" fontId="107" fillId="0" borderId="0" xfId="0" applyFont="1" applyAlignment="1">
      <alignment vertical="center"/>
    </xf>
    <xf numFmtId="4" fontId="105" fillId="0" borderId="0" xfId="0" applyNumberFormat="1" applyFont="1" applyAlignment="1">
      <alignment vertical="center"/>
    </xf>
    <xf numFmtId="0" fontId="106" fillId="0" borderId="0" xfId="0" applyFont="1" applyAlignment="1">
      <alignment vertical="center"/>
    </xf>
    <xf numFmtId="0" fontId="52" fillId="0" borderId="0" xfId="35" applyFont="1"/>
    <xf numFmtId="0" fontId="99" fillId="0" borderId="0" xfId="0" applyFont="1" applyAlignment="1">
      <alignment horizontal="center" vertical="center"/>
    </xf>
    <xf numFmtId="4" fontId="99" fillId="0" borderId="0" xfId="0" applyNumberFormat="1" applyFont="1" applyAlignment="1">
      <alignment horizontal="center" vertical="center"/>
    </xf>
    <xf numFmtId="4" fontId="99" fillId="0" borderId="0" xfId="0" applyNumberFormat="1" applyFont="1" applyAlignment="1">
      <alignment horizontal="left" vertical="center"/>
    </xf>
    <xf numFmtId="0" fontId="99" fillId="0" borderId="0" xfId="0" applyFont="1" applyAlignment="1">
      <alignment horizontal="right" vertical="center"/>
    </xf>
    <xf numFmtId="2" fontId="12" fillId="0" borderId="0" xfId="36" applyNumberFormat="1" applyFont="1">
      <alignment vertical="top"/>
    </xf>
    <xf numFmtId="0" fontId="12" fillId="0" borderId="0" xfId="36" applyFont="1">
      <alignment vertical="top"/>
    </xf>
    <xf numFmtId="0" fontId="9" fillId="0" borderId="0" xfId="39" applyFont="1"/>
    <xf numFmtId="0" fontId="63" fillId="0" borderId="7" xfId="39" applyFont="1" applyBorder="1" applyAlignment="1">
      <alignment vertical="center" wrapText="1"/>
    </xf>
    <xf numFmtId="0" fontId="37" fillId="0" borderId="0" xfId="0" applyFont="1" applyAlignment="1">
      <alignment horizontal="right"/>
    </xf>
    <xf numFmtId="164" fontId="6" fillId="0" borderId="0" xfId="0" applyNumberFormat="1" applyFont="1" applyAlignment="1">
      <alignment horizontal="right" vertical="center" wrapText="1"/>
    </xf>
    <xf numFmtId="0" fontId="102" fillId="0" borderId="0" xfId="0" applyFont="1" applyAlignment="1">
      <alignment vertical="center"/>
    </xf>
    <xf numFmtId="0" fontId="5" fillId="0" borderId="11" xfId="35" applyBorder="1" applyAlignment="1">
      <alignment horizontal="right" vertical="center"/>
    </xf>
    <xf numFmtId="0" fontId="30" fillId="29" borderId="7" xfId="35" applyFont="1" applyFill="1" applyBorder="1" applyAlignment="1">
      <alignment horizontal="left" vertical="center" wrapText="1"/>
    </xf>
    <xf numFmtId="0" fontId="38" fillId="29" borderId="7" xfId="0" applyFont="1" applyFill="1" applyBorder="1" applyAlignment="1">
      <alignment horizontal="center" vertical="center"/>
    </xf>
    <xf numFmtId="0" fontId="38" fillId="29" borderId="7" xfId="0" applyFont="1" applyFill="1" applyBorder="1" applyAlignment="1">
      <alignment horizontal="left" vertical="center"/>
    </xf>
    <xf numFmtId="49" fontId="30" fillId="29" borderId="7" xfId="35" applyNumberFormat="1" applyFont="1" applyFill="1" applyBorder="1" applyAlignment="1">
      <alignment horizontal="center" vertical="center" wrapText="1"/>
    </xf>
    <xf numFmtId="0" fontId="108" fillId="0" borderId="7" xfId="35" applyFont="1" applyBorder="1" applyAlignment="1">
      <alignment horizontal="center" vertical="center" wrapText="1"/>
    </xf>
    <xf numFmtId="0" fontId="13" fillId="0" borderId="7" xfId="0" applyFont="1" applyBorder="1" applyAlignment="1">
      <alignment horizontal="center" vertical="center"/>
    </xf>
    <xf numFmtId="0" fontId="30" fillId="0" borderId="8" xfId="0" applyFont="1" applyBorder="1" applyAlignment="1">
      <alignment horizontal="center" vertical="center" wrapText="1"/>
    </xf>
    <xf numFmtId="0" fontId="9" fillId="0" borderId="0" xfId="36" applyFont="1" applyAlignment="1">
      <alignment horizontal="right" vertical="top"/>
    </xf>
    <xf numFmtId="0" fontId="38" fillId="0" borderId="7" xfId="0" applyFont="1" applyBorder="1" applyAlignment="1">
      <alignment horizontal="center" vertical="center" wrapText="1"/>
    </xf>
    <xf numFmtId="4" fontId="45" fillId="28" borderId="9" xfId="0" applyNumberFormat="1" applyFont="1" applyFill="1" applyBorder="1" applyAlignment="1">
      <alignment horizontal="center" vertical="center" wrapText="1"/>
    </xf>
    <xf numFmtId="0" fontId="109" fillId="0" borderId="0" xfId="0" applyFont="1" applyAlignment="1">
      <alignment horizontal="center" vertical="center"/>
    </xf>
    <xf numFmtId="49" fontId="40" fillId="0" borderId="7" xfId="0" applyNumberFormat="1" applyFont="1" applyBorder="1" applyAlignment="1">
      <alignment horizontal="center" vertical="center"/>
    </xf>
    <xf numFmtId="49" fontId="29" fillId="0" borderId="7" xfId="35" applyNumberFormat="1" applyFont="1" applyBorder="1" applyAlignment="1">
      <alignment horizontal="center" vertical="center" wrapText="1"/>
    </xf>
    <xf numFmtId="0" fontId="29" fillId="0" borderId="7" xfId="35" applyFont="1" applyBorder="1" applyAlignment="1">
      <alignment horizontal="center" vertical="center" wrapText="1"/>
    </xf>
    <xf numFmtId="4" fontId="29" fillId="0" borderId="7" xfId="35" applyNumberFormat="1" applyFont="1" applyBorder="1" applyAlignment="1">
      <alignment horizontal="center" vertical="center"/>
    </xf>
    <xf numFmtId="49" fontId="30" fillId="0" borderId="7" xfId="35" applyNumberFormat="1" applyFont="1" applyBorder="1" applyAlignment="1">
      <alignment horizontal="center" vertical="center" wrapText="1"/>
    </xf>
    <xf numFmtId="49" fontId="30" fillId="0" borderId="7" xfId="0" applyNumberFormat="1" applyFont="1" applyBorder="1" applyAlignment="1">
      <alignment horizontal="center" vertical="center" wrapText="1"/>
    </xf>
    <xf numFmtId="4" fontId="30" fillId="0" borderId="7" xfId="35" applyNumberFormat="1" applyFont="1" applyBorder="1" applyAlignment="1">
      <alignment horizontal="center" vertical="center"/>
    </xf>
    <xf numFmtId="49" fontId="49" fillId="0" borderId="7" xfId="35" applyNumberFormat="1" applyFont="1" applyBorder="1" applyAlignment="1">
      <alignment horizontal="center" vertical="center" wrapText="1"/>
    </xf>
    <xf numFmtId="49" fontId="49" fillId="0" borderId="7" xfId="0" applyNumberFormat="1" applyFont="1" applyBorder="1" applyAlignment="1">
      <alignment horizontal="center" vertical="center" wrapText="1"/>
    </xf>
    <xf numFmtId="4" fontId="49" fillId="0" borderId="7" xfId="35" applyNumberFormat="1" applyFont="1" applyBorder="1" applyAlignment="1">
      <alignment horizontal="center" vertical="center"/>
    </xf>
    <xf numFmtId="49" fontId="40" fillId="0" borderId="12" xfId="0" applyNumberFormat="1" applyFont="1" applyBorder="1" applyAlignment="1">
      <alignment horizontal="center" vertical="center" wrapText="1"/>
    </xf>
    <xf numFmtId="0" fontId="40" fillId="0" borderId="7" xfId="38" applyFont="1" applyBorder="1" applyAlignment="1" applyProtection="1">
      <alignment horizontal="center" vertical="center" wrapText="1"/>
      <protection locked="0"/>
    </xf>
    <xf numFmtId="49" fontId="40" fillId="0" borderId="0" xfId="0" applyNumberFormat="1" applyFont="1" applyAlignment="1">
      <alignment horizontal="center" vertical="top" wrapText="1"/>
    </xf>
    <xf numFmtId="0" fontId="40" fillId="0" borderId="8" xfId="0" applyFont="1" applyBorder="1" applyAlignment="1">
      <alignment horizontal="center" vertical="center" wrapText="1"/>
    </xf>
    <xf numFmtId="49" fontId="40" fillId="0" borderId="15" xfId="0" applyNumberFormat="1"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4" fontId="42" fillId="0" borderId="14" xfId="0" applyNumberFormat="1" applyFont="1" applyBorder="1" applyAlignment="1">
      <alignment horizontal="center" vertical="center" wrapText="1"/>
    </xf>
    <xf numFmtId="2" fontId="10" fillId="0" borderId="0" xfId="38" applyNumberFormat="1" applyFont="1" applyAlignment="1" applyProtection="1">
      <alignment vertical="center" wrapText="1"/>
      <protection locked="0"/>
    </xf>
    <xf numFmtId="2" fontId="110" fillId="0" borderId="0" xfId="0" applyNumberFormat="1" applyFont="1" applyAlignment="1">
      <alignment horizontal="center" vertical="center"/>
    </xf>
    <xf numFmtId="0" fontId="80" fillId="0" borderId="0" xfId="0" applyFont="1" applyAlignment="1">
      <alignment horizontal="center" vertical="center"/>
    </xf>
    <xf numFmtId="4" fontId="44" fillId="0" borderId="7" xfId="0" applyNumberFormat="1" applyFont="1" applyBorder="1" applyAlignment="1">
      <alignment horizontal="center" vertical="center" wrapText="1"/>
    </xf>
    <xf numFmtId="4" fontId="42" fillId="30" borderId="7" xfId="0" applyNumberFormat="1" applyFont="1" applyFill="1" applyBorder="1" applyAlignment="1">
      <alignment horizontal="center" vertical="center"/>
    </xf>
    <xf numFmtId="49" fontId="9" fillId="0" borderId="7" xfId="0" applyNumberFormat="1" applyFont="1" applyBorder="1" applyAlignment="1">
      <alignment horizontal="center" vertical="center" wrapText="1"/>
    </xf>
    <xf numFmtId="4" fontId="42" fillId="0" borderId="7" xfId="38" applyNumberFormat="1" applyFont="1" applyBorder="1" applyAlignment="1">
      <alignment horizontal="center" vertical="center" wrapText="1"/>
    </xf>
    <xf numFmtId="0" fontId="40" fillId="0" borderId="8" xfId="38" applyFont="1" applyBorder="1" applyAlignment="1" applyProtection="1">
      <alignment horizontal="center" vertical="center" wrapText="1"/>
      <protection locked="0"/>
    </xf>
    <xf numFmtId="0" fontId="40" fillId="0" borderId="9" xfId="38" applyFont="1" applyBorder="1" applyAlignment="1" applyProtection="1">
      <alignment horizontal="center" vertical="center" wrapText="1"/>
      <protection locked="0"/>
    </xf>
    <xf numFmtId="2" fontId="113" fillId="0" borderId="0" xfId="36" applyNumberFormat="1" applyFont="1" applyAlignment="1">
      <alignment horizontal="center" vertical="top"/>
    </xf>
    <xf numFmtId="0" fontId="10" fillId="0" borderId="7" xfId="39" applyFont="1" applyBorder="1" applyAlignment="1">
      <alignment horizontal="center" vertical="center" wrapText="1"/>
    </xf>
    <xf numFmtId="0" fontId="5" fillId="0" borderId="0" xfId="0" applyFont="1" applyAlignment="1">
      <alignment horizontal="left" vertical="center" wrapText="1"/>
    </xf>
    <xf numFmtId="0" fontId="70" fillId="0" borderId="0" xfId="0" applyFont="1" applyAlignment="1">
      <alignment horizontal="center"/>
    </xf>
    <xf numFmtId="0" fontId="62" fillId="0" borderId="7" xfId="0" applyFont="1" applyBorder="1" applyAlignment="1">
      <alignment horizontal="center" vertical="center" wrapText="1"/>
    </xf>
    <xf numFmtId="4" fontId="44" fillId="0" borderId="7" xfId="0" applyNumberFormat="1" applyFont="1" applyBorder="1" applyAlignment="1">
      <alignment horizontal="center" vertical="center"/>
    </xf>
    <xf numFmtId="0" fontId="3" fillId="0" borderId="0" xfId="0" applyFont="1"/>
    <xf numFmtId="4" fontId="3" fillId="0" borderId="0" xfId="0" applyNumberFormat="1" applyFont="1"/>
    <xf numFmtId="4" fontId="5" fillId="0" borderId="7" xfId="0" applyNumberFormat="1" applyFont="1" applyBorder="1" applyAlignment="1">
      <alignment horizontal="center" vertical="center" wrapText="1"/>
    </xf>
    <xf numFmtId="0" fontId="115" fillId="0" borderId="0" xfId="0" applyFont="1"/>
    <xf numFmtId="0" fontId="115" fillId="0" borderId="0" xfId="36" applyFont="1">
      <alignment vertical="top"/>
    </xf>
    <xf numFmtId="0" fontId="115" fillId="0" borderId="0" xfId="35" applyFont="1"/>
    <xf numFmtId="0" fontId="44" fillId="0" borderId="0" xfId="36" applyFont="1">
      <alignment vertical="top"/>
    </xf>
    <xf numFmtId="0" fontId="44" fillId="0" borderId="0" xfId="35" applyFont="1" applyAlignment="1">
      <alignment horizontal="center" vertical="center"/>
    </xf>
    <xf numFmtId="0" fontId="44" fillId="0" borderId="0" xfId="35" applyFont="1"/>
    <xf numFmtId="4" fontId="116" fillId="0" borderId="0" xfId="0" applyNumberFormat="1" applyFont="1" applyAlignment="1">
      <alignment horizontal="center" vertical="center"/>
    </xf>
    <xf numFmtId="4" fontId="117" fillId="0" borderId="0" xfId="0" applyNumberFormat="1" applyFont="1" applyAlignment="1">
      <alignment vertical="center"/>
    </xf>
    <xf numFmtId="0" fontId="118" fillId="0" borderId="0" xfId="87" applyFont="1" applyAlignment="1">
      <alignment vertical="center"/>
    </xf>
    <xf numFmtId="0" fontId="2" fillId="0" borderId="0" xfId="87"/>
    <xf numFmtId="0" fontId="118" fillId="0" borderId="0" xfId="87" applyFont="1" applyAlignment="1">
      <alignment horizontal="center" vertical="center" wrapText="1"/>
    </xf>
    <xf numFmtId="0" fontId="120" fillId="0" borderId="7" xfId="87" applyFont="1" applyBorder="1" applyAlignment="1">
      <alignment horizontal="center" vertical="center" wrapText="1"/>
    </xf>
    <xf numFmtId="0" fontId="121" fillId="0" borderId="7" xfId="87" applyFont="1" applyBorder="1" applyAlignment="1">
      <alignment horizontal="center" vertical="center" wrapText="1"/>
    </xf>
    <xf numFmtId="49" fontId="118" fillId="0" borderId="7" xfId="87" applyNumberFormat="1" applyFont="1" applyBorder="1" applyAlignment="1">
      <alignment horizontal="center" vertical="center" wrapText="1"/>
    </xf>
    <xf numFmtId="0" fontId="118" fillId="0" borderId="7" xfId="87" applyFont="1" applyBorder="1" applyAlignment="1">
      <alignment horizontal="center" vertical="center" wrapText="1"/>
    </xf>
    <xf numFmtId="166" fontId="118" fillId="0" borderId="7" xfId="87" applyNumberFormat="1" applyFont="1" applyBorder="1" applyAlignment="1">
      <alignment horizontal="center" vertical="center" wrapText="1"/>
    </xf>
    <xf numFmtId="0" fontId="122" fillId="0" borderId="7" xfId="87" applyFont="1" applyBorder="1" applyAlignment="1">
      <alignment horizontal="center" vertical="center" wrapText="1"/>
    </xf>
    <xf numFmtId="0" fontId="123" fillId="0" borderId="7" xfId="87" applyFont="1" applyBorder="1" applyAlignment="1">
      <alignment horizontal="center" vertical="center" wrapText="1"/>
    </xf>
    <xf numFmtId="0" fontId="124" fillId="0" borderId="0" xfId="87" applyFont="1" applyAlignment="1">
      <alignment vertical="center"/>
    </xf>
    <xf numFmtId="0" fontId="29" fillId="0" borderId="0" xfId="35" applyFont="1"/>
    <xf numFmtId="49" fontId="40" fillId="0" borderId="8" xfId="0" applyNumberFormat="1" applyFont="1" applyBorder="1" applyAlignment="1">
      <alignment horizontal="center" vertical="center" wrapText="1"/>
    </xf>
    <xf numFmtId="4" fontId="42" fillId="0" borderId="8" xfId="0" applyNumberFormat="1" applyFont="1" applyBorder="1" applyAlignment="1">
      <alignment horizontal="center" vertical="center" wrapText="1"/>
    </xf>
    <xf numFmtId="49" fontId="40" fillId="0" borderId="7" xfId="0" applyNumberFormat="1" applyFont="1" applyBorder="1" applyAlignment="1">
      <alignment horizontal="center" vertical="center" wrapText="1"/>
    </xf>
    <xf numFmtId="4" fontId="42" fillId="0" borderId="7" xfId="0" applyNumberFormat="1" applyFont="1" applyBorder="1" applyAlignment="1">
      <alignment horizontal="center" vertical="center" wrapText="1"/>
    </xf>
    <xf numFmtId="4" fontId="44" fillId="0" borderId="8" xfId="0" applyNumberFormat="1" applyFont="1" applyBorder="1" applyAlignment="1">
      <alignment horizontal="center" vertical="center" wrapText="1"/>
    </xf>
    <xf numFmtId="49" fontId="40" fillId="32" borderId="7" xfId="0" applyNumberFormat="1" applyFont="1" applyFill="1" applyBorder="1" applyAlignment="1">
      <alignment horizontal="center" vertical="center" wrapText="1"/>
    </xf>
    <xf numFmtId="4" fontId="42" fillId="32" borderId="7" xfId="0" applyNumberFormat="1" applyFont="1" applyFill="1" applyBorder="1" applyAlignment="1">
      <alignment horizontal="center" vertical="center" wrapText="1"/>
    </xf>
    <xf numFmtId="4" fontId="44" fillId="32" borderId="7" xfId="38" applyNumberFormat="1" applyFont="1" applyFill="1" applyBorder="1" applyAlignment="1" applyProtection="1">
      <alignment horizontal="center" vertical="center" wrapText="1"/>
      <protection locked="0"/>
    </xf>
    <xf numFmtId="4" fontId="44" fillId="32" borderId="7" xfId="38" applyNumberFormat="1" applyFont="1" applyFill="1" applyBorder="1" applyAlignment="1">
      <alignment horizontal="center" vertical="center" wrapText="1"/>
    </xf>
    <xf numFmtId="4" fontId="44" fillId="32" borderId="7" xfId="0" applyNumberFormat="1" applyFont="1" applyFill="1" applyBorder="1" applyAlignment="1">
      <alignment horizontal="center" vertical="center" wrapText="1"/>
    </xf>
    <xf numFmtId="49" fontId="40" fillId="32" borderId="8" xfId="0" applyNumberFormat="1" applyFont="1" applyFill="1" applyBorder="1" applyAlignment="1">
      <alignment horizontal="center" vertical="center" wrapText="1"/>
    </xf>
    <xf numFmtId="4" fontId="42" fillId="32" borderId="7" xfId="38" applyNumberFormat="1" applyFont="1" applyFill="1" applyBorder="1" applyAlignment="1" applyProtection="1">
      <alignment horizontal="center" vertical="center" wrapText="1"/>
      <protection locked="0"/>
    </xf>
    <xf numFmtId="49" fontId="40" fillId="32" borderId="7" xfId="0" applyNumberFormat="1" applyFont="1" applyFill="1" applyBorder="1" applyAlignment="1">
      <alignment horizontal="center" vertical="center"/>
    </xf>
    <xf numFmtId="49" fontId="29" fillId="32" borderId="7" xfId="0" applyNumberFormat="1" applyFont="1" applyFill="1" applyBorder="1" applyAlignment="1">
      <alignment horizontal="center" vertical="center" wrapText="1"/>
    </xf>
    <xf numFmtId="164" fontId="32" fillId="32" borderId="7" xfId="30" applyNumberFormat="1" applyFont="1" applyFill="1" applyBorder="1" applyAlignment="1">
      <alignment horizontal="center" vertical="center"/>
    </xf>
    <xf numFmtId="4" fontId="32" fillId="32" borderId="7" xfId="30" applyNumberFormat="1" applyFont="1" applyFill="1" applyBorder="1" applyAlignment="1">
      <alignment horizontal="center" vertical="center"/>
    </xf>
    <xf numFmtId="164" fontId="32" fillId="32" borderId="7" xfId="30" applyNumberFormat="1" applyFont="1" applyFill="1" applyBorder="1" applyAlignment="1">
      <alignment horizontal="center" vertical="center" wrapText="1"/>
    </xf>
    <xf numFmtId="0" fontId="29" fillId="32" borderId="7" xfId="40" applyFont="1" applyFill="1" applyBorder="1" applyAlignment="1">
      <alignment horizontal="center" vertical="center" wrapText="1"/>
    </xf>
    <xf numFmtId="0" fontId="29" fillId="32" borderId="7" xfId="0" applyFont="1" applyFill="1" applyBorder="1" applyAlignment="1">
      <alignment horizontal="center" vertical="center" wrapText="1"/>
    </xf>
    <xf numFmtId="0" fontId="99" fillId="0" borderId="17" xfId="0" applyFont="1" applyBorder="1" applyAlignment="1">
      <alignment horizontal="center" vertical="center"/>
    </xf>
    <xf numFmtId="0" fontId="9" fillId="0" borderId="14" xfId="0" applyFont="1" applyBorder="1" applyAlignment="1">
      <alignment horizontal="left" vertical="center" wrapText="1"/>
    </xf>
    <xf numFmtId="49" fontId="29" fillId="0" borderId="7" xfId="0" applyNumberFormat="1" applyFont="1" applyBorder="1" applyAlignment="1">
      <alignment horizontal="center" vertical="center" wrapText="1"/>
    </xf>
    <xf numFmtId="164" fontId="32" fillId="0" borderId="7" xfId="30" applyNumberFormat="1" applyFont="1" applyBorder="1" applyAlignment="1">
      <alignment horizontal="center" vertical="center"/>
    </xf>
    <xf numFmtId="4" fontId="32" fillId="0" borderId="7" xfId="30" applyNumberFormat="1" applyFont="1" applyBorder="1" applyAlignment="1">
      <alignment horizontal="center" vertical="center"/>
    </xf>
    <xf numFmtId="4" fontId="29" fillId="0" borderId="7" xfId="0" applyNumberFormat="1" applyFont="1" applyBorder="1" applyAlignment="1">
      <alignment horizontal="center" vertical="center" wrapText="1"/>
    </xf>
    <xf numFmtId="9" fontId="29" fillId="0" borderId="7" xfId="0" applyNumberFormat="1" applyFont="1" applyBorder="1" applyAlignment="1">
      <alignment horizontal="center" vertical="center" wrapText="1"/>
    </xf>
    <xf numFmtId="164" fontId="111" fillId="0" borderId="7" xfId="30" applyNumberFormat="1" applyFont="1" applyBorder="1" applyAlignment="1">
      <alignment horizontal="center" vertical="center" wrapText="1"/>
    </xf>
    <xf numFmtId="4" fontId="40" fillId="0" borderId="7" xfId="0" applyNumberFormat="1" applyFont="1" applyBorder="1" applyAlignment="1">
      <alignment horizontal="center" vertical="center" wrapText="1"/>
    </xf>
    <xf numFmtId="49" fontId="41" fillId="33" borderId="7" xfId="0" applyNumberFormat="1" applyFont="1" applyFill="1" applyBorder="1" applyAlignment="1">
      <alignment horizontal="center" vertical="center" wrapText="1"/>
    </xf>
    <xf numFmtId="0" fontId="41" fillId="33" borderId="7" xfId="38" applyFont="1" applyFill="1" applyBorder="1" applyAlignment="1" applyProtection="1">
      <alignment horizontal="center" vertical="center" wrapText="1"/>
      <protection locked="0"/>
    </xf>
    <xf numFmtId="4" fontId="45" fillId="33" borderId="7" xfId="0" applyNumberFormat="1" applyFont="1" applyFill="1" applyBorder="1" applyAlignment="1">
      <alignment horizontal="center" vertical="center"/>
    </xf>
    <xf numFmtId="49" fontId="38" fillId="33" borderId="7" xfId="0" applyNumberFormat="1" applyFont="1" applyFill="1" applyBorder="1" applyAlignment="1">
      <alignment horizontal="center" vertical="center" wrapText="1"/>
    </xf>
    <xf numFmtId="0" fontId="38" fillId="33" borderId="7" xfId="38" applyFont="1" applyFill="1" applyBorder="1" applyAlignment="1" applyProtection="1">
      <alignment horizontal="center" vertical="center" wrapText="1"/>
      <protection locked="0"/>
    </xf>
    <xf numFmtId="4" fontId="42" fillId="33" borderId="7" xfId="0" applyNumberFormat="1" applyFont="1" applyFill="1" applyBorder="1" applyAlignment="1">
      <alignment horizontal="center" vertical="center" wrapText="1"/>
    </xf>
    <xf numFmtId="4" fontId="45" fillId="33" borderId="7" xfId="0" applyNumberFormat="1" applyFont="1" applyFill="1" applyBorder="1" applyAlignment="1">
      <alignment horizontal="center" vertical="center" wrapText="1"/>
    </xf>
    <xf numFmtId="49" fontId="41" fillId="33" borderId="7" xfId="0" applyNumberFormat="1" applyFont="1" applyFill="1" applyBorder="1" applyAlignment="1">
      <alignment horizontal="center" vertical="center"/>
    </xf>
    <xf numFmtId="49" fontId="39" fillId="33" borderId="7" xfId="0" applyNumberFormat="1" applyFont="1" applyFill="1" applyBorder="1" applyAlignment="1">
      <alignment horizontal="center" vertical="center"/>
    </xf>
    <xf numFmtId="4" fontId="45" fillId="33" borderId="7" xfId="38" applyNumberFormat="1" applyFont="1" applyFill="1" applyBorder="1" applyAlignment="1" applyProtection="1">
      <alignment horizontal="center" vertical="center" wrapText="1"/>
      <protection locked="0"/>
    </xf>
    <xf numFmtId="0" fontId="41" fillId="33" borderId="7" xfId="0" applyFont="1" applyFill="1" applyBorder="1" applyAlignment="1">
      <alignment horizontal="center" vertical="center" wrapText="1"/>
    </xf>
    <xf numFmtId="0" fontId="38" fillId="33" borderId="7" xfId="0" applyFont="1" applyFill="1" applyBorder="1" applyAlignment="1">
      <alignment horizontal="center" vertical="center" wrapText="1"/>
    </xf>
    <xf numFmtId="49" fontId="49" fillId="33" borderId="7" xfId="0" applyNumberFormat="1" applyFont="1" applyFill="1" applyBorder="1" applyAlignment="1">
      <alignment horizontal="center" vertical="center" wrapText="1"/>
    </xf>
    <xf numFmtId="49" fontId="29" fillId="33" borderId="7" xfId="35" applyNumberFormat="1" applyFont="1" applyFill="1" applyBorder="1" applyAlignment="1">
      <alignment horizontal="center" vertical="center" wrapText="1"/>
    </xf>
    <xf numFmtId="0" fontId="49" fillId="33" borderId="7" xfId="38" applyFont="1" applyFill="1" applyBorder="1" applyAlignment="1" applyProtection="1">
      <alignment horizontal="center" vertical="center" wrapText="1"/>
      <protection locked="0"/>
    </xf>
    <xf numFmtId="164" fontId="15" fillId="33" borderId="7" xfId="30" applyNumberFormat="1" applyFont="1" applyFill="1" applyBorder="1" applyAlignment="1">
      <alignment horizontal="center" vertical="center"/>
    </xf>
    <xf numFmtId="164" fontId="31" fillId="33" borderId="7" xfId="30" applyNumberFormat="1" applyFont="1" applyFill="1" applyBorder="1" applyAlignment="1">
      <alignment horizontal="center" vertical="center"/>
    </xf>
    <xf numFmtId="4" fontId="33" fillId="33" borderId="7" xfId="30" applyNumberFormat="1" applyFont="1" applyFill="1" applyBorder="1" applyAlignment="1">
      <alignment horizontal="center" vertical="center"/>
    </xf>
    <xf numFmtId="49" fontId="30" fillId="33" borderId="7" xfId="0" applyNumberFormat="1" applyFont="1" applyFill="1" applyBorder="1" applyAlignment="1">
      <alignment horizontal="center" vertical="center" wrapText="1"/>
    </xf>
    <xf numFmtId="0" fontId="30" fillId="33" borderId="7" xfId="35" applyFont="1" applyFill="1" applyBorder="1" applyAlignment="1">
      <alignment horizontal="center" vertical="center" wrapText="1"/>
    </xf>
    <xf numFmtId="49" fontId="30" fillId="33" borderId="7" xfId="35" applyNumberFormat="1" applyFont="1" applyFill="1" applyBorder="1" applyAlignment="1">
      <alignment horizontal="center" vertical="center" wrapText="1"/>
    </xf>
    <xf numFmtId="0" fontId="30" fillId="33" borderId="7" xfId="38" applyFont="1" applyFill="1" applyBorder="1" applyAlignment="1" applyProtection="1">
      <alignment horizontal="center" vertical="center" wrapText="1"/>
      <protection locked="0"/>
    </xf>
    <xf numFmtId="164" fontId="37" fillId="33" borderId="7" xfId="30" applyNumberFormat="1" applyFont="1" applyFill="1" applyBorder="1" applyAlignment="1">
      <alignment horizontal="center" vertical="center"/>
    </xf>
    <xf numFmtId="164" fontId="32" fillId="33" borderId="7" xfId="30" applyNumberFormat="1" applyFont="1" applyFill="1" applyBorder="1" applyAlignment="1">
      <alignment horizontal="center" vertical="center"/>
    </xf>
    <xf numFmtId="4" fontId="31" fillId="33" borderId="7" xfId="30" applyNumberFormat="1" applyFont="1" applyFill="1" applyBorder="1" applyAlignment="1">
      <alignment horizontal="center" vertical="center"/>
    </xf>
    <xf numFmtId="4" fontId="79" fillId="0" borderId="0" xfId="0" applyNumberFormat="1" applyFont="1" applyAlignment="1">
      <alignment horizontal="left"/>
    </xf>
    <xf numFmtId="4" fontId="38" fillId="33" borderId="7" xfId="0" applyNumberFormat="1" applyFont="1" applyFill="1" applyBorder="1" applyAlignment="1">
      <alignment horizontal="center" vertical="center" wrapText="1"/>
    </xf>
    <xf numFmtId="0" fontId="111" fillId="0" borderId="7" xfId="0" applyFont="1" applyBorder="1" applyAlignment="1">
      <alignment horizontal="center" vertical="center" wrapText="1"/>
    </xf>
    <xf numFmtId="0" fontId="29" fillId="0" borderId="7" xfId="40" applyFont="1" applyBorder="1" applyAlignment="1">
      <alignment horizontal="center" vertical="center" wrapText="1"/>
    </xf>
    <xf numFmtId="9" fontId="32" fillId="0" borderId="10" xfId="30" applyNumberFormat="1" applyFont="1" applyBorder="1" applyAlignment="1">
      <alignment horizontal="center" vertical="center"/>
    </xf>
    <xf numFmtId="0" fontId="29" fillId="0" borderId="7" xfId="41" applyFont="1" applyBorder="1" applyAlignment="1">
      <alignment horizontal="center" vertical="center" wrapText="1"/>
    </xf>
    <xf numFmtId="4" fontId="32" fillId="0" borderId="10" xfId="30" applyNumberFormat="1" applyFont="1" applyBorder="1" applyAlignment="1">
      <alignment horizontal="center" vertical="center"/>
    </xf>
    <xf numFmtId="4" fontId="29" fillId="0" borderId="7" xfId="30" applyNumberFormat="1" applyFont="1" applyBorder="1" applyAlignment="1">
      <alignment horizontal="center" vertical="center"/>
    </xf>
    <xf numFmtId="4" fontId="29" fillId="0" borderId="10" xfId="30" applyNumberFormat="1" applyFont="1" applyBorder="1" applyAlignment="1">
      <alignment horizontal="center" vertical="center"/>
    </xf>
    <xf numFmtId="9" fontId="29" fillId="0" borderId="10" xfId="30" applyNumberFormat="1" applyFont="1" applyBorder="1" applyAlignment="1">
      <alignment horizontal="center" vertical="center"/>
    </xf>
    <xf numFmtId="0" fontId="125" fillId="0" borderId="7" xfId="87" applyFont="1" applyBorder="1" applyAlignment="1">
      <alignment horizontal="center" vertical="center" wrapText="1"/>
    </xf>
    <xf numFmtId="0" fontId="50" fillId="0" borderId="7" xfId="87" applyFont="1" applyBorder="1" applyAlignment="1">
      <alignment horizontal="center" vertical="center" wrapText="1"/>
    </xf>
    <xf numFmtId="0" fontId="29" fillId="0" borderId="7" xfId="87" applyFont="1" applyBorder="1" applyAlignment="1">
      <alignment horizontal="center" vertical="center" wrapText="1"/>
    </xf>
    <xf numFmtId="9" fontId="29" fillId="0" borderId="7" xfId="30" applyNumberFormat="1" applyFont="1" applyBorder="1" applyAlignment="1">
      <alignment horizontal="center" vertical="center"/>
    </xf>
    <xf numFmtId="0" fontId="32" fillId="0" borderId="7" xfId="0" applyFont="1" applyBorder="1" applyAlignment="1">
      <alignment horizontal="center" vertical="center" wrapText="1"/>
    </xf>
    <xf numFmtId="9" fontId="50" fillId="0" borderId="7" xfId="30" applyNumberFormat="1" applyFont="1" applyBorder="1" applyAlignment="1">
      <alignment horizontal="center" vertical="center"/>
    </xf>
    <xf numFmtId="0" fontId="29" fillId="0" borderId="7" xfId="94" applyFont="1" applyBorder="1" applyAlignment="1">
      <alignment horizontal="center" vertical="center" wrapText="1"/>
    </xf>
    <xf numFmtId="0" fontId="114" fillId="0" borderId="7" xfId="0" applyFont="1" applyBorder="1" applyAlignment="1">
      <alignment horizontal="center" vertical="center" wrapText="1"/>
    </xf>
    <xf numFmtId="0" fontId="112" fillId="0" borderId="7" xfId="0" applyFont="1" applyBorder="1" applyAlignment="1">
      <alignment horizontal="center" vertical="center" wrapText="1"/>
    </xf>
    <xf numFmtId="4" fontId="40" fillId="0" borderId="7" xfId="38" applyNumberFormat="1" applyFont="1" applyBorder="1" applyAlignment="1" applyProtection="1">
      <alignment horizontal="center" vertical="center" wrapText="1"/>
      <protection locked="0"/>
    </xf>
    <xf numFmtId="0" fontId="29" fillId="0" borderId="7" xfId="0" applyFont="1" applyBorder="1" applyAlignment="1">
      <alignment horizontal="center" vertical="center" wrapText="1"/>
    </xf>
    <xf numFmtId="49" fontId="50" fillId="0" borderId="7" xfId="0" applyNumberFormat="1" applyFont="1" applyBorder="1" applyAlignment="1">
      <alignment horizontal="center" vertical="center" wrapText="1"/>
    </xf>
    <xf numFmtId="164" fontId="53" fillId="0" borderId="7" xfId="30" applyNumberFormat="1" applyFont="1" applyBorder="1" applyAlignment="1">
      <alignment horizontal="center" vertical="center"/>
    </xf>
    <xf numFmtId="4" fontId="50" fillId="0" borderId="7" xfId="30" applyNumberFormat="1" applyFont="1" applyBorder="1" applyAlignment="1">
      <alignment horizontal="center" vertical="center"/>
    </xf>
    <xf numFmtId="0" fontId="50" fillId="0" borderId="7" xfId="0" applyFont="1" applyBorder="1" applyAlignment="1">
      <alignment horizontal="center" vertical="center" wrapText="1"/>
    </xf>
    <xf numFmtId="0" fontId="50" fillId="0" borderId="7" xfId="46" applyFont="1" applyBorder="1" applyAlignment="1">
      <alignment horizontal="center" vertical="center" wrapText="1"/>
    </xf>
    <xf numFmtId="0" fontId="29" fillId="0" borderId="7" xfId="93" applyFont="1" applyBorder="1" applyAlignment="1">
      <alignment horizontal="center" vertical="center" wrapText="1"/>
    </xf>
    <xf numFmtId="0" fontId="29" fillId="0" borderId="7" xfId="85" applyFont="1" applyBorder="1" applyAlignment="1">
      <alignment horizontal="center" vertical="center" wrapText="1"/>
    </xf>
    <xf numFmtId="0" fontId="29" fillId="0" borderId="8" xfId="85" applyFont="1" applyBorder="1" applyAlignment="1">
      <alignment horizontal="center" vertical="center" wrapText="1"/>
    </xf>
    <xf numFmtId="4" fontId="43" fillId="0" borderId="7" xfId="0" applyNumberFormat="1" applyFont="1" applyBorder="1" applyAlignment="1">
      <alignment horizontal="center" vertical="center" wrapText="1"/>
    </xf>
    <xf numFmtId="0" fontId="126" fillId="0" borderId="0" xfId="0" applyFont="1" applyAlignment="1">
      <alignment horizontal="center" vertical="center"/>
    </xf>
    <xf numFmtId="4" fontId="43" fillId="0" borderId="0" xfId="0" applyNumberFormat="1" applyFont="1" applyAlignment="1">
      <alignment horizontal="center" vertical="center" wrapText="1"/>
    </xf>
    <xf numFmtId="9" fontId="32" fillId="0" borderId="7" xfId="30" applyNumberFormat="1" applyFont="1" applyBorder="1" applyAlignment="1">
      <alignment horizontal="center" vertical="center"/>
    </xf>
    <xf numFmtId="164" fontId="29" fillId="0" borderId="7" xfId="0" applyNumberFormat="1" applyFont="1" applyBorder="1" applyAlignment="1">
      <alignment horizontal="center" vertical="center" wrapText="1"/>
    </xf>
    <xf numFmtId="0" fontId="29" fillId="0" borderId="7" xfId="38" applyFont="1" applyBorder="1" applyAlignment="1" applyProtection="1">
      <alignment horizontal="center" vertical="center" wrapText="1"/>
      <protection locked="0"/>
    </xf>
    <xf numFmtId="164" fontId="32" fillId="0" borderId="0" xfId="30" applyNumberFormat="1" applyFont="1" applyAlignment="1">
      <alignment horizontal="center" vertical="center" wrapText="1"/>
    </xf>
    <xf numFmtId="49" fontId="49" fillId="33" borderId="8" xfId="0" applyNumberFormat="1" applyFont="1" applyFill="1" applyBorder="1" applyAlignment="1">
      <alignment horizontal="center" vertical="center" wrapText="1"/>
    </xf>
    <xf numFmtId="164" fontId="37" fillId="33" borderId="8" xfId="30" applyNumberFormat="1" applyFont="1" applyFill="1" applyBorder="1" applyAlignment="1">
      <alignment horizontal="center" vertical="center"/>
    </xf>
    <xf numFmtId="164" fontId="32" fillId="33" borderId="8" xfId="30" applyNumberFormat="1" applyFont="1" applyFill="1" applyBorder="1" applyAlignment="1">
      <alignment horizontal="center" vertical="center"/>
    </xf>
    <xf numFmtId="4" fontId="33" fillId="33" borderId="8" xfId="30" applyNumberFormat="1" applyFont="1" applyFill="1" applyBorder="1" applyAlignment="1">
      <alignment horizontal="center" vertical="center"/>
    </xf>
    <xf numFmtId="49" fontId="29" fillId="0" borderId="10" xfId="0" applyNumberFormat="1" applyFont="1" applyBorder="1" applyAlignment="1">
      <alignment horizontal="center" vertical="center" wrapText="1"/>
    </xf>
    <xf numFmtId="0" fontId="5" fillId="0" borderId="7" xfId="35" applyBorder="1"/>
    <xf numFmtId="0" fontId="5" fillId="33" borderId="0" xfId="35" applyFill="1"/>
    <xf numFmtId="0" fontId="49" fillId="33" borderId="7" xfId="0" applyFont="1" applyFill="1" applyBorder="1" applyAlignment="1">
      <alignment horizontal="center" vertical="center" wrapText="1"/>
    </xf>
    <xf numFmtId="0" fontId="30" fillId="33" borderId="7" xfId="0" applyFont="1" applyFill="1" applyBorder="1" applyAlignment="1">
      <alignment horizontal="center" vertical="center" wrapText="1"/>
    </xf>
    <xf numFmtId="49" fontId="29" fillId="0" borderId="8" xfId="0" applyNumberFormat="1" applyFont="1" applyBorder="1" applyAlignment="1">
      <alignment horizontal="center" vertical="center" wrapText="1"/>
    </xf>
    <xf numFmtId="0" fontId="55" fillId="0" borderId="7" xfId="0" applyFont="1" applyBorder="1" applyAlignment="1">
      <alignment horizontal="center" vertical="center" wrapText="1"/>
    </xf>
    <xf numFmtId="4" fontId="43" fillId="0" borderId="8" xfId="0" applyNumberFormat="1" applyFont="1" applyBorder="1" applyAlignment="1">
      <alignment horizontal="center" vertical="center" wrapText="1"/>
    </xf>
    <xf numFmtId="164" fontId="111" fillId="0" borderId="8" xfId="30" applyNumberFormat="1" applyFont="1" applyBorder="1" applyAlignment="1">
      <alignment horizontal="center" vertical="center" wrapText="1"/>
    </xf>
    <xf numFmtId="4" fontId="44" fillId="0" borderId="0" xfId="0" applyNumberFormat="1" applyFont="1" applyAlignment="1">
      <alignment horizontal="center" vertical="center" wrapText="1"/>
    </xf>
    <xf numFmtId="4" fontId="45" fillId="28" borderId="22" xfId="0" applyNumberFormat="1" applyFont="1" applyFill="1" applyBorder="1" applyAlignment="1">
      <alignment horizontal="center" vertical="center" wrapText="1"/>
    </xf>
    <xf numFmtId="4" fontId="49" fillId="33" borderId="7" xfId="35" applyNumberFormat="1" applyFont="1" applyFill="1" applyBorder="1" applyAlignment="1">
      <alignment horizontal="center" vertical="center" wrapText="1"/>
    </xf>
    <xf numFmtId="4" fontId="30" fillId="33" borderId="7" xfId="35" applyNumberFormat="1" applyFont="1" applyFill="1" applyBorder="1" applyAlignment="1">
      <alignment horizontal="center" vertical="center" wrapText="1"/>
    </xf>
    <xf numFmtId="4" fontId="42" fillId="33" borderId="7" xfId="0" applyNumberFormat="1" applyFont="1" applyFill="1" applyBorder="1" applyAlignment="1">
      <alignment horizontal="center" vertical="center"/>
    </xf>
    <xf numFmtId="4" fontId="44" fillId="0" borderId="0" xfId="0" applyNumberFormat="1" applyFont="1" applyAlignment="1">
      <alignment horizontal="center" vertical="top" wrapText="1"/>
    </xf>
    <xf numFmtId="4" fontId="44" fillId="0" borderId="8" xfId="0" applyNumberFormat="1" applyFont="1" applyBorder="1" applyAlignment="1">
      <alignment horizontal="center" wrapText="1"/>
    </xf>
    <xf numFmtId="49" fontId="30" fillId="33" borderId="7" xfId="0" applyNumberFormat="1" applyFont="1" applyFill="1" applyBorder="1" applyAlignment="1">
      <alignment horizontal="center" vertical="center"/>
    </xf>
    <xf numFmtId="49" fontId="29" fillId="33" borderId="7" xfId="0" applyNumberFormat="1" applyFont="1" applyFill="1" applyBorder="1" applyAlignment="1">
      <alignment horizontal="center" vertical="center"/>
    </xf>
    <xf numFmtId="49" fontId="40" fillId="0" borderId="8" xfId="0" applyNumberFormat="1" applyFont="1" applyBorder="1" applyAlignment="1">
      <alignment horizontal="center" wrapText="1"/>
    </xf>
    <xf numFmtId="4" fontId="127" fillId="0" borderId="0" xfId="0" applyNumberFormat="1" applyFont="1" applyAlignment="1">
      <alignment horizontal="left" vertical="center"/>
    </xf>
    <xf numFmtId="164" fontId="29" fillId="0" borderId="7" xfId="30" applyNumberFormat="1" applyFont="1" applyBorder="1" applyAlignment="1">
      <alignment horizontal="center" vertical="center"/>
    </xf>
    <xf numFmtId="4" fontId="109" fillId="0" borderId="0" xfId="0" applyNumberFormat="1" applyFont="1" applyAlignment="1">
      <alignment horizontal="center" vertical="center"/>
    </xf>
    <xf numFmtId="0" fontId="128" fillId="0" borderId="0" xfId="35" applyFont="1" applyAlignment="1">
      <alignment horizontal="left"/>
    </xf>
    <xf numFmtId="4" fontId="30" fillId="0" borderId="7" xfId="0" applyNumberFormat="1" applyFont="1" applyBorder="1" applyAlignment="1">
      <alignment horizontal="center" vertical="center" wrapText="1"/>
    </xf>
    <xf numFmtId="49" fontId="40" fillId="0" borderId="7" xfId="35" applyNumberFormat="1" applyFont="1" applyBorder="1" applyAlignment="1">
      <alignment horizontal="center" vertical="center" wrapText="1"/>
    </xf>
    <xf numFmtId="0" fontId="40" fillId="0" borderId="7" xfId="35" applyFont="1" applyBorder="1" applyAlignment="1">
      <alignment horizontal="center" vertical="center" wrapText="1"/>
    </xf>
    <xf numFmtId="49" fontId="40" fillId="0" borderId="7" xfId="0" applyNumberFormat="1" applyFont="1" applyBorder="1" applyAlignment="1">
      <alignment horizontal="center" vertical="center" wrapText="1"/>
    </xf>
    <xf numFmtId="4" fontId="42" fillId="0" borderId="7" xfId="0" applyNumberFormat="1" applyFont="1" applyBorder="1" applyAlignment="1">
      <alignment horizontal="center" vertical="center" wrapText="1"/>
    </xf>
    <xf numFmtId="49" fontId="40" fillId="0" borderId="7" xfId="0" applyNumberFormat="1" applyFont="1" applyBorder="1" applyAlignment="1">
      <alignment horizontal="center" vertical="center" wrapText="1"/>
    </xf>
    <xf numFmtId="167" fontId="92" fillId="0" borderId="0" xfId="0" applyNumberFormat="1" applyFont="1" applyAlignment="1">
      <alignment vertical="center"/>
    </xf>
    <xf numFmtId="168" fontId="102" fillId="0" borderId="0" xfId="0" applyNumberFormat="1" applyFont="1" applyAlignment="1">
      <alignment vertical="center"/>
    </xf>
    <xf numFmtId="0" fontId="0" fillId="0" borderId="0" xfId="0"/>
    <xf numFmtId="49" fontId="40" fillId="0" borderId="7" xfId="0" applyNumberFormat="1" applyFont="1" applyBorder="1" applyAlignment="1">
      <alignment horizontal="center" vertical="center" wrapText="1"/>
    </xf>
    <xf numFmtId="49" fontId="50" fillId="0" borderId="7" xfId="0" applyNumberFormat="1" applyFont="1" applyFill="1" applyBorder="1" applyAlignment="1">
      <alignment horizontal="center" vertical="center" wrapText="1"/>
    </xf>
    <xf numFmtId="0" fontId="50" fillId="0" borderId="7" xfId="0" applyFont="1" applyFill="1" applyBorder="1" applyAlignment="1">
      <alignment horizontal="center" vertical="center" wrapText="1"/>
    </xf>
    <xf numFmtId="164" fontId="53" fillId="0" borderId="7" xfId="30" applyNumberFormat="1" applyFont="1" applyFill="1" applyBorder="1" applyAlignment="1">
      <alignment horizontal="center" vertical="center"/>
    </xf>
    <xf numFmtId="164" fontId="53" fillId="0" borderId="8" xfId="30" applyNumberFormat="1" applyFont="1" applyFill="1" applyBorder="1" applyAlignment="1">
      <alignment horizontal="center" vertical="center"/>
    </xf>
    <xf numFmtId="4" fontId="50" fillId="0" borderId="8" xfId="30" applyNumberFormat="1" applyFont="1" applyFill="1" applyBorder="1" applyAlignment="1">
      <alignment horizontal="center" vertical="center"/>
    </xf>
    <xf numFmtId="9" fontId="29" fillId="0" borderId="7" xfId="30" applyNumberFormat="1" applyFont="1" applyFill="1" applyBorder="1" applyAlignment="1">
      <alignment horizontal="center" vertical="center"/>
    </xf>
    <xf numFmtId="4" fontId="29" fillId="0" borderId="7" xfId="30" applyNumberFormat="1" applyFont="1" applyFill="1" applyBorder="1" applyAlignment="1">
      <alignment horizontal="center" vertical="center"/>
    </xf>
    <xf numFmtId="4" fontId="32" fillId="0" borderId="7" xfId="30" applyNumberFormat="1" applyFont="1" applyFill="1" applyBorder="1" applyAlignment="1">
      <alignment horizontal="center" vertical="center"/>
    </xf>
    <xf numFmtId="9" fontId="32" fillId="0" borderId="7" xfId="30" applyNumberFormat="1" applyFont="1" applyFill="1" applyBorder="1" applyAlignment="1">
      <alignment horizontal="center" vertical="center"/>
    </xf>
    <xf numFmtId="0" fontId="29" fillId="0" borderId="10" xfId="41" applyFont="1" applyFill="1" applyBorder="1" applyAlignment="1">
      <alignment horizontal="center" vertical="center" wrapText="1"/>
    </xf>
    <xf numFmtId="4" fontId="32" fillId="0" borderId="10" xfId="30" applyNumberFormat="1" applyFont="1" applyFill="1" applyBorder="1" applyAlignment="1">
      <alignment horizontal="center" vertical="center"/>
    </xf>
    <xf numFmtId="9" fontId="32" fillId="0" borderId="10" xfId="30" applyNumberFormat="1" applyFont="1" applyFill="1" applyBorder="1" applyAlignment="1">
      <alignment horizontal="center" vertical="center"/>
    </xf>
    <xf numFmtId="9" fontId="29" fillId="0" borderId="10" xfId="30" applyNumberFormat="1" applyFont="1" applyFill="1" applyBorder="1" applyAlignment="1">
      <alignment horizontal="center" vertical="center"/>
    </xf>
    <xf numFmtId="0" fontId="29" fillId="0" borderId="7" xfId="40" applyFont="1" applyFill="1" applyBorder="1" applyAlignment="1">
      <alignment horizontal="center" vertical="center" wrapText="1"/>
    </xf>
    <xf numFmtId="0" fontId="9" fillId="0" borderId="0" xfId="0" applyFont="1" applyAlignment="1">
      <alignment horizontal="center" vertical="center"/>
    </xf>
    <xf numFmtId="0" fontId="0" fillId="0" borderId="0" xfId="0"/>
    <xf numFmtId="0" fontId="0" fillId="0" borderId="0" xfId="0" applyAlignment="1">
      <alignment horizontal="center" vertical="center"/>
    </xf>
    <xf numFmtId="0" fontId="60" fillId="0" borderId="0" xfId="39" applyFont="1" applyAlignment="1">
      <alignment horizontal="center" vertical="center"/>
    </xf>
    <xf numFmtId="0" fontId="10" fillId="0" borderId="7" xfId="39" applyFont="1" applyBorder="1" applyAlignment="1">
      <alignment horizontal="center" vertical="center" wrapText="1"/>
    </xf>
    <xf numFmtId="0" fontId="13" fillId="0" borderId="17" xfId="0" applyFont="1" applyBorder="1" applyAlignment="1">
      <alignment horizontal="left" vertical="center" wrapText="1"/>
    </xf>
    <xf numFmtId="0" fontId="13" fillId="0" borderId="14" xfId="0" applyFont="1" applyBorder="1" applyAlignment="1">
      <alignment horizontal="left" vertical="center" wrapText="1"/>
    </xf>
    <xf numFmtId="0" fontId="8"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0" fontId="70" fillId="0" borderId="0" xfId="0" applyFont="1" applyAlignment="1">
      <alignment horizontal="center"/>
    </xf>
    <xf numFmtId="0" fontId="62" fillId="0" borderId="7" xfId="0" applyFont="1" applyBorder="1" applyAlignment="1">
      <alignment horizontal="center" vertical="center" wrapText="1"/>
    </xf>
    <xf numFmtId="0" fontId="62" fillId="0" borderId="8" xfId="0" applyFont="1" applyBorder="1" applyAlignment="1">
      <alignment horizontal="center" vertical="center" wrapText="1"/>
    </xf>
    <xf numFmtId="0" fontId="0" fillId="0" borderId="10" xfId="0" applyBorder="1" applyAlignment="1">
      <alignment horizontal="center" vertical="center" wrapText="1"/>
    </xf>
    <xf numFmtId="4" fontId="40" fillId="0" borderId="8" xfId="0" applyNumberFormat="1" applyFont="1" applyBorder="1" applyAlignment="1">
      <alignment horizontal="center" vertical="center" wrapText="1"/>
    </xf>
    <xf numFmtId="4" fontId="40" fillId="0" borderId="10" xfId="0" applyNumberFormat="1" applyFont="1" applyBorder="1" applyAlignment="1">
      <alignment horizontal="center" vertical="center" wrapText="1"/>
    </xf>
    <xf numFmtId="4" fontId="44" fillId="0" borderId="8" xfId="0" applyNumberFormat="1" applyFont="1" applyBorder="1" applyAlignment="1">
      <alignment horizontal="center" vertical="center"/>
    </xf>
    <xf numFmtId="4" fontId="44" fillId="0" borderId="10" xfId="0" applyNumberFormat="1" applyFont="1" applyBorder="1" applyAlignment="1">
      <alignment horizontal="center" vertical="center"/>
    </xf>
    <xf numFmtId="0" fontId="40" fillId="0" borderId="0" xfId="0" applyFont="1" applyAlignment="1">
      <alignment horizontal="center" vertical="center"/>
    </xf>
    <xf numFmtId="0" fontId="0" fillId="0" borderId="0" xfId="0" applyAlignment="1">
      <alignment vertical="center"/>
    </xf>
    <xf numFmtId="0" fontId="40" fillId="0" borderId="0" xfId="0" applyFont="1" applyAlignment="1">
      <alignment vertical="center"/>
    </xf>
    <xf numFmtId="0" fontId="38" fillId="0" borderId="7" xfId="0" applyFont="1" applyBorder="1" applyAlignment="1">
      <alignment horizontal="center" vertical="center"/>
    </xf>
    <xf numFmtId="0" fontId="38" fillId="0" borderId="0" xfId="0" applyFont="1" applyAlignment="1">
      <alignment horizontal="center" vertical="center"/>
    </xf>
    <xf numFmtId="0" fontId="38" fillId="0" borderId="7" xfId="0" applyFont="1" applyBorder="1" applyAlignment="1">
      <alignment horizontal="center" vertical="center" wrapText="1"/>
    </xf>
    <xf numFmtId="4" fontId="42" fillId="0" borderId="8" xfId="0" applyNumberFormat="1" applyFont="1" applyBorder="1" applyAlignment="1">
      <alignment horizontal="center" vertical="center" wrapText="1"/>
    </xf>
    <xf numFmtId="4" fontId="42" fillId="0" borderId="10" xfId="0" applyNumberFormat="1" applyFont="1" applyBorder="1" applyAlignment="1">
      <alignment horizontal="center" vertical="center" wrapText="1"/>
    </xf>
    <xf numFmtId="4" fontId="44" fillId="0" borderId="8" xfId="0" applyNumberFormat="1" applyFont="1" applyBorder="1" applyAlignment="1">
      <alignment horizontal="center" vertical="center" wrapText="1"/>
    </xf>
    <xf numFmtId="0" fontId="0" fillId="0" borderId="9" xfId="0" applyBorder="1" applyAlignment="1">
      <alignment horizontal="center" vertical="center" wrapText="1"/>
    </xf>
    <xf numFmtId="4" fontId="38" fillId="0" borderId="8" xfId="0" applyNumberFormat="1" applyFont="1" applyBorder="1" applyAlignment="1">
      <alignment horizontal="center" vertical="center" wrapText="1"/>
    </xf>
    <xf numFmtId="4" fontId="8" fillId="0" borderId="10" xfId="0" applyNumberFormat="1" applyFont="1" applyBorder="1" applyAlignment="1">
      <alignment horizontal="center" vertical="center" wrapText="1"/>
    </xf>
    <xf numFmtId="4" fontId="0" fillId="0" borderId="10" xfId="0" applyNumberFormat="1" applyBorder="1" applyAlignment="1">
      <alignment horizontal="center" vertical="center" wrapText="1"/>
    </xf>
    <xf numFmtId="0" fontId="8" fillId="0" borderId="10" xfId="0" applyFont="1" applyBorder="1" applyAlignment="1">
      <alignment horizontal="center" vertical="center" wrapText="1"/>
    </xf>
    <xf numFmtId="49" fontId="40" fillId="0" borderId="8" xfId="0" applyNumberFormat="1" applyFont="1" applyBorder="1" applyAlignment="1">
      <alignment horizontal="center" vertical="center" wrapText="1"/>
    </xf>
    <xf numFmtId="0" fontId="40" fillId="0" borderId="0" xfId="0" applyFont="1"/>
    <xf numFmtId="0" fontId="95" fillId="0" borderId="12" xfId="0" applyFont="1" applyBorder="1" applyAlignment="1">
      <alignment horizontal="left" vertical="center"/>
    </xf>
    <xf numFmtId="0" fontId="97" fillId="0" borderId="12" xfId="0" applyFont="1" applyBorder="1" applyAlignment="1">
      <alignment horizontal="left" vertical="center"/>
    </xf>
    <xf numFmtId="0" fontId="0" fillId="0" borderId="10" xfId="0" applyBorder="1" applyAlignment="1">
      <alignment horizontal="center" vertical="center"/>
    </xf>
    <xf numFmtId="4" fontId="38" fillId="0" borderId="10" xfId="0" applyNumberFormat="1" applyFont="1" applyBorder="1" applyAlignment="1">
      <alignment horizontal="center" vertical="center" wrapText="1"/>
    </xf>
    <xf numFmtId="49" fontId="40" fillId="0" borderId="10" xfId="0" applyNumberFormat="1"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0" fillId="0" borderId="14" xfId="0" applyBorder="1" applyAlignment="1">
      <alignment horizontal="center" vertical="center"/>
    </xf>
    <xf numFmtId="0" fontId="8" fillId="0" borderId="9" xfId="0" applyFont="1" applyBorder="1" applyAlignment="1">
      <alignment horizontal="center" vertical="center" wrapText="1"/>
    </xf>
    <xf numFmtId="0" fontId="0" fillId="0" borderId="9" xfId="0" applyBorder="1" applyAlignment="1">
      <alignment horizontal="center" vertical="center"/>
    </xf>
    <xf numFmtId="0" fontId="108" fillId="0" borderId="7" xfId="35" applyFont="1" applyBorder="1" applyAlignment="1">
      <alignment horizontal="center" vertical="center" wrapText="1"/>
    </xf>
    <xf numFmtId="0" fontId="8" fillId="0" borderId="7" xfId="0" applyFont="1" applyBorder="1" applyAlignment="1">
      <alignment horizontal="center" vertical="center" wrapText="1"/>
    </xf>
    <xf numFmtId="0" fontId="29" fillId="0" borderId="0" xfId="0" applyFont="1"/>
    <xf numFmtId="0" fontId="29" fillId="0" borderId="0" xfId="35" applyFont="1" applyAlignment="1">
      <alignment horizontal="center" vertical="center" wrapText="1"/>
    </xf>
    <xf numFmtId="0" fontId="11" fillId="0" borderId="0" xfId="35" applyFont="1" applyAlignment="1">
      <alignment horizontal="center" vertical="center" wrapText="1"/>
    </xf>
    <xf numFmtId="0" fontId="10" fillId="0" borderId="7" xfId="35" applyFont="1" applyBorder="1" applyAlignment="1">
      <alignment horizontal="center" vertical="center" wrapText="1"/>
    </xf>
    <xf numFmtId="0" fontId="72" fillId="0" borderId="0" xfId="35" applyFont="1"/>
    <xf numFmtId="0" fontId="13" fillId="0" borderId="7" xfId="35" applyFont="1" applyBorder="1" applyAlignment="1">
      <alignment horizontal="center" vertical="center" wrapText="1"/>
    </xf>
    <xf numFmtId="0" fontId="13" fillId="0" borderId="7" xfId="0" applyFont="1" applyBorder="1" applyAlignment="1">
      <alignment horizontal="center" vertical="center" wrapText="1"/>
    </xf>
    <xf numFmtId="0" fontId="8" fillId="0" borderId="7" xfId="0" applyFont="1" applyBorder="1" applyAlignment="1">
      <alignment horizontal="center" vertical="center"/>
    </xf>
    <xf numFmtId="0" fontId="13" fillId="0" borderId="7" xfId="0" applyFont="1" applyBorder="1" applyAlignment="1">
      <alignment horizontal="center" vertical="center"/>
    </xf>
    <xf numFmtId="0" fontId="12" fillId="0" borderId="0" xfId="0" applyFont="1" applyAlignment="1">
      <alignment horizontal="center" vertical="center"/>
    </xf>
    <xf numFmtId="0" fontId="100" fillId="0" borderId="12" xfId="0" applyFont="1" applyBorder="1" applyAlignment="1">
      <alignment horizontal="left" vertical="center"/>
    </xf>
    <xf numFmtId="0" fontId="0" fillId="0" borderId="12" xfId="0" applyBorder="1" applyAlignment="1">
      <alignment horizontal="left" vertical="center"/>
    </xf>
    <xf numFmtId="0" fontId="9" fillId="0" borderId="0" xfId="35" applyFont="1" applyAlignment="1">
      <alignment horizontal="center" vertical="center"/>
    </xf>
    <xf numFmtId="0" fontId="47" fillId="0" borderId="0" xfId="35" applyFont="1" applyAlignment="1">
      <alignment horizontal="center" vertical="center" wrapText="1"/>
    </xf>
    <xf numFmtId="0" fontId="74" fillId="0" borderId="0" xfId="36" applyFont="1" applyAlignment="1">
      <alignment horizontal="center"/>
    </xf>
    <xf numFmtId="0" fontId="74" fillId="0" borderId="0" xfId="0" applyFont="1" applyAlignment="1">
      <alignment horizontal="center"/>
    </xf>
    <xf numFmtId="0" fontId="0" fillId="0" borderId="0" xfId="0" applyAlignment="1">
      <alignment horizontal="center"/>
    </xf>
    <xf numFmtId="0" fontId="74" fillId="0" borderId="0" xfId="36" applyFont="1" applyAlignment="1">
      <alignment horizontal="center" vertical="top"/>
    </xf>
    <xf numFmtId="0" fontId="0" fillId="0" borderId="0" xfId="0" applyAlignment="1">
      <alignment vertical="top"/>
    </xf>
    <xf numFmtId="2" fontId="76" fillId="0" borderId="7" xfId="36" applyNumberFormat="1" applyFont="1" applyBorder="1" applyAlignment="1">
      <alignment horizontal="center" vertical="center" wrapText="1"/>
    </xf>
    <xf numFmtId="0" fontId="0" fillId="0" borderId="7" xfId="0" applyBorder="1" applyAlignment="1">
      <alignment horizontal="center"/>
    </xf>
    <xf numFmtId="0" fontId="12" fillId="0" borderId="0" xfId="36" applyFont="1" applyAlignment="1">
      <alignment horizontal="left" vertical="top" wrapText="1"/>
    </xf>
    <xf numFmtId="2" fontId="10" fillId="0" borderId="17" xfId="36" applyNumberFormat="1" applyFont="1" applyBorder="1" applyAlignment="1">
      <alignment horizontal="center" vertical="center" wrapText="1"/>
    </xf>
    <xf numFmtId="0" fontId="0" fillId="0" borderId="18" xfId="0" applyBorder="1" applyAlignment="1">
      <alignment horizontal="center"/>
    </xf>
    <xf numFmtId="0" fontId="0" fillId="0" borderId="14" xfId="0" applyBorder="1" applyAlignment="1">
      <alignment horizontal="center"/>
    </xf>
    <xf numFmtId="2" fontId="74" fillId="0" borderId="17" xfId="36" applyNumberFormat="1" applyFont="1" applyBorder="1" applyAlignment="1">
      <alignment horizontal="center" vertical="center"/>
    </xf>
    <xf numFmtId="2" fontId="74" fillId="29" borderId="7" xfId="36" applyNumberFormat="1" applyFont="1" applyFill="1" applyBorder="1" applyAlignment="1">
      <alignment horizontal="center" vertical="center" wrapText="1"/>
    </xf>
    <xf numFmtId="2" fontId="74" fillId="0" borderId="7" xfId="36" applyNumberFormat="1" applyFont="1" applyBorder="1" applyAlignment="1">
      <alignment horizontal="center" vertical="center" wrapText="1"/>
    </xf>
    <xf numFmtId="0" fontId="69" fillId="0" borderId="0" xfId="36">
      <alignment vertical="top"/>
    </xf>
    <xf numFmtId="0" fontId="9" fillId="0" borderId="0" xfId="36" applyFont="1" applyAlignment="1">
      <alignment horizontal="center" vertical="center" wrapText="1"/>
    </xf>
    <xf numFmtId="0" fontId="75" fillId="0" borderId="0" xfId="0" applyFont="1" applyAlignment="1">
      <alignment horizontal="center" vertical="center"/>
    </xf>
    <xf numFmtId="2" fontId="10" fillId="29" borderId="7" xfId="36" applyNumberFormat="1" applyFont="1" applyFill="1" applyBorder="1" applyAlignment="1">
      <alignment horizontal="center" vertical="center"/>
    </xf>
    <xf numFmtId="2" fontId="76" fillId="0" borderId="7" xfId="38" applyNumberFormat="1" applyFont="1" applyBorder="1" applyAlignment="1" applyProtection="1">
      <alignment horizontal="center" vertical="center" wrapText="1"/>
      <protection locked="0"/>
    </xf>
    <xf numFmtId="0" fontId="10" fillId="0" borderId="0" xfId="0" applyFont="1" applyAlignment="1">
      <alignment horizontal="center"/>
    </xf>
    <xf numFmtId="0" fontId="10" fillId="0" borderId="11" xfId="0" applyFont="1" applyBorder="1" applyAlignment="1">
      <alignment horizontal="center"/>
    </xf>
    <xf numFmtId="0" fontId="0" fillId="0" borderId="11" xfId="0" applyBorder="1" applyAlignment="1">
      <alignment horizontal="center"/>
    </xf>
    <xf numFmtId="0" fontId="98" fillId="29" borderId="17" xfId="0" applyFont="1" applyFill="1" applyBorder="1" applyAlignment="1">
      <alignment horizontal="center" vertical="center"/>
    </xf>
    <xf numFmtId="0" fontId="98" fillId="29" borderId="18" xfId="0" applyFont="1" applyFill="1" applyBorder="1" applyAlignment="1">
      <alignment horizontal="center" vertical="center"/>
    </xf>
    <xf numFmtId="0" fontId="98" fillId="29" borderId="14" xfId="0" applyFont="1" applyFill="1" applyBorder="1" applyAlignment="1">
      <alignment horizontal="center" vertical="center"/>
    </xf>
    <xf numFmtId="0" fontId="9" fillId="0" borderId="0" xfId="36" applyFont="1" applyAlignment="1">
      <alignment horizontal="left" vertical="top" wrapText="1"/>
    </xf>
    <xf numFmtId="0" fontId="99"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left"/>
    </xf>
    <xf numFmtId="49" fontId="40" fillId="0" borderId="9" xfId="0" applyNumberFormat="1" applyFont="1" applyBorder="1" applyAlignment="1">
      <alignment horizontal="center" vertical="center" wrapText="1"/>
    </xf>
    <xf numFmtId="164" fontId="111" fillId="0" borderId="8" xfId="30" applyNumberFormat="1" applyFont="1" applyBorder="1" applyAlignment="1">
      <alignment horizontal="center" vertical="center" wrapText="1"/>
    </xf>
    <xf numFmtId="4" fontId="44" fillId="0" borderId="8" xfId="38" applyNumberFormat="1" applyFont="1" applyBorder="1" applyAlignment="1" applyProtection="1">
      <alignment horizontal="center" vertical="center" wrapText="1"/>
      <protection locked="0"/>
    </xf>
    <xf numFmtId="4" fontId="44" fillId="0" borderId="9" xfId="38" applyNumberFormat="1" applyFont="1" applyBorder="1" applyAlignment="1" applyProtection="1">
      <alignment horizontal="center" vertical="center" wrapText="1"/>
      <protection locked="0"/>
    </xf>
    <xf numFmtId="4" fontId="45" fillId="28" borderId="16" xfId="0" applyNumberFormat="1" applyFont="1" applyFill="1" applyBorder="1" applyAlignment="1">
      <alignment horizontal="center" vertical="center" wrapText="1"/>
    </xf>
    <xf numFmtId="4" fontId="44" fillId="0" borderId="8" xfId="38" applyNumberFormat="1" applyFont="1" applyBorder="1" applyAlignment="1">
      <alignment horizontal="center" vertical="center" wrapText="1"/>
    </xf>
    <xf numFmtId="4" fontId="44" fillId="0" borderId="9" xfId="38" applyNumberFormat="1" applyFont="1" applyBorder="1" applyAlignment="1">
      <alignment horizontal="center" vertical="center" wrapText="1"/>
    </xf>
    <xf numFmtId="4" fontId="44" fillId="0" borderId="9" xfId="0" applyNumberFormat="1" applyFont="1" applyBorder="1" applyAlignment="1">
      <alignment horizontal="center" vertical="center" wrapText="1"/>
    </xf>
    <xf numFmtId="0" fontId="0" fillId="0" borderId="9" xfId="0" applyBorder="1"/>
    <xf numFmtId="0" fontId="0" fillId="0" borderId="10" xfId="0" applyBorder="1"/>
    <xf numFmtId="4" fontId="44" fillId="0" borderId="10" xfId="0" applyNumberFormat="1" applyFont="1" applyBorder="1" applyAlignment="1">
      <alignment horizontal="center" vertical="center" wrapText="1"/>
    </xf>
    <xf numFmtId="4" fontId="44" fillId="0" borderId="10" xfId="38" applyNumberFormat="1" applyFont="1" applyBorder="1" applyAlignment="1" applyProtection="1">
      <alignment horizontal="center" vertical="center" wrapText="1"/>
      <protection locked="0"/>
    </xf>
    <xf numFmtId="4" fontId="44" fillId="0" borderId="10" xfId="38" applyNumberFormat="1" applyFont="1" applyBorder="1" applyAlignment="1">
      <alignment horizontal="center" vertical="center" wrapText="1"/>
    </xf>
    <xf numFmtId="4" fontId="0" fillId="0" borderId="9" xfId="0" applyNumberFormat="1" applyBorder="1" applyAlignment="1">
      <alignment horizontal="center" vertical="center" wrapText="1"/>
    </xf>
    <xf numFmtId="0" fontId="120" fillId="0" borderId="7" xfId="87" applyFont="1" applyBorder="1" applyAlignment="1">
      <alignment horizontal="center" vertical="center" wrapText="1"/>
    </xf>
    <xf numFmtId="0" fontId="118" fillId="0" borderId="0" xfId="87" applyFont="1" applyAlignment="1">
      <alignment horizontal="right" vertical="center"/>
    </xf>
    <xf numFmtId="0" fontId="119" fillId="0" borderId="0" xfId="87" applyFont="1" applyAlignment="1">
      <alignment horizontal="center" vertical="center"/>
    </xf>
    <xf numFmtId="49" fontId="119" fillId="31" borderId="0" xfId="87" applyNumberFormat="1" applyFont="1" applyFill="1" applyAlignment="1">
      <alignment horizontal="center" vertical="center" wrapText="1"/>
    </xf>
  </cellXfs>
  <cellStyles count="95">
    <cellStyle name="20% - Акцент1" xfId="47"/>
    <cellStyle name="20% - Акцент2" xfId="48"/>
    <cellStyle name="20% - Акцент3" xfId="49"/>
    <cellStyle name="20% - Акцент4" xfId="50"/>
    <cellStyle name="20% - Акцент5" xfId="51"/>
    <cellStyle name="20% - Акцент6" xfId="52"/>
    <cellStyle name="40% - Акцент1" xfId="53"/>
    <cellStyle name="40% - Акцент2" xfId="54"/>
    <cellStyle name="40% - Акцент3" xfId="55"/>
    <cellStyle name="40% - Акцент4" xfId="56"/>
    <cellStyle name="40% - Акцент5" xfId="57"/>
    <cellStyle name="40% - Акцент6" xfId="58"/>
    <cellStyle name="60% - Акцент1" xfId="59"/>
    <cellStyle name="60% - Акцент2" xfId="60"/>
    <cellStyle name="60% - Акцент3" xfId="61"/>
    <cellStyle name="60% - Акцент4" xfId="62"/>
    <cellStyle name="60% - Акцент5" xfId="63"/>
    <cellStyle name="60% - Акцент6" xfId="64"/>
    <cellStyle name="Excel Built-in Обычный_УКБ до бюджету 2016р ост" xfId="85"/>
    <cellStyle name="Normal_meresha_07" xfId="1"/>
    <cellStyle name="Акцент1" xfId="65"/>
    <cellStyle name="Акцент2" xfId="66"/>
    <cellStyle name="Акцент3" xfId="67"/>
    <cellStyle name="Акцент4" xfId="68"/>
    <cellStyle name="Акцент5" xfId="69"/>
    <cellStyle name="Акцент6" xfId="70"/>
    <cellStyle name="Ввід" xfId="2"/>
    <cellStyle name="Ввод " xfId="71"/>
    <cellStyle name="Вывод" xfId="72"/>
    <cellStyle name="Вычисление" xfId="73"/>
    <cellStyle name="Гіперпосилання 2" xfId="74"/>
    <cellStyle name="Добре" xfId="3"/>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 2 2" xfId="89"/>
    <cellStyle name="Звичайний 20" xfId="20"/>
    <cellStyle name="Звичайний 21" xfId="87"/>
    <cellStyle name="Звичайний 27 3 2" xfId="88"/>
    <cellStyle name="Звичайний 3" xfId="21"/>
    <cellStyle name="Звичайний 3 2" xfId="22"/>
    <cellStyle name="Звичайний 3 2 2" xfId="90"/>
    <cellStyle name="Звичайний 4" xfId="23"/>
    <cellStyle name="Звичайний 4 2" xfId="24"/>
    <cellStyle name="Звичайний 4 2 2" xfId="91"/>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2"/>
    <cellStyle name="Итог" xfId="75"/>
    <cellStyle name="Контрольна клітинка" xfId="31"/>
    <cellStyle name="Контрольная ячейка" xfId="76"/>
    <cellStyle name="Назва" xfId="32"/>
    <cellStyle name="Название" xfId="77"/>
    <cellStyle name="Нейтральный" xfId="78"/>
    <cellStyle name="Обычный 2" xfId="33"/>
    <cellStyle name="Обычный 2 2" xfId="34"/>
    <cellStyle name="Обычный 2 2 2" xfId="92"/>
    <cellStyle name="Обычный 3" xfId="35"/>
    <cellStyle name="Обычный 4 3" xfId="86"/>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2 2" xfId="46"/>
    <cellStyle name="Обычный_УЖКГ бюджет 2016 Після Ямчука 2" xfId="40"/>
    <cellStyle name="Обычный_УКБ до бюджету 2016р ост" xfId="41"/>
    <cellStyle name="Обычный_УКБ до бюджету 2016р ост 2" xfId="94"/>
    <cellStyle name="Обычный_УКБ до бюджету 2016р ост 3" xfId="93"/>
    <cellStyle name="Плохой" xfId="79"/>
    <cellStyle name="Пояснение" xfId="80"/>
    <cellStyle name="Примечание" xfId="81"/>
    <cellStyle name="Связанная ячейка" xfId="82"/>
    <cellStyle name="Середній" xfId="43"/>
    <cellStyle name="Стиль 1" xfId="44"/>
    <cellStyle name="Текст попередження" xfId="45"/>
    <cellStyle name="Текст предупреждения" xfId="83"/>
    <cellStyle name="Хороший" xfId="84"/>
  </cellStyles>
  <dxfs count="0"/>
  <tableStyles count="0" defaultTableStyle="TableStyleMedium2" defaultPivotStyle="PivotStyleLight16"/>
  <colors>
    <mruColors>
      <color rgb="FFCCFFCC"/>
      <color rgb="FF99FF99"/>
      <color rgb="FFCCFFFF"/>
      <color rgb="FFFFFFCC"/>
      <color rgb="FF66FFFF"/>
      <color rgb="FFFF99FF"/>
      <color rgb="FFFFFF99"/>
      <color rgb="FF66FFCC"/>
      <color rgb="FFFF9900"/>
      <color rgb="FFFB0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G157"/>
  <sheetViews>
    <sheetView showZeros="0" view="pageBreakPreview" topLeftCell="A103" zoomScaleSheetLayoutView="100" workbookViewId="0">
      <selection activeCell="I77" sqref="I77"/>
    </sheetView>
  </sheetViews>
  <sheetFormatPr defaultColWidth="6.85546875" defaultRowHeight="12.75" x14ac:dyDescent="0.2"/>
  <cols>
    <col min="1" max="1" width="10.140625" style="25" customWidth="1"/>
    <col min="2" max="2" width="40.42578125" style="25" customWidth="1"/>
    <col min="3" max="4" width="17.28515625" style="25" customWidth="1"/>
    <col min="5" max="5" width="15.7109375" style="25" customWidth="1"/>
    <col min="6" max="6" width="14.5703125" style="25" customWidth="1"/>
    <col min="7" max="252" width="7.85546875" style="25" customWidth="1"/>
    <col min="253" max="16384" width="6.85546875" style="25"/>
  </cols>
  <sheetData>
    <row r="1" spans="1:7" ht="15.75" x14ac:dyDescent="0.2">
      <c r="D1" s="393" t="s">
        <v>92</v>
      </c>
      <c r="E1" s="394"/>
      <c r="F1" s="394"/>
      <c r="G1" s="394"/>
    </row>
    <row r="2" spans="1:7" ht="15.75" x14ac:dyDescent="0.2">
      <c r="C2" s="26"/>
      <c r="D2" s="393" t="s">
        <v>930</v>
      </c>
      <c r="E2" s="395"/>
      <c r="F2" s="395"/>
      <c r="G2" s="395"/>
    </row>
    <row r="3" spans="1:7" ht="6" customHeight="1" x14ac:dyDescent="0.2">
      <c r="C3" s="26"/>
      <c r="D3" s="393"/>
      <c r="E3" s="395"/>
      <c r="F3" s="395"/>
      <c r="G3" s="395"/>
    </row>
    <row r="4" spans="1:7" ht="20.25" hidden="1" x14ac:dyDescent="0.2">
      <c r="A4" s="396"/>
      <c r="B4" s="396"/>
      <c r="C4" s="396"/>
      <c r="D4" s="396"/>
      <c r="E4" s="396"/>
    </row>
    <row r="5" spans="1:7" ht="25.5" customHeight="1" x14ac:dyDescent="0.2">
      <c r="A5" s="396" t="s">
        <v>641</v>
      </c>
      <c r="B5" s="396"/>
      <c r="C5" s="396"/>
      <c r="D5" s="396"/>
      <c r="E5" s="396"/>
    </row>
    <row r="6" spans="1:7" ht="10.5" customHeight="1" x14ac:dyDescent="0.2">
      <c r="B6" s="27"/>
      <c r="C6" s="27"/>
      <c r="D6" s="27"/>
      <c r="E6" s="27"/>
      <c r="F6" s="27" t="s">
        <v>93</v>
      </c>
    </row>
    <row r="7" spans="1:7" s="28" customFormat="1" ht="31.7" customHeight="1" x14ac:dyDescent="0.2">
      <c r="A7" s="397" t="s">
        <v>94</v>
      </c>
      <c r="B7" s="397" t="s">
        <v>95</v>
      </c>
      <c r="C7" s="397" t="s">
        <v>649</v>
      </c>
      <c r="D7" s="397" t="s">
        <v>25</v>
      </c>
      <c r="E7" s="397" t="s">
        <v>84</v>
      </c>
      <c r="F7" s="397"/>
    </row>
    <row r="8" spans="1:7" s="30" customFormat="1" ht="38.25" x14ac:dyDescent="0.25">
      <c r="A8" s="397"/>
      <c r="B8" s="397"/>
      <c r="C8" s="397"/>
      <c r="D8" s="397"/>
      <c r="E8" s="225" t="s">
        <v>649</v>
      </c>
      <c r="F8" s="29" t="s">
        <v>756</v>
      </c>
    </row>
    <row r="9" spans="1:7" s="30" customFormat="1" ht="15.75" x14ac:dyDescent="0.25">
      <c r="A9" s="225">
        <v>1</v>
      </c>
      <c r="B9" s="225">
        <v>2</v>
      </c>
      <c r="C9" s="225">
        <v>3</v>
      </c>
      <c r="D9" s="225">
        <v>4</v>
      </c>
      <c r="E9" s="225">
        <v>5</v>
      </c>
      <c r="F9" s="29">
        <v>6</v>
      </c>
    </row>
    <row r="10" spans="1:7" s="34" customFormat="1" ht="14.25" x14ac:dyDescent="0.2">
      <c r="A10" s="31">
        <v>10000000</v>
      </c>
      <c r="B10" s="32" t="s">
        <v>96</v>
      </c>
      <c r="C10" s="33">
        <f>SUM(D10,E10)</f>
        <v>1712381360</v>
      </c>
      <c r="D10" s="33">
        <f>SUM(D11,D19,D20,D21,D22,D40)</f>
        <v>1711881360</v>
      </c>
      <c r="E10" s="33">
        <v>500000</v>
      </c>
      <c r="F10" s="33"/>
    </row>
    <row r="11" spans="1:7" s="39" customFormat="1" ht="25.5" x14ac:dyDescent="0.2">
      <c r="A11" s="35">
        <v>11000000</v>
      </c>
      <c r="B11" s="36" t="s">
        <v>97</v>
      </c>
      <c r="C11" s="37">
        <f t="shared" ref="C11:C79" si="0">SUM(D11,E11)</f>
        <v>1095105860</v>
      </c>
      <c r="D11" s="37">
        <f>SUM(D12,D17)</f>
        <v>1095105860</v>
      </c>
      <c r="E11" s="38"/>
      <c r="F11" s="38"/>
    </row>
    <row r="12" spans="1:7" s="39" customFormat="1" ht="14.25" x14ac:dyDescent="0.2">
      <c r="A12" s="31">
        <v>11010000</v>
      </c>
      <c r="B12" s="40" t="s">
        <v>98</v>
      </c>
      <c r="C12" s="37">
        <f t="shared" si="0"/>
        <v>1093465360</v>
      </c>
      <c r="D12" s="41">
        <f>SUM(D13:D16)</f>
        <v>1093465360</v>
      </c>
      <c r="E12" s="33"/>
      <c r="F12" s="33"/>
    </row>
    <row r="13" spans="1:7" s="39" customFormat="1" ht="36" x14ac:dyDescent="0.2">
      <c r="A13" s="42">
        <v>11010100</v>
      </c>
      <c r="B13" s="43" t="s">
        <v>99</v>
      </c>
      <c r="C13" s="33">
        <f t="shared" si="0"/>
        <v>925225360</v>
      </c>
      <c r="D13" s="44">
        <v>925225360</v>
      </c>
      <c r="E13" s="44"/>
      <c r="F13" s="44"/>
    </row>
    <row r="14" spans="1:7" s="39" customFormat="1" ht="60" x14ac:dyDescent="0.2">
      <c r="A14" s="42">
        <v>11010200</v>
      </c>
      <c r="B14" s="43" t="s">
        <v>100</v>
      </c>
      <c r="C14" s="33">
        <f t="shared" si="0"/>
        <v>140240000</v>
      </c>
      <c r="D14" s="44">
        <v>140240000</v>
      </c>
      <c r="E14" s="44"/>
      <c r="F14" s="44"/>
    </row>
    <row r="15" spans="1:7" s="39" customFormat="1" ht="36" x14ac:dyDescent="0.2">
      <c r="A15" s="42">
        <v>11010400</v>
      </c>
      <c r="B15" s="43" t="s">
        <v>101</v>
      </c>
      <c r="C15" s="33">
        <f t="shared" si="0"/>
        <v>13000000</v>
      </c>
      <c r="D15" s="44">
        <v>13000000</v>
      </c>
      <c r="E15" s="44"/>
      <c r="F15" s="44"/>
    </row>
    <row r="16" spans="1:7" s="30" customFormat="1" ht="36" x14ac:dyDescent="0.25">
      <c r="A16" s="42">
        <v>11010500</v>
      </c>
      <c r="B16" s="43" t="s">
        <v>102</v>
      </c>
      <c r="C16" s="33">
        <f t="shared" si="0"/>
        <v>15000000</v>
      </c>
      <c r="D16" s="44">
        <v>15000000</v>
      </c>
      <c r="E16" s="44"/>
      <c r="F16" s="44"/>
    </row>
    <row r="17" spans="1:6" s="34" customFormat="1" ht="15" x14ac:dyDescent="0.2">
      <c r="A17" s="35">
        <v>11020000</v>
      </c>
      <c r="B17" s="40" t="s">
        <v>103</v>
      </c>
      <c r="C17" s="33">
        <f t="shared" si="0"/>
        <v>1640500</v>
      </c>
      <c r="D17" s="45">
        <v>1640500</v>
      </c>
      <c r="E17" s="46"/>
      <c r="F17" s="46"/>
    </row>
    <row r="18" spans="1:6" s="30" customFormat="1" ht="24" x14ac:dyDescent="0.25">
      <c r="A18" s="42">
        <v>11020200</v>
      </c>
      <c r="B18" s="47" t="s">
        <v>104</v>
      </c>
      <c r="C18" s="33">
        <f t="shared" si="0"/>
        <v>1640500</v>
      </c>
      <c r="D18" s="38">
        <v>1640500</v>
      </c>
      <c r="E18" s="48"/>
      <c r="F18" s="38"/>
    </row>
    <row r="19" spans="1:6" s="50" customFormat="1" ht="26.45" customHeight="1" x14ac:dyDescent="0.2">
      <c r="A19" s="29">
        <v>14021900</v>
      </c>
      <c r="B19" s="36" t="s">
        <v>229</v>
      </c>
      <c r="C19" s="37">
        <f>SUM(D19,E19)</f>
        <v>12350000</v>
      </c>
      <c r="D19" s="37">
        <v>12350000</v>
      </c>
      <c r="E19" s="49"/>
      <c r="F19" s="49"/>
    </row>
    <row r="20" spans="1:6" s="50" customFormat="1" ht="22.7" customHeight="1" x14ac:dyDescent="0.2">
      <c r="A20" s="29">
        <v>14031900</v>
      </c>
      <c r="B20" s="36" t="s">
        <v>230</v>
      </c>
      <c r="C20" s="37">
        <v>57865000</v>
      </c>
      <c r="D20" s="37">
        <v>57865000</v>
      </c>
      <c r="E20" s="49"/>
      <c r="F20" s="49"/>
    </row>
    <row r="21" spans="1:6" s="50" customFormat="1" ht="39.75" customHeight="1" x14ac:dyDescent="0.2">
      <c r="A21" s="29">
        <v>14040000</v>
      </c>
      <c r="B21" s="36" t="s">
        <v>105</v>
      </c>
      <c r="C21" s="37">
        <v>78500000</v>
      </c>
      <c r="D21" s="37">
        <v>78500000</v>
      </c>
      <c r="E21" s="49"/>
      <c r="F21" s="49"/>
    </row>
    <row r="22" spans="1:6" s="30" customFormat="1" ht="15" x14ac:dyDescent="0.25">
      <c r="A22" s="31">
        <v>18000000</v>
      </c>
      <c r="B22" s="51" t="s">
        <v>106</v>
      </c>
      <c r="C22" s="33">
        <f t="shared" si="0"/>
        <v>468060500</v>
      </c>
      <c r="D22" s="33">
        <f>SUM(D23,D34,D37)</f>
        <v>468060500</v>
      </c>
      <c r="E22" s="33"/>
      <c r="F22" s="33"/>
    </row>
    <row r="23" spans="1:6" s="30" customFormat="1" ht="15" x14ac:dyDescent="0.25">
      <c r="A23" s="35">
        <v>18010000</v>
      </c>
      <c r="B23" s="52" t="s">
        <v>107</v>
      </c>
      <c r="C23" s="33">
        <f t="shared" si="0"/>
        <v>173960500</v>
      </c>
      <c r="D23" s="53">
        <f>SUM(D24:D33)</f>
        <v>173960500</v>
      </c>
      <c r="E23" s="38"/>
      <c r="F23" s="38"/>
    </row>
    <row r="24" spans="1:6" s="30" customFormat="1" ht="36" x14ac:dyDescent="0.25">
      <c r="A24" s="35">
        <v>18010100</v>
      </c>
      <c r="B24" s="54" t="s">
        <v>108</v>
      </c>
      <c r="C24" s="33">
        <f t="shared" si="0"/>
        <v>175500</v>
      </c>
      <c r="D24" s="38">
        <v>175500</v>
      </c>
      <c r="E24" s="38"/>
      <c r="F24" s="38"/>
    </row>
    <row r="25" spans="1:6" s="30" customFormat="1" ht="36" x14ac:dyDescent="0.25">
      <c r="A25" s="35">
        <v>18010200</v>
      </c>
      <c r="B25" s="54" t="s">
        <v>109</v>
      </c>
      <c r="C25" s="33">
        <f>D25</f>
        <v>11550000</v>
      </c>
      <c r="D25" s="38">
        <v>11550000</v>
      </c>
      <c r="E25" s="38"/>
      <c r="F25" s="38"/>
    </row>
    <row r="26" spans="1:6" s="30" customFormat="1" ht="36" x14ac:dyDescent="0.25">
      <c r="A26" s="35">
        <v>18010300</v>
      </c>
      <c r="B26" s="54" t="s">
        <v>110</v>
      </c>
      <c r="C26" s="33">
        <f t="shared" si="0"/>
        <v>825000</v>
      </c>
      <c r="D26" s="38">
        <v>825000</v>
      </c>
      <c r="E26" s="38"/>
      <c r="F26" s="38"/>
    </row>
    <row r="27" spans="1:6" s="30" customFormat="1" ht="36" x14ac:dyDescent="0.25">
      <c r="A27" s="35">
        <v>18010400</v>
      </c>
      <c r="B27" s="54" t="s">
        <v>111</v>
      </c>
      <c r="C27" s="33">
        <f t="shared" si="0"/>
        <v>8450000</v>
      </c>
      <c r="D27" s="38">
        <v>8450000</v>
      </c>
      <c r="E27" s="38"/>
      <c r="F27" s="38"/>
    </row>
    <row r="28" spans="1:6" s="30" customFormat="1" ht="15" x14ac:dyDescent="0.25">
      <c r="A28" s="35">
        <v>18010500</v>
      </c>
      <c r="B28" s="55" t="s">
        <v>112</v>
      </c>
      <c r="C28" s="33">
        <f t="shared" si="0"/>
        <v>34600000</v>
      </c>
      <c r="D28" s="38">
        <v>34600000</v>
      </c>
      <c r="E28" s="38"/>
      <c r="F28" s="38"/>
    </row>
    <row r="29" spans="1:6" s="30" customFormat="1" ht="15" x14ac:dyDescent="0.25">
      <c r="A29" s="35">
        <v>18010600</v>
      </c>
      <c r="B29" s="54" t="s">
        <v>113</v>
      </c>
      <c r="C29" s="33">
        <f t="shared" si="0"/>
        <v>86660000</v>
      </c>
      <c r="D29" s="38">
        <v>86660000</v>
      </c>
      <c r="E29" s="38"/>
      <c r="F29" s="38"/>
    </row>
    <row r="30" spans="1:6" s="30" customFormat="1" ht="15" x14ac:dyDescent="0.25">
      <c r="A30" s="35">
        <v>18010700</v>
      </c>
      <c r="B30" s="54" t="s">
        <v>114</v>
      </c>
      <c r="C30" s="33">
        <f t="shared" si="0"/>
        <v>2000000</v>
      </c>
      <c r="D30" s="38">
        <v>2000000</v>
      </c>
      <c r="E30" s="38"/>
      <c r="F30" s="38"/>
    </row>
    <row r="31" spans="1:6" s="30" customFormat="1" ht="15" x14ac:dyDescent="0.25">
      <c r="A31" s="35">
        <v>18010900</v>
      </c>
      <c r="B31" s="54" t="s">
        <v>115</v>
      </c>
      <c r="C31" s="33">
        <f t="shared" si="0"/>
        <v>25200000</v>
      </c>
      <c r="D31" s="38">
        <v>25200000</v>
      </c>
      <c r="E31" s="38"/>
      <c r="F31" s="38"/>
    </row>
    <row r="32" spans="1:6" s="34" customFormat="1" ht="15" x14ac:dyDescent="0.2">
      <c r="A32" s="35">
        <v>18011000</v>
      </c>
      <c r="B32" s="54" t="s">
        <v>116</v>
      </c>
      <c r="C32" s="33">
        <f t="shared" si="0"/>
        <v>2900000</v>
      </c>
      <c r="D32" s="38">
        <v>2900000</v>
      </c>
      <c r="E32" s="38"/>
      <c r="F32" s="38"/>
    </row>
    <row r="33" spans="1:6" s="30" customFormat="1" ht="15" x14ac:dyDescent="0.25">
      <c r="A33" s="35">
        <v>18011100</v>
      </c>
      <c r="B33" s="54" t="s">
        <v>117</v>
      </c>
      <c r="C33" s="33">
        <f t="shared" si="0"/>
        <v>1600000</v>
      </c>
      <c r="D33" s="38">
        <v>1600000</v>
      </c>
      <c r="E33" s="38"/>
      <c r="F33" s="38"/>
    </row>
    <row r="34" spans="1:6" s="30" customFormat="1" ht="15" x14ac:dyDescent="0.25">
      <c r="A34" s="31">
        <v>1803000</v>
      </c>
      <c r="B34" s="56" t="s">
        <v>118</v>
      </c>
      <c r="C34" s="33">
        <f t="shared" si="0"/>
        <v>250000</v>
      </c>
      <c r="D34" s="33">
        <f>SUM(D35:D36)</f>
        <v>250000</v>
      </c>
      <c r="E34" s="33"/>
      <c r="F34" s="33"/>
    </row>
    <row r="35" spans="1:6" s="30" customFormat="1" ht="15" x14ac:dyDescent="0.25">
      <c r="A35" s="35">
        <v>18030100</v>
      </c>
      <c r="B35" s="54" t="s">
        <v>119</v>
      </c>
      <c r="C35" s="33">
        <f t="shared" si="0"/>
        <v>130000</v>
      </c>
      <c r="D35" s="38">
        <v>130000</v>
      </c>
      <c r="E35" s="38"/>
      <c r="F35" s="38"/>
    </row>
    <row r="36" spans="1:6" s="30" customFormat="1" ht="15" x14ac:dyDescent="0.25">
      <c r="A36" s="35">
        <v>18030200</v>
      </c>
      <c r="B36" s="54" t="s">
        <v>120</v>
      </c>
      <c r="C36" s="33">
        <f t="shared" si="0"/>
        <v>120000</v>
      </c>
      <c r="D36" s="38">
        <v>120000</v>
      </c>
      <c r="E36" s="38"/>
      <c r="F36" s="38"/>
    </row>
    <row r="37" spans="1:6" s="30" customFormat="1" ht="15" x14ac:dyDescent="0.25">
      <c r="A37" s="31">
        <v>18050000</v>
      </c>
      <c r="B37" s="52" t="s">
        <v>121</v>
      </c>
      <c r="C37" s="33">
        <f t="shared" si="0"/>
        <v>293850000</v>
      </c>
      <c r="D37" s="33">
        <f>SUM(D38:D39)</f>
        <v>293850000</v>
      </c>
      <c r="E37" s="38"/>
      <c r="F37" s="38"/>
    </row>
    <row r="38" spans="1:6" s="30" customFormat="1" ht="17.45" customHeight="1" x14ac:dyDescent="0.25">
      <c r="A38" s="35">
        <v>18050300</v>
      </c>
      <c r="B38" s="43" t="s">
        <v>122</v>
      </c>
      <c r="C38" s="37">
        <f t="shared" si="0"/>
        <v>53500000</v>
      </c>
      <c r="D38" s="38">
        <v>53500000</v>
      </c>
      <c r="E38" s="38"/>
      <c r="F38" s="38"/>
    </row>
    <row r="39" spans="1:6" s="34" customFormat="1" ht="15" x14ac:dyDescent="0.2">
      <c r="A39" s="35">
        <v>18050400</v>
      </c>
      <c r="B39" s="54" t="s">
        <v>123</v>
      </c>
      <c r="C39" s="37">
        <f t="shared" si="0"/>
        <v>240350000</v>
      </c>
      <c r="D39" s="38">
        <v>240350000</v>
      </c>
      <c r="E39" s="38"/>
      <c r="F39" s="38"/>
    </row>
    <row r="40" spans="1:6" s="30" customFormat="1" ht="15" x14ac:dyDescent="0.25">
      <c r="A40" s="31">
        <v>1901000</v>
      </c>
      <c r="B40" s="51" t="s">
        <v>124</v>
      </c>
      <c r="C40" s="33">
        <f t="shared" si="0"/>
        <v>500000</v>
      </c>
      <c r="D40" s="33">
        <f>SUM(D41:D43)</f>
        <v>0</v>
      </c>
      <c r="E40" s="33">
        <v>500000</v>
      </c>
      <c r="F40" s="33"/>
    </row>
    <row r="41" spans="1:6" s="30" customFormat="1" ht="36" x14ac:dyDescent="0.25">
      <c r="A41" s="35">
        <v>19010100</v>
      </c>
      <c r="B41" s="43" t="s">
        <v>125</v>
      </c>
      <c r="C41" s="33">
        <f t="shared" si="0"/>
        <v>205000</v>
      </c>
      <c r="D41" s="38"/>
      <c r="E41" s="38">
        <v>205000</v>
      </c>
      <c r="F41" s="38"/>
    </row>
    <row r="42" spans="1:6" s="50" customFormat="1" ht="24" x14ac:dyDescent="0.2">
      <c r="A42" s="35">
        <v>19010200</v>
      </c>
      <c r="B42" s="43" t="s">
        <v>126</v>
      </c>
      <c r="C42" s="33">
        <f t="shared" si="0"/>
        <v>110000</v>
      </c>
      <c r="D42" s="38"/>
      <c r="E42" s="38">
        <v>110000</v>
      </c>
      <c r="F42" s="38"/>
    </row>
    <row r="43" spans="1:6" s="30" customFormat="1" ht="36" x14ac:dyDescent="0.25">
      <c r="A43" s="35">
        <v>19010300</v>
      </c>
      <c r="B43" s="43" t="s">
        <v>127</v>
      </c>
      <c r="C43" s="33">
        <f t="shared" si="0"/>
        <v>185000</v>
      </c>
      <c r="D43" s="38"/>
      <c r="E43" s="38">
        <v>185000</v>
      </c>
      <c r="F43" s="38"/>
    </row>
    <row r="44" spans="1:6" s="30" customFormat="1" ht="15" x14ac:dyDescent="0.25">
      <c r="A44" s="31">
        <v>20000000</v>
      </c>
      <c r="B44" s="32" t="s">
        <v>128</v>
      </c>
      <c r="C44" s="33">
        <f t="shared" si="0"/>
        <v>213090605</v>
      </c>
      <c r="D44" s="37">
        <f>SUM(D45,D46,D47,D50,D51,D60,D64)</f>
        <v>75920000</v>
      </c>
      <c r="E44" s="37">
        <f>SUM(E45,E51,E60,E56,E64)</f>
        <v>137170605</v>
      </c>
      <c r="F44" s="37">
        <f>SUM(F45,F51,F60,F56)</f>
        <v>18000000</v>
      </c>
    </row>
    <row r="45" spans="1:6" s="30" customFormat="1" ht="41.25" customHeight="1" x14ac:dyDescent="0.25">
      <c r="A45" s="35">
        <v>21010300</v>
      </c>
      <c r="B45" s="57" t="s">
        <v>129</v>
      </c>
      <c r="C45" s="33">
        <f t="shared" si="0"/>
        <v>1000000</v>
      </c>
      <c r="D45" s="38">
        <v>1000000</v>
      </c>
      <c r="E45" s="38"/>
      <c r="F45" s="38"/>
    </row>
    <row r="46" spans="1:6" s="30" customFormat="1" ht="27" customHeight="1" x14ac:dyDescent="0.25">
      <c r="A46" s="35">
        <v>21050000</v>
      </c>
      <c r="B46" s="57" t="s">
        <v>130</v>
      </c>
      <c r="C46" s="33">
        <v>12500000</v>
      </c>
      <c r="D46" s="38">
        <v>12500000</v>
      </c>
      <c r="E46" s="38"/>
      <c r="F46" s="38"/>
    </row>
    <row r="47" spans="1:6" s="50" customFormat="1" ht="27" x14ac:dyDescent="0.2">
      <c r="A47" s="58">
        <v>21800000</v>
      </c>
      <c r="B47" s="59" t="s">
        <v>131</v>
      </c>
      <c r="C47" s="37">
        <f>SUM(D47,E47)</f>
        <v>2300000</v>
      </c>
      <c r="D47" s="41">
        <f>SUM(D48:D49)</f>
        <v>2300000</v>
      </c>
      <c r="E47" s="41"/>
      <c r="F47" s="41"/>
    </row>
    <row r="48" spans="1:6" s="30" customFormat="1" ht="15" x14ac:dyDescent="0.25">
      <c r="A48" s="42">
        <v>21081100</v>
      </c>
      <c r="B48" s="60" t="s">
        <v>132</v>
      </c>
      <c r="C48" s="33">
        <f>SUM(D48,E48)</f>
        <v>1300000</v>
      </c>
      <c r="D48" s="38">
        <v>1300000</v>
      </c>
      <c r="E48" s="38"/>
      <c r="F48" s="38"/>
    </row>
    <row r="49" spans="1:6" s="30" customFormat="1" ht="36" x14ac:dyDescent="0.25">
      <c r="A49" s="35">
        <v>21081500</v>
      </c>
      <c r="B49" s="43" t="s">
        <v>133</v>
      </c>
      <c r="C49" s="33">
        <f>SUM(D49,E49)</f>
        <v>1000000</v>
      </c>
      <c r="D49" s="38">
        <v>1000000</v>
      </c>
      <c r="E49" s="38"/>
      <c r="F49" s="38"/>
    </row>
    <row r="50" spans="1:6" s="157" customFormat="1" ht="15" x14ac:dyDescent="0.25">
      <c r="A50" s="156">
        <v>21081700</v>
      </c>
      <c r="B50" s="181" t="s">
        <v>634</v>
      </c>
      <c r="C50" s="53">
        <f>SUM(D50,E50)</f>
        <v>9000000</v>
      </c>
      <c r="D50" s="53">
        <v>9000000</v>
      </c>
      <c r="E50" s="53"/>
      <c r="F50" s="53"/>
    </row>
    <row r="51" spans="1:6" s="30" customFormat="1" ht="27" x14ac:dyDescent="0.25">
      <c r="A51" s="31">
        <v>22000000</v>
      </c>
      <c r="B51" s="40" t="s">
        <v>134</v>
      </c>
      <c r="C51" s="33">
        <f t="shared" si="0"/>
        <v>42120000</v>
      </c>
      <c r="D51" s="38">
        <f>SUM(D52:D56)</f>
        <v>42120000</v>
      </c>
      <c r="E51" s="38"/>
      <c r="F51" s="38"/>
    </row>
    <row r="52" spans="1:6" s="30" customFormat="1" ht="38.25" x14ac:dyDescent="0.25">
      <c r="A52" s="35">
        <v>22010300</v>
      </c>
      <c r="B52" s="61" t="s">
        <v>233</v>
      </c>
      <c r="C52" s="33">
        <v>905000</v>
      </c>
      <c r="D52" s="38">
        <v>905000</v>
      </c>
      <c r="E52" s="38"/>
      <c r="F52" s="38"/>
    </row>
    <row r="53" spans="1:6" s="30" customFormat="1" ht="25.5" x14ac:dyDescent="0.25">
      <c r="A53" s="35">
        <v>22012600</v>
      </c>
      <c r="B53" s="61" t="s">
        <v>135</v>
      </c>
      <c r="C53" s="33">
        <v>1080000</v>
      </c>
      <c r="D53" s="38">
        <v>1080000</v>
      </c>
      <c r="E53" s="38"/>
      <c r="F53" s="38"/>
    </row>
    <row r="54" spans="1:6" s="62" customFormat="1" ht="15" x14ac:dyDescent="0.2">
      <c r="A54" s="35">
        <v>22012500</v>
      </c>
      <c r="B54" s="43" t="s">
        <v>136</v>
      </c>
      <c r="C54" s="33">
        <f t="shared" si="0"/>
        <v>28485000</v>
      </c>
      <c r="D54" s="38">
        <v>28485000</v>
      </c>
      <c r="E54" s="38"/>
      <c r="F54" s="38"/>
    </row>
    <row r="55" spans="1:6" s="30" customFormat="1" ht="36" x14ac:dyDescent="0.25">
      <c r="A55" s="42">
        <v>22080400</v>
      </c>
      <c r="B55" s="60" t="s">
        <v>137</v>
      </c>
      <c r="C55" s="33">
        <f t="shared" si="0"/>
        <v>10800000</v>
      </c>
      <c r="D55" s="38">
        <v>10800000</v>
      </c>
      <c r="E55" s="38"/>
      <c r="F55" s="38"/>
    </row>
    <row r="56" spans="1:6" s="30" customFormat="1" ht="15" x14ac:dyDescent="0.25">
      <c r="A56" s="63">
        <v>22090000</v>
      </c>
      <c r="B56" s="64" t="s">
        <v>138</v>
      </c>
      <c r="C56" s="33">
        <f t="shared" si="0"/>
        <v>850000</v>
      </c>
      <c r="D56" s="65">
        <f>SUM(D57:D59)</f>
        <v>850000</v>
      </c>
      <c r="E56" s="66"/>
      <c r="F56" s="66"/>
    </row>
    <row r="57" spans="1:6" s="30" customFormat="1" ht="36" x14ac:dyDescent="0.25">
      <c r="A57" s="42">
        <v>22090100</v>
      </c>
      <c r="B57" s="54" t="s">
        <v>139</v>
      </c>
      <c r="C57" s="33">
        <f t="shared" si="0"/>
        <v>235000</v>
      </c>
      <c r="D57" s="38">
        <v>235000</v>
      </c>
      <c r="E57" s="38"/>
      <c r="F57" s="38"/>
    </row>
    <row r="58" spans="1:6" s="30" customFormat="1" ht="15" x14ac:dyDescent="0.25">
      <c r="A58" s="42">
        <v>22090200</v>
      </c>
      <c r="B58" s="54" t="s">
        <v>140</v>
      </c>
      <c r="C58" s="33">
        <f t="shared" si="0"/>
        <v>115000</v>
      </c>
      <c r="D58" s="38">
        <v>115000</v>
      </c>
      <c r="E58" s="38"/>
      <c r="F58" s="38"/>
    </row>
    <row r="59" spans="1:6" s="39" customFormat="1" ht="36" x14ac:dyDescent="0.2">
      <c r="A59" s="42">
        <v>22090400</v>
      </c>
      <c r="B59" s="54" t="s">
        <v>141</v>
      </c>
      <c r="C59" s="33">
        <f t="shared" si="0"/>
        <v>500000</v>
      </c>
      <c r="D59" s="38">
        <v>500000</v>
      </c>
      <c r="E59" s="38"/>
      <c r="F59" s="38"/>
    </row>
    <row r="60" spans="1:6" s="30" customFormat="1" ht="15" x14ac:dyDescent="0.25">
      <c r="A60" s="31">
        <v>24000000</v>
      </c>
      <c r="B60" s="64" t="s">
        <v>142</v>
      </c>
      <c r="C60" s="33">
        <f t="shared" si="0"/>
        <v>27000000</v>
      </c>
      <c r="D60" s="45">
        <f>D61+D62+D63</f>
        <v>9000000</v>
      </c>
      <c r="E60" s="45">
        <f>E61+E63</f>
        <v>18000000</v>
      </c>
      <c r="F60" s="33">
        <v>18000000</v>
      </c>
    </row>
    <row r="61" spans="1:6" s="30" customFormat="1" ht="15" x14ac:dyDescent="0.25">
      <c r="A61" s="42">
        <v>24060300</v>
      </c>
      <c r="B61" s="43" t="s">
        <v>143</v>
      </c>
      <c r="C61" s="33">
        <f t="shared" si="0"/>
        <v>6000000</v>
      </c>
      <c r="D61" s="46">
        <v>6000000</v>
      </c>
      <c r="E61" s="46"/>
      <c r="F61" s="46"/>
    </row>
    <row r="62" spans="1:6" s="30" customFormat="1" ht="60" x14ac:dyDescent="0.25">
      <c r="A62" s="42">
        <v>24062200</v>
      </c>
      <c r="B62" s="43" t="s">
        <v>635</v>
      </c>
      <c r="C62" s="33">
        <f t="shared" si="0"/>
        <v>3000000</v>
      </c>
      <c r="D62" s="46">
        <v>3000000</v>
      </c>
      <c r="E62" s="46"/>
      <c r="F62" s="46"/>
    </row>
    <row r="63" spans="1:6" s="34" customFormat="1" ht="24" x14ac:dyDescent="0.2">
      <c r="A63" s="42">
        <v>24170000</v>
      </c>
      <c r="B63" s="47" t="s">
        <v>144</v>
      </c>
      <c r="C63" s="33">
        <f t="shared" si="0"/>
        <v>18000000</v>
      </c>
      <c r="D63" s="46"/>
      <c r="E63" s="46">
        <v>18000000</v>
      </c>
      <c r="F63" s="46">
        <v>18000000</v>
      </c>
    </row>
    <row r="64" spans="1:6" s="30" customFormat="1" ht="15" x14ac:dyDescent="0.25">
      <c r="A64" s="31">
        <v>25000000</v>
      </c>
      <c r="B64" s="36" t="s">
        <v>145</v>
      </c>
      <c r="C64" s="33">
        <f t="shared" si="0"/>
        <v>119170605</v>
      </c>
      <c r="D64" s="45">
        <f>SUM(D65,D70)</f>
        <v>0</v>
      </c>
      <c r="E64" s="45">
        <f>SUM(E65,E70)</f>
        <v>119170605</v>
      </c>
      <c r="F64" s="45"/>
    </row>
    <row r="65" spans="1:6" s="30" customFormat="1" ht="38.25" x14ac:dyDescent="0.25">
      <c r="A65" s="35">
        <v>25010000</v>
      </c>
      <c r="B65" s="67" t="s">
        <v>146</v>
      </c>
      <c r="C65" s="33">
        <f t="shared" si="0"/>
        <v>119170605</v>
      </c>
      <c r="D65" s="46">
        <v>0</v>
      </c>
      <c r="E65" s="46">
        <f>SUM(E66:E69)</f>
        <v>119170605</v>
      </c>
      <c r="F65" s="46"/>
    </row>
    <row r="66" spans="1:6" s="30" customFormat="1" ht="25.5" x14ac:dyDescent="0.25">
      <c r="A66" s="35">
        <v>25010100</v>
      </c>
      <c r="B66" s="68" t="s">
        <v>147</v>
      </c>
      <c r="C66" s="33">
        <v>106527114</v>
      </c>
      <c r="D66" s="46">
        <v>0</v>
      </c>
      <c r="E66" s="46">
        <v>106527114</v>
      </c>
      <c r="F66" s="46"/>
    </row>
    <row r="67" spans="1:6" s="30" customFormat="1" ht="25.5" x14ac:dyDescent="0.25">
      <c r="A67" s="35">
        <v>25010200</v>
      </c>
      <c r="B67" s="68" t="s">
        <v>148</v>
      </c>
      <c r="C67" s="33">
        <f t="shared" si="0"/>
        <v>9272745</v>
      </c>
      <c r="D67" s="46">
        <v>0</v>
      </c>
      <c r="E67" s="46">
        <v>9272745</v>
      </c>
      <c r="F67" s="46"/>
    </row>
    <row r="68" spans="1:6" s="30" customFormat="1" ht="15" x14ac:dyDescent="0.25">
      <c r="A68" s="35">
        <v>25010300</v>
      </c>
      <c r="B68" s="68" t="s">
        <v>149</v>
      </c>
      <c r="C68" s="33">
        <f t="shared" si="0"/>
        <v>3339396</v>
      </c>
      <c r="D68" s="46">
        <v>0</v>
      </c>
      <c r="E68" s="46">
        <v>3339396</v>
      </c>
      <c r="F68" s="46"/>
    </row>
    <row r="69" spans="1:6" s="30" customFormat="1" ht="38.25" x14ac:dyDescent="0.25">
      <c r="A69" s="35">
        <v>25010400</v>
      </c>
      <c r="B69" s="68" t="s">
        <v>150</v>
      </c>
      <c r="C69" s="33">
        <f t="shared" si="0"/>
        <v>31350</v>
      </c>
      <c r="D69" s="46">
        <v>0</v>
      </c>
      <c r="E69" s="46">
        <v>31350</v>
      </c>
      <c r="F69" s="46"/>
    </row>
    <row r="70" spans="1:6" s="30" customFormat="1" ht="28.5" x14ac:dyDescent="0.25">
      <c r="A70" s="35">
        <v>25020000</v>
      </c>
      <c r="B70" s="67" t="s">
        <v>151</v>
      </c>
      <c r="C70" s="33">
        <f t="shared" si="0"/>
        <v>0</v>
      </c>
      <c r="D70" s="46">
        <v>0</v>
      </c>
      <c r="E70" s="46">
        <v>0</v>
      </c>
      <c r="F70" s="46"/>
    </row>
    <row r="71" spans="1:6" s="50" customFormat="1" ht="15" x14ac:dyDescent="0.2">
      <c r="A71" s="35">
        <v>25020100</v>
      </c>
      <c r="B71" s="68" t="s">
        <v>152</v>
      </c>
      <c r="C71" s="33">
        <f t="shared" si="0"/>
        <v>0</v>
      </c>
      <c r="D71" s="46">
        <v>0</v>
      </c>
      <c r="E71" s="46">
        <v>0</v>
      </c>
      <c r="F71" s="46"/>
    </row>
    <row r="72" spans="1:6" s="30" customFormat="1" ht="89.25" hidden="1" x14ac:dyDescent="0.25">
      <c r="A72" s="35">
        <v>25020200</v>
      </c>
      <c r="B72" s="68" t="s">
        <v>153</v>
      </c>
      <c r="C72" s="33">
        <f t="shared" si="0"/>
        <v>0</v>
      </c>
      <c r="D72" s="46"/>
      <c r="E72" s="46">
        <v>0</v>
      </c>
      <c r="F72" s="46"/>
    </row>
    <row r="73" spans="1:6" s="39" customFormat="1" ht="14.25" x14ac:dyDescent="0.2">
      <c r="A73" s="31">
        <v>30000000</v>
      </c>
      <c r="B73" s="32" t="s">
        <v>154</v>
      </c>
      <c r="C73" s="33">
        <f t="shared" si="0"/>
        <v>12935632</v>
      </c>
      <c r="D73" s="45">
        <f>SUM(D74)</f>
        <v>60000</v>
      </c>
      <c r="E73" s="45">
        <f>SUM(E74,E77)</f>
        <v>12875632</v>
      </c>
      <c r="F73" s="45">
        <f>SUM(F74,F77)</f>
        <v>12875632</v>
      </c>
    </row>
    <row r="74" spans="1:6" s="30" customFormat="1" ht="30" x14ac:dyDescent="0.25">
      <c r="A74" s="35">
        <v>31000000</v>
      </c>
      <c r="B74" s="69" t="s">
        <v>155</v>
      </c>
      <c r="C74" s="33">
        <f t="shared" si="0"/>
        <v>5135727</v>
      </c>
      <c r="D74" s="53">
        <v>60000</v>
      </c>
      <c r="E74" s="53">
        <f>SUM(E76)</f>
        <v>5075727</v>
      </c>
      <c r="F74" s="53">
        <f>SUM(F76)</f>
        <v>5075727</v>
      </c>
    </row>
    <row r="75" spans="1:6" s="30" customFormat="1" ht="60" x14ac:dyDescent="0.25">
      <c r="A75" s="42">
        <v>31010200</v>
      </c>
      <c r="B75" s="47" t="s">
        <v>156</v>
      </c>
      <c r="C75" s="33">
        <f>SUM(D75,E75)</f>
        <v>60000</v>
      </c>
      <c r="D75" s="46">
        <v>60000</v>
      </c>
      <c r="E75" s="46"/>
      <c r="F75" s="46"/>
    </row>
    <row r="76" spans="1:6" s="30" customFormat="1" ht="36" x14ac:dyDescent="0.25">
      <c r="A76" s="42">
        <v>31030000</v>
      </c>
      <c r="B76" s="70" t="s">
        <v>157</v>
      </c>
      <c r="C76" s="33">
        <f t="shared" si="0"/>
        <v>5075727</v>
      </c>
      <c r="D76" s="44"/>
      <c r="E76" s="44">
        <v>5075727</v>
      </c>
      <c r="F76" s="44">
        <v>5075727</v>
      </c>
    </row>
    <row r="77" spans="1:6" s="30" customFormat="1" ht="30" x14ac:dyDescent="0.25">
      <c r="A77" s="35">
        <v>33000000</v>
      </c>
      <c r="B77" s="69" t="s">
        <v>158</v>
      </c>
      <c r="C77" s="33">
        <f t="shared" si="0"/>
        <v>7799905</v>
      </c>
      <c r="D77" s="53"/>
      <c r="E77" s="53">
        <f>SUM(E78)</f>
        <v>7799905</v>
      </c>
      <c r="F77" s="53">
        <f>SUM(F78)</f>
        <v>7799905</v>
      </c>
    </row>
    <row r="78" spans="1:6" s="30" customFormat="1" ht="15" x14ac:dyDescent="0.25">
      <c r="A78" s="35">
        <v>33010000</v>
      </c>
      <c r="B78" s="69" t="s">
        <v>159</v>
      </c>
      <c r="C78" s="33">
        <f t="shared" si="0"/>
        <v>7799905</v>
      </c>
      <c r="D78" s="38"/>
      <c r="E78" s="38">
        <f>SUM(E79,E80)</f>
        <v>7799905</v>
      </c>
      <c r="F78" s="38">
        <f>SUM(F79,F80)</f>
        <v>7799905</v>
      </c>
    </row>
    <row r="79" spans="1:6" s="30" customFormat="1" ht="48" x14ac:dyDescent="0.25">
      <c r="A79" s="35">
        <v>33010100</v>
      </c>
      <c r="B79" s="70" t="s">
        <v>542</v>
      </c>
      <c r="C79" s="33">
        <f t="shared" si="0"/>
        <v>4085990</v>
      </c>
      <c r="D79" s="38"/>
      <c r="E79" s="38">
        <v>4085990</v>
      </c>
      <c r="F79" s="38">
        <v>4085990</v>
      </c>
    </row>
    <row r="80" spans="1:6" s="30" customFormat="1" ht="48" x14ac:dyDescent="0.25">
      <c r="A80" s="35">
        <v>33010200</v>
      </c>
      <c r="B80" s="70" t="s">
        <v>160</v>
      </c>
      <c r="C80" s="33">
        <f t="shared" ref="C80:C107" si="1">SUM(D80,E80)</f>
        <v>3713915</v>
      </c>
      <c r="D80" s="38"/>
      <c r="E80" s="38">
        <v>3713915</v>
      </c>
      <c r="F80" s="38">
        <v>3713915</v>
      </c>
    </row>
    <row r="81" spans="1:6" s="30" customFormat="1" ht="53.45" customHeight="1" x14ac:dyDescent="0.25">
      <c r="A81" s="31">
        <v>50110000</v>
      </c>
      <c r="B81" s="71" t="s">
        <v>161</v>
      </c>
      <c r="C81" s="33">
        <v>4362100</v>
      </c>
      <c r="D81" s="38"/>
      <c r="E81" s="33">
        <v>4362100</v>
      </c>
      <c r="F81" s="38"/>
    </row>
    <row r="82" spans="1:6" s="34" customFormat="1" ht="18.75" x14ac:dyDescent="0.2">
      <c r="A82" s="31"/>
      <c r="B82" s="72" t="s">
        <v>757</v>
      </c>
      <c r="C82" s="33">
        <f t="shared" si="1"/>
        <v>1942769697</v>
      </c>
      <c r="D82" s="45">
        <f>D10+D44+D73</f>
        <v>1787861360</v>
      </c>
      <c r="E82" s="45">
        <f>E10+E44+E73+E81</f>
        <v>154908337</v>
      </c>
      <c r="F82" s="45">
        <f>F10+F44+F64+F73</f>
        <v>30875632</v>
      </c>
    </row>
    <row r="83" spans="1:6" s="34" customFormat="1" ht="18.75" x14ac:dyDescent="0.2">
      <c r="A83" s="31">
        <v>4000000</v>
      </c>
      <c r="B83" s="72" t="s">
        <v>758</v>
      </c>
      <c r="C83" s="33">
        <v>1212023653</v>
      </c>
      <c r="D83" s="45">
        <f>SUM(D84,D86)</f>
        <v>1212023653</v>
      </c>
      <c r="E83" s="45"/>
      <c r="F83" s="45"/>
    </row>
    <row r="84" spans="1:6" s="34" customFormat="1" ht="31.5" x14ac:dyDescent="0.2">
      <c r="A84" s="31">
        <v>41040000</v>
      </c>
      <c r="B84" s="133" t="s">
        <v>545</v>
      </c>
      <c r="C84" s="33">
        <v>17381620</v>
      </c>
      <c r="D84" s="45">
        <v>17381620</v>
      </c>
      <c r="E84" s="45"/>
      <c r="F84" s="45"/>
    </row>
    <row r="85" spans="1:6" s="34" customFormat="1" ht="78.75" customHeight="1" x14ac:dyDescent="0.2">
      <c r="A85" s="35">
        <v>41040200</v>
      </c>
      <c r="B85" s="134" t="s">
        <v>544</v>
      </c>
      <c r="C85" s="33">
        <v>17381620</v>
      </c>
      <c r="D85" s="45">
        <v>17381620</v>
      </c>
      <c r="E85" s="45"/>
      <c r="F85" s="45"/>
    </row>
    <row r="86" spans="1:6" s="34" customFormat="1" ht="14.25" x14ac:dyDescent="0.2">
      <c r="A86" s="31">
        <v>40000000</v>
      </c>
      <c r="B86" s="51" t="s">
        <v>162</v>
      </c>
      <c r="C86" s="33">
        <f t="shared" si="1"/>
        <v>1194642033</v>
      </c>
      <c r="D86" s="45">
        <f>SUM(D87:D101)</f>
        <v>1194642033</v>
      </c>
      <c r="E86" s="45">
        <f>SUM(E87:E101)</f>
        <v>0</v>
      </c>
      <c r="F86" s="33">
        <v>0</v>
      </c>
    </row>
    <row r="87" spans="1:6" s="34" customFormat="1" ht="25.5" x14ac:dyDescent="0.2">
      <c r="A87" s="35">
        <v>41033900</v>
      </c>
      <c r="B87" s="61" t="s">
        <v>163</v>
      </c>
      <c r="C87" s="33">
        <f t="shared" si="1"/>
        <v>368264000</v>
      </c>
      <c r="D87" s="38">
        <v>368264000</v>
      </c>
      <c r="E87" s="33"/>
      <c r="F87" s="33"/>
    </row>
    <row r="88" spans="1:6" s="34" customFormat="1" ht="25.5" x14ac:dyDescent="0.2">
      <c r="A88" s="35">
        <v>41034200</v>
      </c>
      <c r="B88" s="61" t="s">
        <v>164</v>
      </c>
      <c r="C88" s="33">
        <f t="shared" si="1"/>
        <v>192216600</v>
      </c>
      <c r="D88" s="38">
        <v>192216600</v>
      </c>
      <c r="E88" s="33"/>
      <c r="F88" s="33"/>
    </row>
    <row r="89" spans="1:6" s="34" customFormat="1" ht="42" customHeight="1" x14ac:dyDescent="0.2">
      <c r="A89" s="35">
        <v>41034500</v>
      </c>
      <c r="B89" s="61" t="s">
        <v>817</v>
      </c>
      <c r="C89" s="33">
        <v>8818000</v>
      </c>
      <c r="D89" s="38">
        <v>8818000</v>
      </c>
      <c r="E89" s="33"/>
      <c r="F89" s="33"/>
    </row>
    <row r="90" spans="1:6" s="34" customFormat="1" ht="42" customHeight="1" x14ac:dyDescent="0.2">
      <c r="A90" s="35">
        <v>41035400</v>
      </c>
      <c r="B90" s="61" t="s">
        <v>911</v>
      </c>
      <c r="C90" s="33">
        <v>1827557</v>
      </c>
      <c r="D90" s="38">
        <v>1827557</v>
      </c>
      <c r="E90" s="33"/>
      <c r="F90" s="33"/>
    </row>
    <row r="91" spans="1:6" s="34" customFormat="1" ht="63.75" x14ac:dyDescent="0.2">
      <c r="A91" s="35">
        <v>41051000</v>
      </c>
      <c r="B91" s="61" t="s">
        <v>799</v>
      </c>
      <c r="C91" s="33">
        <v>1416600</v>
      </c>
      <c r="D91" s="38">
        <v>1416600</v>
      </c>
      <c r="E91" s="33"/>
      <c r="F91" s="33"/>
    </row>
    <row r="92" spans="1:6" s="34" customFormat="1" ht="63.75" x14ac:dyDescent="0.2">
      <c r="A92" s="35">
        <v>41051200</v>
      </c>
      <c r="B92" s="61" t="s">
        <v>800</v>
      </c>
      <c r="C92" s="33">
        <v>3131372</v>
      </c>
      <c r="D92" s="38">
        <v>3131372</v>
      </c>
      <c r="E92" s="33"/>
      <c r="F92" s="33"/>
    </row>
    <row r="93" spans="1:6" s="34" customFormat="1" ht="51" x14ac:dyDescent="0.2">
      <c r="A93" s="35">
        <v>41051400</v>
      </c>
      <c r="B93" s="61" t="s">
        <v>913</v>
      </c>
      <c r="C93" s="33">
        <v>4877626</v>
      </c>
      <c r="D93" s="38">
        <v>4877626</v>
      </c>
      <c r="E93" s="33"/>
      <c r="F93" s="33"/>
    </row>
    <row r="94" spans="1:6" s="34" customFormat="1" ht="193.7" customHeight="1" x14ac:dyDescent="0.2">
      <c r="A94" s="31">
        <v>41050300</v>
      </c>
      <c r="B94" s="61" t="s">
        <v>496</v>
      </c>
      <c r="C94" s="33">
        <f t="shared" si="1"/>
        <v>354029500</v>
      </c>
      <c r="D94" s="38">
        <v>354029500</v>
      </c>
      <c r="E94" s="33"/>
      <c r="F94" s="33"/>
    </row>
    <row r="95" spans="1:6" s="34" customFormat="1" ht="117" customHeight="1" x14ac:dyDescent="0.2">
      <c r="A95" s="31">
        <v>41050100</v>
      </c>
      <c r="B95" s="61" t="s">
        <v>497</v>
      </c>
      <c r="C95" s="33">
        <v>237190900</v>
      </c>
      <c r="D95" s="38">
        <v>237190900</v>
      </c>
      <c r="E95" s="33"/>
      <c r="F95" s="33"/>
    </row>
    <row r="96" spans="1:6" s="34" customFormat="1" ht="65.25" customHeight="1" x14ac:dyDescent="0.2">
      <c r="A96" s="31">
        <v>41050200</v>
      </c>
      <c r="B96" s="61" t="s">
        <v>498</v>
      </c>
      <c r="C96" s="33">
        <f t="shared" si="1"/>
        <v>49300</v>
      </c>
      <c r="D96" s="38">
        <v>49300</v>
      </c>
      <c r="E96" s="33"/>
      <c r="F96" s="33"/>
    </row>
    <row r="97" spans="1:6" s="34" customFormat="1" ht="154.5" customHeight="1" x14ac:dyDescent="0.2">
      <c r="A97" s="31">
        <v>41050700</v>
      </c>
      <c r="B97" s="61" t="s">
        <v>499</v>
      </c>
      <c r="C97" s="33">
        <f t="shared" si="1"/>
        <v>1030700</v>
      </c>
      <c r="D97" s="38">
        <v>1030700</v>
      </c>
      <c r="E97" s="33"/>
      <c r="F97" s="33"/>
    </row>
    <row r="98" spans="1:6" s="34" customFormat="1" ht="49.7" customHeight="1" x14ac:dyDescent="0.2">
      <c r="A98" s="31">
        <v>41051500</v>
      </c>
      <c r="B98" s="61" t="s">
        <v>786</v>
      </c>
      <c r="C98" s="33">
        <f t="shared" si="1"/>
        <v>15778616</v>
      </c>
      <c r="D98" s="38">
        <v>15778616</v>
      </c>
      <c r="E98" s="33"/>
      <c r="F98" s="33"/>
    </row>
    <row r="99" spans="1:6" s="34" customFormat="1" ht="42.75" customHeight="1" x14ac:dyDescent="0.2">
      <c r="A99" s="31">
        <v>41051600</v>
      </c>
      <c r="B99" s="61" t="s">
        <v>818</v>
      </c>
      <c r="C99" s="33">
        <f t="shared" si="1"/>
        <v>1310000</v>
      </c>
      <c r="D99" s="38">
        <v>1310000</v>
      </c>
      <c r="E99" s="33"/>
      <c r="F99" s="33"/>
    </row>
    <row r="100" spans="1:6" s="34" customFormat="1" ht="58.7" customHeight="1" x14ac:dyDescent="0.2">
      <c r="A100" s="31">
        <v>41052000</v>
      </c>
      <c r="B100" s="61" t="s">
        <v>787</v>
      </c>
      <c r="C100" s="33">
        <f t="shared" si="1"/>
        <v>1734200</v>
      </c>
      <c r="D100" s="38">
        <v>1734200</v>
      </c>
      <c r="E100" s="33"/>
      <c r="F100" s="33"/>
    </row>
    <row r="101" spans="1:6" s="34" customFormat="1" ht="17.45" customHeight="1" x14ac:dyDescent="0.2">
      <c r="A101" s="31">
        <v>41053900</v>
      </c>
      <c r="B101" s="73" t="s">
        <v>543</v>
      </c>
      <c r="C101" s="33">
        <f t="shared" si="1"/>
        <v>2967062</v>
      </c>
      <c r="D101" s="45">
        <f>SUM(D102:D106)</f>
        <v>2967062</v>
      </c>
      <c r="E101" s="33"/>
      <c r="F101" s="33"/>
    </row>
    <row r="102" spans="1:6" s="34" customFormat="1" ht="24" x14ac:dyDescent="0.2">
      <c r="A102" s="31"/>
      <c r="B102" s="74" t="s">
        <v>165</v>
      </c>
      <c r="C102" s="33">
        <f t="shared" si="1"/>
        <v>179080</v>
      </c>
      <c r="D102" s="38">
        <v>179080</v>
      </c>
      <c r="E102" s="33"/>
      <c r="F102" s="33"/>
    </row>
    <row r="103" spans="1:6" s="34" customFormat="1" ht="36" x14ac:dyDescent="0.2">
      <c r="A103" s="31"/>
      <c r="B103" s="74" t="s">
        <v>166</v>
      </c>
      <c r="C103" s="33">
        <f t="shared" si="1"/>
        <v>135534</v>
      </c>
      <c r="D103" s="38">
        <v>135534</v>
      </c>
      <c r="E103" s="33"/>
      <c r="F103" s="33"/>
    </row>
    <row r="104" spans="1:6" s="50" customFormat="1" ht="24" x14ac:dyDescent="0.2">
      <c r="A104" s="31"/>
      <c r="B104" s="74" t="s">
        <v>167</v>
      </c>
      <c r="C104" s="33">
        <f t="shared" si="1"/>
        <v>168</v>
      </c>
      <c r="D104" s="38">
        <v>168</v>
      </c>
      <c r="E104" s="33"/>
      <c r="F104" s="33"/>
    </row>
    <row r="105" spans="1:6" ht="24" x14ac:dyDescent="0.2">
      <c r="A105" s="31"/>
      <c r="B105" s="74" t="s">
        <v>168</v>
      </c>
      <c r="C105" s="33">
        <f t="shared" si="1"/>
        <v>152280</v>
      </c>
      <c r="D105" s="38">
        <v>152280</v>
      </c>
      <c r="E105" s="33"/>
      <c r="F105" s="33"/>
    </row>
    <row r="106" spans="1:6" ht="24" x14ac:dyDescent="0.2">
      <c r="A106" s="31"/>
      <c r="B106" s="74" t="s">
        <v>798</v>
      </c>
      <c r="C106" s="33">
        <f t="shared" si="1"/>
        <v>2500000</v>
      </c>
      <c r="D106" s="38">
        <v>2500000</v>
      </c>
      <c r="E106" s="33"/>
      <c r="F106" s="33"/>
    </row>
    <row r="107" spans="1:6" s="77" customFormat="1" ht="20.25" x14ac:dyDescent="0.25">
      <c r="A107" s="75"/>
      <c r="B107" s="76" t="s">
        <v>169</v>
      </c>
      <c r="C107" s="33">
        <f t="shared" si="1"/>
        <v>3154793350</v>
      </c>
      <c r="D107" s="45">
        <f>SUM(D82,D84,D86)</f>
        <v>2999885013</v>
      </c>
      <c r="E107" s="45">
        <f>SUM(E82,E86)</f>
        <v>154908337</v>
      </c>
      <c r="F107" s="45">
        <f>SUM(F82:F86)</f>
        <v>30875632</v>
      </c>
    </row>
    <row r="109" spans="1:6" ht="15" customHeight="1" x14ac:dyDescent="0.25">
      <c r="B109" s="180" t="s">
        <v>941</v>
      </c>
      <c r="E109" s="180" t="s">
        <v>942</v>
      </c>
    </row>
    <row r="110" spans="1:6" ht="1.5" hidden="1" customHeight="1" x14ac:dyDescent="0.25">
      <c r="B110" s="180"/>
      <c r="E110" s="180"/>
    </row>
    <row r="111" spans="1:6" ht="15.75" x14ac:dyDescent="0.25">
      <c r="A111" s="77"/>
      <c r="B111" s="180" t="s">
        <v>170</v>
      </c>
      <c r="C111" s="180"/>
      <c r="D111" s="180"/>
      <c r="E111" s="180" t="s">
        <v>171</v>
      </c>
      <c r="F111" s="77"/>
    </row>
    <row r="113" spans="4:4" x14ac:dyDescent="0.2">
      <c r="D113" s="78"/>
    </row>
    <row r="114" spans="4:4" x14ac:dyDescent="0.2">
      <c r="D114" s="79"/>
    </row>
    <row r="157" spans="5:5" ht="18.75" x14ac:dyDescent="0.3">
      <c r="E157" s="113"/>
    </row>
  </sheetData>
  <mergeCells count="10">
    <mergeCell ref="A7:A8"/>
    <mergeCell ref="B7:B8"/>
    <mergeCell ref="C7:C8"/>
    <mergeCell ref="D7:D8"/>
    <mergeCell ref="E7:F7"/>
    <mergeCell ref="D1:G1"/>
    <mergeCell ref="D2:G2"/>
    <mergeCell ref="D3:G3"/>
    <mergeCell ref="A4:E4"/>
    <mergeCell ref="A5:E5"/>
  </mergeCells>
  <hyperlinks>
    <hyperlink ref="B74" location="_ftn1" display="_ftn1"/>
    <hyperlink ref="B73" location="_ftn1" display="_ftn1"/>
    <hyperlink ref="B59" location="_ftn1" display="_ftn1"/>
    <hyperlink ref="B15" location="_ftn1" display="_ftn1"/>
    <hyperlink ref="B14" location="_ftn1" display="_ftn1"/>
    <hyperlink ref="B42" location="_ftn1" display="_ftn1"/>
    <hyperlink ref="B77" location="_ftn1" display="_ftn1"/>
    <hyperlink ref="B78" location="_ftn1" display="_ftn1"/>
    <hyperlink ref="B47" location="_ftn1" display="_ftn1"/>
    <hyperlink ref="B48" location="_ftn1" display="_ftn1"/>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Q39"/>
  <sheetViews>
    <sheetView view="pageBreakPreview" zoomScaleSheetLayoutView="100" workbookViewId="0">
      <selection activeCell="C13" sqref="C13"/>
    </sheetView>
  </sheetViews>
  <sheetFormatPr defaultColWidth="9.140625" defaultRowHeight="12.75" x14ac:dyDescent="0.2"/>
  <cols>
    <col min="1" max="1" width="9.7109375" style="230" customWidth="1"/>
    <col min="2" max="3" width="22.140625" style="230" customWidth="1"/>
    <col min="4" max="4" width="14.140625" style="230" customWidth="1"/>
    <col min="5" max="5" width="14" style="230" customWidth="1"/>
    <col min="6" max="6" width="15.42578125" style="230" customWidth="1"/>
    <col min="7" max="7" width="15.140625" style="230" customWidth="1"/>
    <col min="8" max="8" width="16.42578125" style="230" customWidth="1"/>
    <col min="9" max="9" width="8.28515625" style="230" customWidth="1"/>
    <col min="10" max="10" width="9.140625" style="230"/>
    <col min="11" max="11" width="9.7109375" style="230" customWidth="1"/>
    <col min="12" max="12" width="9.140625" style="230"/>
    <col min="13" max="13" width="8.140625" style="230" customWidth="1"/>
    <col min="14" max="16384" width="9.140625" style="230"/>
  </cols>
  <sheetData>
    <row r="1" spans="1:17" x14ac:dyDescent="0.2">
      <c r="F1" s="80" t="s">
        <v>172</v>
      </c>
    </row>
    <row r="2" spans="1:17" x14ac:dyDescent="0.2">
      <c r="F2" s="80" t="s">
        <v>173</v>
      </c>
    </row>
    <row r="3" spans="1:17" x14ac:dyDescent="0.2">
      <c r="F3" s="80" t="s">
        <v>174</v>
      </c>
    </row>
    <row r="5" spans="1:17" ht="18.75" x14ac:dyDescent="0.3">
      <c r="A5" s="403" t="s">
        <v>652</v>
      </c>
      <c r="B5" s="403"/>
      <c r="C5" s="403"/>
      <c r="D5" s="403"/>
      <c r="E5" s="403"/>
      <c r="F5" s="403"/>
    </row>
    <row r="6" spans="1:17" ht="18.75" x14ac:dyDescent="0.3">
      <c r="A6" s="227"/>
      <c r="B6" s="227"/>
      <c r="C6" s="227"/>
      <c r="D6" s="227"/>
      <c r="E6" s="227"/>
      <c r="F6" s="227"/>
    </row>
    <row r="7" spans="1:17" x14ac:dyDescent="0.2">
      <c r="F7" s="182" t="s">
        <v>654</v>
      </c>
    </row>
    <row r="8" spans="1:17" x14ac:dyDescent="0.2">
      <c r="A8" s="404" t="s">
        <v>94</v>
      </c>
      <c r="B8" s="404" t="s">
        <v>644</v>
      </c>
      <c r="C8" s="404" t="s">
        <v>649</v>
      </c>
      <c r="D8" s="405" t="s">
        <v>25</v>
      </c>
      <c r="E8" s="404" t="s">
        <v>84</v>
      </c>
      <c r="F8" s="404"/>
    </row>
    <row r="9" spans="1:17" ht="35.450000000000003" customHeight="1" x14ac:dyDescent="0.2">
      <c r="A9" s="404"/>
      <c r="B9" s="404"/>
      <c r="C9" s="404"/>
      <c r="D9" s="406"/>
      <c r="E9" s="228" t="s">
        <v>650</v>
      </c>
      <c r="F9" s="228" t="s">
        <v>651</v>
      </c>
    </row>
    <row r="10" spans="1:17" x14ac:dyDescent="0.2">
      <c r="A10" s="81">
        <v>1</v>
      </c>
      <c r="B10" s="81">
        <v>2</v>
      </c>
      <c r="C10" s="81">
        <v>3</v>
      </c>
      <c r="D10" s="81">
        <v>4</v>
      </c>
      <c r="E10" s="81">
        <v>5</v>
      </c>
      <c r="F10" s="81">
        <v>6</v>
      </c>
    </row>
    <row r="11" spans="1:17" ht="23.25" customHeight="1" x14ac:dyDescent="0.2">
      <c r="A11" s="398" t="s">
        <v>645</v>
      </c>
      <c r="B11" s="399"/>
      <c r="C11" s="81"/>
      <c r="D11" s="81"/>
      <c r="E11" s="82"/>
      <c r="F11" s="82"/>
    </row>
    <row r="12" spans="1:17" x14ac:dyDescent="0.2">
      <c r="A12" s="83" t="s">
        <v>175</v>
      </c>
      <c r="B12" s="83" t="s">
        <v>176</v>
      </c>
      <c r="C12" s="83">
        <f>D12+E12</f>
        <v>85903475.610000014</v>
      </c>
      <c r="D12" s="83">
        <f>D13+D15</f>
        <v>-192931328.96000004</v>
      </c>
      <c r="E12" s="83">
        <f>E13+E15</f>
        <v>278834804.57000005</v>
      </c>
      <c r="F12" s="83">
        <f>F13+F15</f>
        <v>277765852.09000003</v>
      </c>
      <c r="G12" s="231"/>
      <c r="H12" s="231"/>
      <c r="I12" s="231"/>
      <c r="J12" s="231"/>
      <c r="K12" s="231"/>
      <c r="L12" s="231"/>
      <c r="M12" s="231"/>
      <c r="N12" s="231"/>
      <c r="O12" s="231"/>
      <c r="P12" s="231"/>
      <c r="Q12" s="231"/>
    </row>
    <row r="13" spans="1:17" ht="16.5" customHeight="1" x14ac:dyDescent="0.2">
      <c r="A13" s="84" t="s">
        <v>177</v>
      </c>
      <c r="B13" s="84" t="s">
        <v>178</v>
      </c>
      <c r="C13" s="232">
        <f>D13+E13</f>
        <v>85903475.609999999</v>
      </c>
      <c r="D13" s="232">
        <v>82864310.260000005</v>
      </c>
      <c r="E13" s="232">
        <v>3039165.35</v>
      </c>
      <c r="F13" s="232">
        <v>1970212.87</v>
      </c>
      <c r="G13" s="231"/>
      <c r="H13" s="231"/>
      <c r="I13" s="231"/>
      <c r="J13" s="231"/>
      <c r="K13" s="231"/>
      <c r="L13" s="231"/>
      <c r="M13" s="231"/>
      <c r="N13" s="231"/>
      <c r="O13" s="231"/>
      <c r="P13" s="231"/>
      <c r="Q13" s="231"/>
    </row>
    <row r="14" spans="1:17" ht="18.75" hidden="1" customHeight="1" x14ac:dyDescent="0.2">
      <c r="A14" s="84">
        <v>208200</v>
      </c>
      <c r="B14" s="84" t="s">
        <v>179</v>
      </c>
      <c r="C14" s="232">
        <f>D14+E14</f>
        <v>0</v>
      </c>
      <c r="D14" s="232"/>
      <c r="E14" s="232"/>
      <c r="F14" s="83"/>
      <c r="G14" s="231"/>
      <c r="H14" s="231"/>
      <c r="I14" s="231"/>
      <c r="J14" s="231"/>
      <c r="K14" s="231"/>
      <c r="L14" s="231"/>
      <c r="M14" s="231"/>
      <c r="N14" s="231"/>
      <c r="O14" s="231"/>
      <c r="P14" s="231"/>
      <c r="Q14" s="231"/>
    </row>
    <row r="15" spans="1:17" ht="51" x14ac:dyDescent="0.2">
      <c r="A15" s="84">
        <v>208400</v>
      </c>
      <c r="B15" s="85" t="s">
        <v>180</v>
      </c>
      <c r="C15" s="83">
        <f>D15+E15</f>
        <v>0</v>
      </c>
      <c r="D15" s="83">
        <v>-275795639.22000003</v>
      </c>
      <c r="E15" s="83">
        <v>275795639.22000003</v>
      </c>
      <c r="F15" s="83">
        <v>275795639.22000003</v>
      </c>
      <c r="G15" s="231"/>
      <c r="H15" s="231"/>
      <c r="I15" s="231"/>
      <c r="J15" s="231"/>
      <c r="K15" s="231"/>
      <c r="L15" s="231"/>
      <c r="M15" s="231"/>
      <c r="N15" s="231"/>
      <c r="O15" s="231"/>
      <c r="P15" s="231"/>
      <c r="Q15" s="231"/>
    </row>
    <row r="16" spans="1:17" x14ac:dyDescent="0.2">
      <c r="A16" s="135">
        <v>300000</v>
      </c>
      <c r="B16" s="114" t="s">
        <v>578</v>
      </c>
      <c r="C16" s="83">
        <v>-2128333</v>
      </c>
      <c r="D16" s="83">
        <v>0</v>
      </c>
      <c r="E16" s="83">
        <v>-2128333</v>
      </c>
      <c r="F16" s="83">
        <v>-2128333</v>
      </c>
      <c r="G16" s="231"/>
      <c r="H16" s="231"/>
      <c r="I16" s="231"/>
      <c r="J16" s="231"/>
      <c r="K16" s="231"/>
      <c r="L16" s="231"/>
      <c r="M16" s="231"/>
      <c r="N16" s="231"/>
      <c r="O16" s="231"/>
      <c r="P16" s="231"/>
      <c r="Q16" s="231"/>
    </row>
    <row r="17" spans="1:17" ht="38.25" x14ac:dyDescent="0.2">
      <c r="A17" s="135">
        <v>301000</v>
      </c>
      <c r="B17" s="114" t="s">
        <v>579</v>
      </c>
      <c r="C17" s="83">
        <v>-2128333</v>
      </c>
      <c r="D17" s="83">
        <v>0</v>
      </c>
      <c r="E17" s="83">
        <v>-2128333</v>
      </c>
      <c r="F17" s="83">
        <v>-2128333</v>
      </c>
      <c r="G17" s="231"/>
      <c r="H17" s="231"/>
      <c r="I17" s="231"/>
      <c r="J17" s="231"/>
      <c r="K17" s="231"/>
      <c r="L17" s="231"/>
      <c r="M17" s="231"/>
      <c r="N17" s="231"/>
      <c r="O17" s="231"/>
      <c r="P17" s="231"/>
      <c r="Q17" s="231"/>
    </row>
    <row r="18" spans="1:17" x14ac:dyDescent="0.2">
      <c r="A18" s="84">
        <v>301100</v>
      </c>
      <c r="B18" s="85" t="s">
        <v>580</v>
      </c>
      <c r="C18" s="83">
        <v>1183975</v>
      </c>
      <c r="D18" s="83"/>
      <c r="E18" s="83">
        <v>1183975</v>
      </c>
      <c r="F18" s="83">
        <v>1183975</v>
      </c>
      <c r="G18" s="231"/>
      <c r="H18" s="231"/>
      <c r="I18" s="231"/>
      <c r="J18" s="231"/>
      <c r="K18" s="231"/>
      <c r="L18" s="231"/>
      <c r="M18" s="231"/>
      <c r="N18" s="231"/>
      <c r="O18" s="231"/>
      <c r="P18" s="231"/>
      <c r="Q18" s="231"/>
    </row>
    <row r="19" spans="1:17" x14ac:dyDescent="0.2">
      <c r="A19" s="84">
        <v>301200</v>
      </c>
      <c r="B19" s="85" t="s">
        <v>581</v>
      </c>
      <c r="C19" s="83">
        <v>-3312308</v>
      </c>
      <c r="D19" s="83"/>
      <c r="E19" s="83">
        <v>-3312308</v>
      </c>
      <c r="F19" s="83">
        <v>-3312308</v>
      </c>
      <c r="G19" s="231"/>
      <c r="H19" s="231"/>
      <c r="I19" s="231"/>
      <c r="J19" s="231"/>
      <c r="K19" s="231"/>
      <c r="L19" s="231"/>
      <c r="M19" s="231"/>
      <c r="N19" s="231"/>
      <c r="O19" s="231"/>
      <c r="P19" s="231"/>
      <c r="Q19" s="231"/>
    </row>
    <row r="20" spans="1:17" x14ac:dyDescent="0.2">
      <c r="A20" s="135" t="s">
        <v>647</v>
      </c>
      <c r="B20" s="114" t="s">
        <v>646</v>
      </c>
      <c r="C20" s="83"/>
      <c r="D20" s="83"/>
      <c r="E20" s="83">
        <v>-2128333</v>
      </c>
      <c r="F20" s="83">
        <v>-2128333</v>
      </c>
      <c r="G20" s="231"/>
      <c r="H20" s="231"/>
      <c r="I20" s="231"/>
      <c r="J20" s="231"/>
      <c r="K20" s="231"/>
      <c r="L20" s="231"/>
      <c r="M20" s="231"/>
      <c r="N20" s="231"/>
      <c r="O20" s="231"/>
      <c r="P20" s="231"/>
      <c r="Q20" s="231"/>
    </row>
    <row r="21" spans="1:17" ht="35.450000000000003" customHeight="1" x14ac:dyDescent="0.2">
      <c r="A21" s="398" t="s">
        <v>648</v>
      </c>
      <c r="B21" s="400"/>
      <c r="C21" s="83"/>
      <c r="D21" s="83"/>
      <c r="E21" s="83"/>
      <c r="F21" s="83"/>
      <c r="G21" s="231"/>
      <c r="H21" s="231"/>
      <c r="I21" s="231"/>
      <c r="J21" s="231"/>
      <c r="K21" s="231"/>
      <c r="L21" s="231"/>
      <c r="M21" s="231"/>
      <c r="N21" s="231"/>
      <c r="O21" s="231"/>
      <c r="P21" s="231"/>
      <c r="Q21" s="231"/>
    </row>
    <row r="22" spans="1:17" ht="25.5" x14ac:dyDescent="0.2">
      <c r="A22" s="135">
        <v>400000</v>
      </c>
      <c r="B22" s="114" t="s">
        <v>181</v>
      </c>
      <c r="C22" s="83">
        <v>-2128333</v>
      </c>
      <c r="D22" s="83"/>
      <c r="E22" s="83">
        <v>-2128333</v>
      </c>
      <c r="F22" s="83">
        <v>-2128333</v>
      </c>
      <c r="G22" s="231"/>
      <c r="H22" s="231"/>
      <c r="I22" s="231"/>
      <c r="J22" s="231"/>
      <c r="K22" s="231"/>
      <c r="L22" s="231"/>
      <c r="M22" s="231"/>
      <c r="N22" s="231"/>
      <c r="O22" s="231"/>
      <c r="P22" s="231"/>
      <c r="Q22" s="231"/>
    </row>
    <row r="23" spans="1:17" x14ac:dyDescent="0.2">
      <c r="A23" s="135">
        <v>401000</v>
      </c>
      <c r="B23" s="114" t="s">
        <v>182</v>
      </c>
      <c r="C23" s="83">
        <v>1183975</v>
      </c>
      <c r="D23" s="83"/>
      <c r="E23" s="83">
        <v>1183975</v>
      </c>
      <c r="F23" s="83">
        <v>1183975</v>
      </c>
      <c r="G23" s="231"/>
      <c r="H23" s="231"/>
      <c r="I23" s="231"/>
      <c r="J23" s="231"/>
      <c r="K23" s="231"/>
      <c r="L23" s="231"/>
      <c r="M23" s="231"/>
      <c r="N23" s="231"/>
      <c r="O23" s="231"/>
      <c r="P23" s="231"/>
      <c r="Q23" s="231"/>
    </row>
    <row r="24" spans="1:17" s="2" customFormat="1" x14ac:dyDescent="0.2">
      <c r="A24" s="135">
        <v>401200</v>
      </c>
      <c r="B24" s="114" t="s">
        <v>582</v>
      </c>
      <c r="C24" s="83">
        <v>1183975</v>
      </c>
      <c r="D24" s="83"/>
      <c r="E24" s="83">
        <v>1183975</v>
      </c>
      <c r="F24" s="83">
        <v>1183975</v>
      </c>
      <c r="G24" s="136"/>
      <c r="H24" s="136"/>
      <c r="I24" s="136"/>
      <c r="J24" s="136"/>
      <c r="K24" s="136"/>
      <c r="L24" s="136"/>
      <c r="M24" s="136"/>
      <c r="N24" s="136"/>
      <c r="O24" s="136"/>
      <c r="P24" s="136"/>
      <c r="Q24" s="136"/>
    </row>
    <row r="25" spans="1:17" ht="25.5" x14ac:dyDescent="0.2">
      <c r="A25" s="84">
        <v>401202</v>
      </c>
      <c r="B25" s="85" t="s">
        <v>583</v>
      </c>
      <c r="C25" s="232">
        <v>1183975</v>
      </c>
      <c r="D25" s="83"/>
      <c r="E25" s="232">
        <v>1183975</v>
      </c>
      <c r="F25" s="232">
        <v>1183975</v>
      </c>
      <c r="G25" s="231"/>
      <c r="H25" s="231"/>
      <c r="I25" s="231"/>
      <c r="J25" s="231"/>
      <c r="K25" s="231"/>
      <c r="L25" s="231"/>
      <c r="M25" s="231"/>
      <c r="N25" s="231"/>
      <c r="O25" s="231"/>
      <c r="P25" s="231"/>
      <c r="Q25" s="231"/>
    </row>
    <row r="26" spans="1:17" s="2" customFormat="1" x14ac:dyDescent="0.2">
      <c r="A26" s="135">
        <v>402000</v>
      </c>
      <c r="B26" s="114" t="s">
        <v>584</v>
      </c>
      <c r="C26" s="83">
        <v>-3312308</v>
      </c>
      <c r="D26" s="83"/>
      <c r="E26" s="83">
        <v>-3312308</v>
      </c>
      <c r="F26" s="83">
        <v>-3312308</v>
      </c>
      <c r="G26" s="136"/>
      <c r="H26" s="136"/>
      <c r="I26" s="136"/>
      <c r="J26" s="136"/>
      <c r="K26" s="136"/>
      <c r="L26" s="136"/>
      <c r="M26" s="136"/>
      <c r="N26" s="136"/>
      <c r="O26" s="136"/>
      <c r="P26" s="136"/>
      <c r="Q26" s="136"/>
    </row>
    <row r="27" spans="1:17" s="2" customFormat="1" x14ac:dyDescent="0.2">
      <c r="A27" s="135">
        <v>402200</v>
      </c>
      <c r="B27" s="114" t="s">
        <v>585</v>
      </c>
      <c r="C27" s="83">
        <v>-3312308</v>
      </c>
      <c r="D27" s="83"/>
      <c r="E27" s="83">
        <v>-3312308</v>
      </c>
      <c r="F27" s="83">
        <v>-3312308</v>
      </c>
      <c r="G27" s="136"/>
      <c r="H27" s="136"/>
      <c r="I27" s="136"/>
      <c r="J27" s="136"/>
      <c r="K27" s="136"/>
      <c r="L27" s="136"/>
      <c r="M27" s="136"/>
      <c r="N27" s="136"/>
      <c r="O27" s="136"/>
      <c r="P27" s="136"/>
      <c r="Q27" s="136"/>
    </row>
    <row r="28" spans="1:17" ht="25.5" customHeight="1" x14ac:dyDescent="0.2">
      <c r="A28" s="84">
        <v>402202</v>
      </c>
      <c r="B28" s="85" t="s">
        <v>583</v>
      </c>
      <c r="C28" s="232">
        <v>-3312308</v>
      </c>
      <c r="D28" s="83"/>
      <c r="E28" s="232">
        <v>-3312308</v>
      </c>
      <c r="F28" s="232">
        <v>-3312308</v>
      </c>
      <c r="G28" s="231"/>
      <c r="H28" s="231"/>
      <c r="I28" s="231"/>
      <c r="J28" s="231"/>
      <c r="K28" s="231"/>
      <c r="L28" s="231"/>
      <c r="M28" s="231"/>
      <c r="N28" s="231"/>
      <c r="O28" s="231"/>
      <c r="P28" s="231"/>
      <c r="Q28" s="231"/>
    </row>
    <row r="29" spans="1:17" x14ac:dyDescent="0.2">
      <c r="A29" s="135" t="s">
        <v>647</v>
      </c>
      <c r="B29" s="114" t="s">
        <v>646</v>
      </c>
      <c r="C29" s="83">
        <v>83775142.609999999</v>
      </c>
      <c r="D29" s="83">
        <v>-275795639.22000003</v>
      </c>
      <c r="E29" s="83">
        <v>359570781.82999998</v>
      </c>
      <c r="F29" s="83">
        <v>358201829.35000002</v>
      </c>
      <c r="G29" s="231"/>
      <c r="H29" s="231"/>
      <c r="I29" s="231"/>
      <c r="J29" s="231"/>
      <c r="K29" s="231"/>
      <c r="L29" s="231"/>
      <c r="M29" s="231"/>
      <c r="N29" s="231"/>
      <c r="O29" s="231"/>
      <c r="P29" s="231"/>
      <c r="Q29" s="231"/>
    </row>
    <row r="30" spans="1:17" ht="25.5" x14ac:dyDescent="0.2">
      <c r="A30" s="135" t="s">
        <v>183</v>
      </c>
      <c r="B30" s="135" t="s">
        <v>184</v>
      </c>
      <c r="C30" s="83">
        <f>D30+E30</f>
        <v>0</v>
      </c>
      <c r="D30" s="83">
        <v>-275795639.22000003</v>
      </c>
      <c r="E30" s="83">
        <v>275795639.22000003</v>
      </c>
      <c r="F30" s="83">
        <v>275795639.22000003</v>
      </c>
      <c r="G30" s="231"/>
      <c r="H30" s="231"/>
      <c r="I30" s="231"/>
      <c r="J30" s="231"/>
      <c r="K30" s="231"/>
      <c r="L30" s="231"/>
      <c r="M30" s="231"/>
      <c r="N30" s="231"/>
      <c r="O30" s="231"/>
      <c r="P30" s="231"/>
      <c r="Q30" s="231"/>
    </row>
    <row r="31" spans="1:17" ht="36" customHeight="1" x14ac:dyDescent="0.2">
      <c r="A31" s="84">
        <v>602100</v>
      </c>
      <c r="B31" s="85" t="s">
        <v>185</v>
      </c>
      <c r="C31" s="232">
        <f>D31+E31</f>
        <v>0</v>
      </c>
      <c r="D31" s="232"/>
      <c r="E31" s="232"/>
      <c r="F31" s="232"/>
      <c r="G31" s="231"/>
      <c r="H31" s="231"/>
      <c r="I31" s="231"/>
      <c r="J31" s="231"/>
      <c r="K31" s="231"/>
      <c r="L31" s="231"/>
      <c r="M31" s="231"/>
      <c r="N31" s="231"/>
      <c r="O31" s="231"/>
      <c r="P31" s="231"/>
      <c r="Q31" s="231"/>
    </row>
    <row r="32" spans="1:17" ht="39.75" hidden="1" customHeight="1" x14ac:dyDescent="0.2">
      <c r="A32" s="84">
        <v>602200</v>
      </c>
      <c r="B32" s="85" t="s">
        <v>186</v>
      </c>
      <c r="C32" s="232">
        <f>SUM(D32:E32)</f>
        <v>0</v>
      </c>
      <c r="D32" s="232"/>
      <c r="E32" s="232"/>
      <c r="F32" s="83"/>
      <c r="G32" s="231"/>
      <c r="H32" s="231"/>
      <c r="I32" s="231"/>
      <c r="J32" s="231"/>
      <c r="K32" s="231"/>
      <c r="L32" s="231"/>
      <c r="M32" s="231"/>
      <c r="N32" s="231"/>
      <c r="O32" s="231"/>
      <c r="P32" s="231"/>
      <c r="Q32" s="231"/>
    </row>
    <row r="33" spans="1:17" ht="52.5" customHeight="1" x14ac:dyDescent="0.2">
      <c r="A33" s="84">
        <v>602400</v>
      </c>
      <c r="B33" s="85" t="s">
        <v>180</v>
      </c>
      <c r="C33" s="83">
        <v>0</v>
      </c>
      <c r="D33" s="83">
        <v>-275795639.22000003</v>
      </c>
      <c r="E33" s="83">
        <v>275795639.22000003</v>
      </c>
      <c r="F33" s="83">
        <v>275795639.22000003</v>
      </c>
      <c r="G33" s="231"/>
      <c r="H33" s="231"/>
      <c r="I33" s="231"/>
      <c r="J33" s="231"/>
      <c r="K33" s="231"/>
      <c r="L33" s="231"/>
      <c r="M33" s="231"/>
      <c r="N33" s="231"/>
      <c r="O33" s="231"/>
      <c r="P33" s="231"/>
      <c r="Q33" s="231"/>
    </row>
    <row r="34" spans="1:17" x14ac:dyDescent="0.2">
      <c r="A34" s="135" t="s">
        <v>647</v>
      </c>
      <c r="B34" s="114" t="s">
        <v>646</v>
      </c>
      <c r="C34" s="83">
        <f>D34+E34</f>
        <v>83775141.609999985</v>
      </c>
      <c r="D34" s="83">
        <v>-192931329.96000001</v>
      </c>
      <c r="E34" s="83">
        <v>276706471.56999999</v>
      </c>
      <c r="F34" s="83">
        <v>275637519.08999997</v>
      </c>
      <c r="G34" s="231"/>
      <c r="H34" s="231"/>
      <c r="I34" s="231"/>
      <c r="J34" s="231"/>
      <c r="K34" s="231"/>
      <c r="L34" s="231"/>
      <c r="M34" s="231"/>
      <c r="N34" s="231"/>
      <c r="O34" s="231"/>
      <c r="P34" s="231"/>
      <c r="Q34" s="231"/>
    </row>
    <row r="35" spans="1:17" x14ac:dyDescent="0.2">
      <c r="A35" s="123"/>
      <c r="B35" s="123"/>
      <c r="C35" s="123"/>
      <c r="D35" s="123"/>
      <c r="E35" s="123"/>
      <c r="F35" s="123"/>
      <c r="G35" s="123"/>
      <c r="H35" s="123"/>
      <c r="I35" s="123"/>
    </row>
    <row r="36" spans="1:17" x14ac:dyDescent="0.2">
      <c r="A36" s="123"/>
      <c r="B36" s="401" t="s">
        <v>941</v>
      </c>
      <c r="C36" s="401"/>
      <c r="D36" s="402"/>
      <c r="E36" s="123"/>
      <c r="F36" s="123" t="s">
        <v>942</v>
      </c>
      <c r="G36" s="123"/>
      <c r="H36" s="123"/>
      <c r="I36" s="123"/>
    </row>
    <row r="37" spans="1:17" x14ac:dyDescent="0.2">
      <c r="A37" s="123"/>
      <c r="B37" s="226"/>
      <c r="C37" s="226"/>
      <c r="D37" s="123"/>
      <c r="E37" s="123"/>
      <c r="F37" s="123"/>
      <c r="G37" s="123"/>
      <c r="H37" s="123"/>
      <c r="I37" s="123"/>
    </row>
    <row r="38" spans="1:17" x14ac:dyDescent="0.2">
      <c r="A38" s="123" t="s">
        <v>656</v>
      </c>
      <c r="B38" s="123"/>
      <c r="C38" s="123"/>
      <c r="E38" s="123"/>
      <c r="F38" s="123" t="s">
        <v>655</v>
      </c>
      <c r="G38" s="123"/>
      <c r="H38" s="123"/>
      <c r="I38" s="123"/>
    </row>
    <row r="39" spans="1:17" x14ac:dyDescent="0.2">
      <c r="F39" s="123"/>
    </row>
  </sheetData>
  <mergeCells count="9">
    <mergeCell ref="A11:B11"/>
    <mergeCell ref="A21:B21"/>
    <mergeCell ref="B36:D36"/>
    <mergeCell ref="A5:F5"/>
    <mergeCell ref="A8:A9"/>
    <mergeCell ref="B8:B9"/>
    <mergeCell ref="C8:C9"/>
    <mergeCell ref="D8:D9"/>
    <mergeCell ref="E8:F8"/>
  </mergeCells>
  <pageMargins left="1.1811023622047245" right="0.44" top="0.39370078740157483" bottom="0.19685039370078741" header="0.39370078740157483" footer="0.1574803149606299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pageSetUpPr fitToPage="1"/>
  </sheetPr>
  <dimension ref="A2:T209"/>
  <sheetViews>
    <sheetView view="pageBreakPreview" zoomScale="25" zoomScaleNormal="25" zoomScaleSheetLayoutView="25" zoomScalePageLayoutView="10" workbookViewId="0">
      <pane ySplit="12" topLeftCell="A120" activePane="bottomLeft" state="frozen"/>
      <selection activeCell="K153" sqref="K153"/>
      <selection pane="bottomLeft" activeCell="D121" sqref="D121"/>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7" width="52.140625" customWidth="1"/>
    <col min="18" max="18" width="66.42578125" bestFit="1" customWidth="1"/>
    <col min="20" max="20" width="24.7109375" bestFit="1" customWidth="1"/>
  </cols>
  <sheetData>
    <row r="2" spans="1:18" ht="45.75" x14ac:dyDescent="0.2">
      <c r="D2" s="7"/>
      <c r="E2" s="8"/>
      <c r="F2" s="9"/>
      <c r="G2" s="8"/>
      <c r="H2" s="8"/>
      <c r="I2" s="8"/>
      <c r="J2" s="8"/>
      <c r="K2" s="8"/>
      <c r="L2" s="8"/>
      <c r="M2" s="8"/>
      <c r="N2" s="411" t="s">
        <v>89</v>
      </c>
      <c r="O2" s="395"/>
      <c r="P2" s="395"/>
      <c r="Q2" s="395"/>
    </row>
    <row r="3" spans="1:18" ht="45.75" x14ac:dyDescent="0.2">
      <c r="A3" s="7"/>
      <c r="B3" s="7"/>
      <c r="C3" s="7"/>
      <c r="D3" s="7"/>
      <c r="E3" s="8"/>
      <c r="F3" s="9"/>
      <c r="G3" s="8"/>
      <c r="H3" s="8"/>
      <c r="I3" s="8"/>
      <c r="J3" s="8"/>
      <c r="K3" s="8"/>
      <c r="L3" s="8"/>
      <c r="M3" s="8"/>
      <c r="N3" s="411" t="s">
        <v>921</v>
      </c>
      <c r="O3" s="412"/>
      <c r="P3" s="412"/>
      <c r="Q3" s="412"/>
    </row>
    <row r="4" spans="1:18" ht="40.700000000000003" customHeight="1" x14ac:dyDescent="0.2">
      <c r="A4" s="7"/>
      <c r="B4" s="7"/>
      <c r="C4" s="7"/>
      <c r="D4" s="7"/>
      <c r="E4" s="8"/>
      <c r="F4" s="9"/>
      <c r="G4" s="8"/>
      <c r="H4" s="8"/>
      <c r="I4" s="8"/>
      <c r="J4" s="8"/>
      <c r="K4" s="8"/>
      <c r="L4" s="8"/>
      <c r="M4" s="8"/>
      <c r="N4" s="8"/>
      <c r="O4" s="411"/>
      <c r="P4" s="413"/>
    </row>
    <row r="5" spans="1:18" ht="45.75" hidden="1" x14ac:dyDescent="0.2">
      <c r="A5" s="7"/>
      <c r="B5" s="7"/>
      <c r="C5" s="7"/>
      <c r="D5" s="7"/>
      <c r="E5" s="8"/>
      <c r="F5" s="9"/>
      <c r="G5" s="8"/>
      <c r="H5" s="8"/>
      <c r="I5" s="8"/>
      <c r="J5" s="8"/>
      <c r="K5" s="8"/>
      <c r="L5" s="8"/>
      <c r="M5" s="8"/>
      <c r="N5" s="8"/>
      <c r="O5" s="7"/>
      <c r="P5" s="9"/>
    </row>
    <row r="6" spans="1:18" ht="45" x14ac:dyDescent="0.2">
      <c r="A6" s="415" t="s">
        <v>88</v>
      </c>
      <c r="B6" s="415"/>
      <c r="C6" s="415"/>
      <c r="D6" s="415"/>
      <c r="E6" s="415"/>
      <c r="F6" s="415"/>
      <c r="G6" s="415"/>
      <c r="H6" s="415"/>
      <c r="I6" s="415"/>
      <c r="J6" s="415"/>
      <c r="K6" s="415"/>
      <c r="L6" s="415"/>
      <c r="M6" s="415"/>
      <c r="N6" s="415"/>
      <c r="O6" s="415"/>
      <c r="P6" s="415"/>
    </row>
    <row r="7" spans="1:18" ht="45" x14ac:dyDescent="0.2">
      <c r="A7" s="415" t="s">
        <v>653</v>
      </c>
      <c r="B7" s="415"/>
      <c r="C7" s="415"/>
      <c r="D7" s="415"/>
      <c r="E7" s="415"/>
      <c r="F7" s="415"/>
      <c r="G7" s="415"/>
      <c r="H7" s="415"/>
      <c r="I7" s="415"/>
      <c r="J7" s="415"/>
      <c r="K7" s="415"/>
      <c r="L7" s="415"/>
      <c r="M7" s="415"/>
      <c r="N7" s="415"/>
      <c r="O7" s="415"/>
      <c r="P7" s="415"/>
    </row>
    <row r="8" spans="1:18" ht="53.45" customHeight="1" x14ac:dyDescent="0.2">
      <c r="A8" s="8"/>
      <c r="B8" s="8"/>
      <c r="C8" s="8"/>
      <c r="D8" s="8"/>
      <c r="E8" s="8"/>
      <c r="F8" s="9"/>
      <c r="G8" s="8"/>
      <c r="H8" s="8"/>
      <c r="I8" s="8"/>
      <c r="J8" s="8"/>
      <c r="K8" s="8"/>
      <c r="L8" s="8"/>
      <c r="M8" s="8"/>
      <c r="N8" s="8"/>
      <c r="O8" s="8"/>
      <c r="P8" s="10" t="s">
        <v>654</v>
      </c>
    </row>
    <row r="9" spans="1:18" ht="62.45" customHeight="1" x14ac:dyDescent="0.2">
      <c r="A9" s="432" t="s">
        <v>29</v>
      </c>
      <c r="B9" s="432" t="s">
        <v>657</v>
      </c>
      <c r="C9" s="432" t="s">
        <v>664</v>
      </c>
      <c r="D9" s="432" t="s">
        <v>658</v>
      </c>
      <c r="E9" s="414" t="s">
        <v>25</v>
      </c>
      <c r="F9" s="414"/>
      <c r="G9" s="414"/>
      <c r="H9" s="414"/>
      <c r="I9" s="414"/>
      <c r="J9" s="436" t="s">
        <v>84</v>
      </c>
      <c r="K9" s="437"/>
      <c r="L9" s="437"/>
      <c r="M9" s="437"/>
      <c r="N9" s="437"/>
      <c r="O9" s="438"/>
      <c r="P9" s="414" t="s">
        <v>24</v>
      </c>
    </row>
    <row r="10" spans="1:18" ht="255" customHeight="1" x14ac:dyDescent="0.2">
      <c r="A10" s="433"/>
      <c r="B10" s="435"/>
      <c r="C10" s="435"/>
      <c r="D10" s="433"/>
      <c r="E10" s="416" t="s">
        <v>650</v>
      </c>
      <c r="F10" s="416" t="s">
        <v>85</v>
      </c>
      <c r="G10" s="416" t="s">
        <v>26</v>
      </c>
      <c r="H10" s="416"/>
      <c r="I10" s="416" t="s">
        <v>87</v>
      </c>
      <c r="J10" s="416" t="s">
        <v>650</v>
      </c>
      <c r="K10" s="416" t="s">
        <v>651</v>
      </c>
      <c r="L10" s="416" t="s">
        <v>85</v>
      </c>
      <c r="M10" s="416" t="s">
        <v>26</v>
      </c>
      <c r="N10" s="416"/>
      <c r="O10" s="416" t="s">
        <v>87</v>
      </c>
      <c r="P10" s="414"/>
    </row>
    <row r="11" spans="1:18" ht="135" x14ac:dyDescent="0.2">
      <c r="A11" s="434"/>
      <c r="B11" s="434"/>
      <c r="C11" s="434"/>
      <c r="D11" s="434"/>
      <c r="E11" s="416"/>
      <c r="F11" s="416"/>
      <c r="G11" s="194" t="s">
        <v>86</v>
      </c>
      <c r="H11" s="194" t="s">
        <v>28</v>
      </c>
      <c r="I11" s="416"/>
      <c r="J11" s="416"/>
      <c r="K11" s="416"/>
      <c r="L11" s="416"/>
      <c r="M11" s="194" t="s">
        <v>86</v>
      </c>
      <c r="N11" s="194" t="s">
        <v>28</v>
      </c>
      <c r="O11" s="416"/>
      <c r="P11" s="414"/>
    </row>
    <row r="12" spans="1:18" s="2" customFormat="1" ht="111" customHeight="1" x14ac:dyDescent="0.2">
      <c r="A12" s="11" t="s">
        <v>4</v>
      </c>
      <c r="B12" s="11" t="s">
        <v>5</v>
      </c>
      <c r="C12" s="11" t="s">
        <v>27</v>
      </c>
      <c r="D12" s="11" t="s">
        <v>7</v>
      </c>
      <c r="E12" s="11" t="s">
        <v>667</v>
      </c>
      <c r="F12" s="11" t="s">
        <v>668</v>
      </c>
      <c r="G12" s="11" t="s">
        <v>669</v>
      </c>
      <c r="H12" s="11" t="s">
        <v>670</v>
      </c>
      <c r="I12" s="11" t="s">
        <v>671</v>
      </c>
      <c r="J12" s="11" t="s">
        <v>672</v>
      </c>
      <c r="K12" s="11" t="s">
        <v>673</v>
      </c>
      <c r="L12" s="11" t="s">
        <v>674</v>
      </c>
      <c r="M12" s="11" t="s">
        <v>675</v>
      </c>
      <c r="N12" s="11" t="s">
        <v>676</v>
      </c>
      <c r="O12" s="11" t="s">
        <v>677</v>
      </c>
      <c r="P12" s="11" t="s">
        <v>678</v>
      </c>
    </row>
    <row r="13" spans="1:18" s="2" customFormat="1" ht="135" x14ac:dyDescent="0.2">
      <c r="A13" s="281" t="s">
        <v>234</v>
      </c>
      <c r="B13" s="281"/>
      <c r="C13" s="281"/>
      <c r="D13" s="282" t="s">
        <v>236</v>
      </c>
      <c r="E13" s="283">
        <f>E14</f>
        <v>90752908</v>
      </c>
      <c r="F13" s="283">
        <f t="shared" ref="F13:N13" si="0">F14</f>
        <v>90752908</v>
      </c>
      <c r="G13" s="283">
        <f t="shared" si="0"/>
        <v>54985000</v>
      </c>
      <c r="H13" s="283">
        <f t="shared" si="0"/>
        <v>2521600</v>
      </c>
      <c r="I13" s="283">
        <f t="shared" si="0"/>
        <v>0</v>
      </c>
      <c r="J13" s="283">
        <f t="shared" si="0"/>
        <v>11291445.039999999</v>
      </c>
      <c r="K13" s="283">
        <f t="shared" si="0"/>
        <v>8372679</v>
      </c>
      <c r="L13" s="283">
        <f t="shared" si="0"/>
        <v>2868766.04</v>
      </c>
      <c r="M13" s="283">
        <f t="shared" si="0"/>
        <v>0</v>
      </c>
      <c r="N13" s="283">
        <f t="shared" si="0"/>
        <v>0</v>
      </c>
      <c r="O13" s="283">
        <f>O14</f>
        <v>8422679</v>
      </c>
      <c r="P13" s="283">
        <f t="shared" ref="P13" si="1">P14</f>
        <v>102044353.03999999</v>
      </c>
    </row>
    <row r="14" spans="1:18" s="2" customFormat="1" ht="135" x14ac:dyDescent="0.2">
      <c r="A14" s="284" t="s">
        <v>235</v>
      </c>
      <c r="B14" s="284"/>
      <c r="C14" s="284"/>
      <c r="D14" s="285" t="s">
        <v>237</v>
      </c>
      <c r="E14" s="286">
        <f>SUM(E15:E24)</f>
        <v>90752908</v>
      </c>
      <c r="F14" s="286">
        <f t="shared" ref="F14:I14" si="2">SUM(F15:F24)</f>
        <v>90752908</v>
      </c>
      <c r="G14" s="286">
        <f t="shared" si="2"/>
        <v>54985000</v>
      </c>
      <c r="H14" s="286">
        <f t="shared" si="2"/>
        <v>2521600</v>
      </c>
      <c r="I14" s="286">
        <f t="shared" si="2"/>
        <v>0</v>
      </c>
      <c r="J14" s="286">
        <f t="shared" ref="J14:J19" si="3">L14+O14</f>
        <v>11291445.039999999</v>
      </c>
      <c r="K14" s="286">
        <f t="shared" ref="K14" si="4">SUM(K15:K24)</f>
        <v>8372679</v>
      </c>
      <c r="L14" s="286">
        <f t="shared" ref="L14" si="5">SUM(L15:L24)</f>
        <v>2868766.04</v>
      </c>
      <c r="M14" s="286">
        <f t="shared" ref="M14" si="6">SUM(M15:M24)</f>
        <v>0</v>
      </c>
      <c r="N14" s="286">
        <f t="shared" ref="N14" si="7">SUM(N15:N24)</f>
        <v>0</v>
      </c>
      <c r="O14" s="286">
        <f t="shared" ref="O14" si="8">SUM(O15:O24)</f>
        <v>8422679</v>
      </c>
      <c r="P14" s="286">
        <f>E14+J14</f>
        <v>102044353.03999999</v>
      </c>
      <c r="Q14" s="140" t="b">
        <f>P15+P16+P17+P18+P21+P22+P19+P23+P24=P14</f>
        <v>1</v>
      </c>
      <c r="R14" s="140" t="b">
        <f>K14='dod5'!I6</f>
        <v>1</v>
      </c>
    </row>
    <row r="15" spans="1:18" ht="320.25" x14ac:dyDescent="0.2">
      <c r="A15" s="255" t="s">
        <v>337</v>
      </c>
      <c r="B15" s="255" t="s">
        <v>338</v>
      </c>
      <c r="C15" s="255" t="s">
        <v>339</v>
      </c>
      <c r="D15" s="255" t="s">
        <v>336</v>
      </c>
      <c r="E15" s="256">
        <f t="shared" ref="E15:E22" si="9">F15</f>
        <v>79041400</v>
      </c>
      <c r="F15" s="111">
        <f>(77586750)+1454650</f>
        <v>79041400</v>
      </c>
      <c r="G15" s="111">
        <v>54985000</v>
      </c>
      <c r="H15" s="111">
        <f>(2510600)+11000</f>
        <v>2521600</v>
      </c>
      <c r="I15" s="111"/>
      <c r="J15" s="256">
        <f t="shared" si="3"/>
        <v>778500</v>
      </c>
      <c r="K15" s="111">
        <f>(210000)+568500</f>
        <v>778500</v>
      </c>
      <c r="L15" s="153"/>
      <c r="M15" s="221"/>
      <c r="N15" s="221"/>
      <c r="O15" s="229">
        <f>K15</f>
        <v>778500</v>
      </c>
      <c r="P15" s="256">
        <f>+J15+E15</f>
        <v>79819900</v>
      </c>
      <c r="R15" s="140" t="b">
        <f>K15='dod5'!I8</f>
        <v>1</v>
      </c>
    </row>
    <row r="16" spans="1:18" ht="91.5" x14ac:dyDescent="0.2">
      <c r="A16" s="255" t="s">
        <v>353</v>
      </c>
      <c r="B16" s="255" t="s">
        <v>71</v>
      </c>
      <c r="C16" s="255" t="s">
        <v>70</v>
      </c>
      <c r="D16" s="255" t="s">
        <v>354</v>
      </c>
      <c r="E16" s="256">
        <f t="shared" ref="E16:E19" si="10">F16</f>
        <v>2305000</v>
      </c>
      <c r="F16" s="218">
        <f>(1305000)+1000000</f>
        <v>2305000</v>
      </c>
      <c r="G16" s="218"/>
      <c r="H16" s="218"/>
      <c r="I16" s="218"/>
      <c r="J16" s="256">
        <f t="shared" si="3"/>
        <v>475727</v>
      </c>
      <c r="K16" s="218">
        <v>475727</v>
      </c>
      <c r="L16" s="218"/>
      <c r="M16" s="218"/>
      <c r="N16" s="218"/>
      <c r="O16" s="229">
        <f>K16</f>
        <v>475727</v>
      </c>
      <c r="P16" s="256">
        <f>E16+J16</f>
        <v>2780727</v>
      </c>
      <c r="R16" s="140"/>
    </row>
    <row r="17" spans="1:20" ht="91.5" x14ac:dyDescent="0.2">
      <c r="A17" s="255" t="s">
        <v>343</v>
      </c>
      <c r="B17" s="255" t="s">
        <v>344</v>
      </c>
      <c r="C17" s="255" t="s">
        <v>345</v>
      </c>
      <c r="D17" s="255" t="s">
        <v>342</v>
      </c>
      <c r="E17" s="256">
        <f t="shared" si="10"/>
        <v>3236400</v>
      </c>
      <c r="F17" s="218">
        <v>3236400</v>
      </c>
      <c r="G17" s="218">
        <f>H17+I17</f>
        <v>0</v>
      </c>
      <c r="H17" s="218"/>
      <c r="I17" s="218"/>
      <c r="J17" s="256">
        <f t="shared" si="3"/>
        <v>3500000</v>
      </c>
      <c r="K17" s="218">
        <f>(1500000)+2000000</f>
        <v>3500000</v>
      </c>
      <c r="L17" s="218"/>
      <c r="M17" s="218"/>
      <c r="N17" s="218"/>
      <c r="O17" s="229">
        <f>K17</f>
        <v>3500000</v>
      </c>
      <c r="P17" s="256">
        <f>+J17+E17</f>
        <v>6736400</v>
      </c>
      <c r="R17" s="140" t="b">
        <f>K17='dod5'!I10</f>
        <v>1</v>
      </c>
    </row>
    <row r="18" spans="1:20" ht="137.25" x14ac:dyDescent="0.2">
      <c r="A18" s="255" t="s">
        <v>445</v>
      </c>
      <c r="B18" s="255" t="s">
        <v>446</v>
      </c>
      <c r="C18" s="255" t="s">
        <v>256</v>
      </c>
      <c r="D18" s="253" t="s">
        <v>444</v>
      </c>
      <c r="E18" s="256">
        <f t="shared" si="10"/>
        <v>165000</v>
      </c>
      <c r="F18" s="218">
        <v>165000</v>
      </c>
      <c r="G18" s="218"/>
      <c r="H18" s="218"/>
      <c r="I18" s="218"/>
      <c r="J18" s="256">
        <f t="shared" si="3"/>
        <v>0</v>
      </c>
      <c r="K18" s="218"/>
      <c r="L18" s="218"/>
      <c r="M18" s="218"/>
      <c r="N18" s="218"/>
      <c r="O18" s="229">
        <f>K18</f>
        <v>0</v>
      </c>
      <c r="P18" s="256">
        <f>+J18+E18</f>
        <v>165000</v>
      </c>
      <c r="R18" s="140"/>
    </row>
    <row r="19" spans="1:20" s="122" customFormat="1" ht="409.5" x14ac:dyDescent="0.2">
      <c r="A19" s="425" t="s">
        <v>536</v>
      </c>
      <c r="B19" s="425" t="s">
        <v>535</v>
      </c>
      <c r="C19" s="425" t="s">
        <v>256</v>
      </c>
      <c r="D19" s="222" t="s">
        <v>546</v>
      </c>
      <c r="E19" s="421">
        <f t="shared" si="10"/>
        <v>0</v>
      </c>
      <c r="F19" s="407"/>
      <c r="G19" s="407"/>
      <c r="H19" s="407"/>
      <c r="I19" s="407"/>
      <c r="J19" s="417">
        <f t="shared" si="3"/>
        <v>2918766.04</v>
      </c>
      <c r="K19" s="407"/>
      <c r="L19" s="407">
        <f>(2225100)+643666.04</f>
        <v>2868766.04</v>
      </c>
      <c r="M19" s="407"/>
      <c r="N19" s="407"/>
      <c r="O19" s="409">
        <f>K19+50000</f>
        <v>50000</v>
      </c>
      <c r="P19" s="421">
        <f>E19+J19</f>
        <v>2918766.04</v>
      </c>
      <c r="Q19" s="239">
        <f>P19</f>
        <v>2918766.04</v>
      </c>
    </row>
    <row r="20" spans="1:20" s="122" customFormat="1" ht="137.25" x14ac:dyDescent="0.2">
      <c r="A20" s="406"/>
      <c r="B20" s="406"/>
      <c r="C20" s="406"/>
      <c r="D20" s="223" t="s">
        <v>547</v>
      </c>
      <c r="E20" s="422"/>
      <c r="F20" s="423"/>
      <c r="G20" s="423"/>
      <c r="H20" s="423"/>
      <c r="I20" s="423"/>
      <c r="J20" s="406"/>
      <c r="K20" s="406"/>
      <c r="L20" s="423"/>
      <c r="M20" s="423"/>
      <c r="N20" s="423"/>
      <c r="O20" s="429"/>
      <c r="P20" s="422"/>
    </row>
    <row r="21" spans="1:20" ht="91.5" x14ac:dyDescent="0.2">
      <c r="A21" s="255" t="s">
        <v>346</v>
      </c>
      <c r="B21" s="255" t="s">
        <v>347</v>
      </c>
      <c r="C21" s="255" t="s">
        <v>348</v>
      </c>
      <c r="D21" s="253" t="s">
        <v>349</v>
      </c>
      <c r="E21" s="256">
        <f>F21</f>
        <v>3645000</v>
      </c>
      <c r="F21" s="218">
        <f>(3515000)+130000</f>
        <v>3645000</v>
      </c>
      <c r="G21" s="218"/>
      <c r="H21" s="218"/>
      <c r="I21" s="218"/>
      <c r="J21" s="256">
        <f>L21+O21</f>
        <v>0</v>
      </c>
      <c r="K21" s="218"/>
      <c r="L21" s="218"/>
      <c r="M21" s="218"/>
      <c r="N21" s="218"/>
      <c r="O21" s="229">
        <f>K21</f>
        <v>0</v>
      </c>
      <c r="P21" s="256">
        <f>E21+J21</f>
        <v>3645000</v>
      </c>
    </row>
    <row r="22" spans="1:20" ht="274.5" x14ac:dyDescent="0.2">
      <c r="A22" s="255" t="s">
        <v>350</v>
      </c>
      <c r="B22" s="255" t="s">
        <v>351</v>
      </c>
      <c r="C22" s="255" t="s">
        <v>71</v>
      </c>
      <c r="D22" s="255" t="s">
        <v>352</v>
      </c>
      <c r="E22" s="256">
        <f t="shared" si="9"/>
        <v>190000</v>
      </c>
      <c r="F22" s="218">
        <v>190000</v>
      </c>
      <c r="G22" s="218"/>
      <c r="H22" s="218"/>
      <c r="I22" s="218"/>
      <c r="J22" s="256">
        <f>L22+O22</f>
        <v>0</v>
      </c>
      <c r="K22" s="218"/>
      <c r="L22" s="218"/>
      <c r="M22" s="218"/>
      <c r="N22" s="218"/>
      <c r="O22" s="229">
        <f>K22</f>
        <v>0</v>
      </c>
      <c r="P22" s="256">
        <f>E22+J22</f>
        <v>190000</v>
      </c>
    </row>
    <row r="23" spans="1:20" ht="91.5" x14ac:dyDescent="0.2">
      <c r="A23" s="255" t="s">
        <v>868</v>
      </c>
      <c r="B23" s="255" t="s">
        <v>598</v>
      </c>
      <c r="C23" s="255" t="s">
        <v>71</v>
      </c>
      <c r="D23" s="255" t="s">
        <v>599</v>
      </c>
      <c r="E23" s="256">
        <f t="shared" ref="E23:E24" si="11">F23</f>
        <v>0</v>
      </c>
      <c r="F23" s="218"/>
      <c r="G23" s="218"/>
      <c r="H23" s="218"/>
      <c r="I23" s="218"/>
      <c r="J23" s="256">
        <f t="shared" ref="J23:J24" si="12">L23+O23</f>
        <v>100000</v>
      </c>
      <c r="K23" s="218">
        <v>100000</v>
      </c>
      <c r="L23" s="218"/>
      <c r="M23" s="218"/>
      <c r="N23" s="218"/>
      <c r="O23" s="229">
        <f t="shared" ref="O23:O24" si="13">K23</f>
        <v>100000</v>
      </c>
      <c r="P23" s="256">
        <f t="shared" ref="P23:P24" si="14">E23+J23</f>
        <v>100000</v>
      </c>
      <c r="R23" s="140" t="b">
        <f>K23='dod5'!I11</f>
        <v>1</v>
      </c>
    </row>
    <row r="24" spans="1:20" ht="183" x14ac:dyDescent="0.2">
      <c r="A24" s="255" t="s">
        <v>870</v>
      </c>
      <c r="B24" s="255" t="s">
        <v>871</v>
      </c>
      <c r="C24" s="255" t="s">
        <v>71</v>
      </c>
      <c r="D24" s="255" t="s">
        <v>869</v>
      </c>
      <c r="E24" s="256">
        <f t="shared" si="11"/>
        <v>2170108</v>
      </c>
      <c r="F24" s="218">
        <v>2170108</v>
      </c>
      <c r="G24" s="218"/>
      <c r="H24" s="218"/>
      <c r="I24" s="218"/>
      <c r="J24" s="256">
        <f t="shared" si="12"/>
        <v>3518452</v>
      </c>
      <c r="K24" s="218">
        <v>3518452</v>
      </c>
      <c r="L24" s="218"/>
      <c r="M24" s="218"/>
      <c r="N24" s="218"/>
      <c r="O24" s="229">
        <f t="shared" si="13"/>
        <v>3518452</v>
      </c>
      <c r="P24" s="256">
        <f t="shared" si="14"/>
        <v>5688560</v>
      </c>
      <c r="R24" s="140" t="b">
        <f>K24='dod5'!I13+'dod5'!I12</f>
        <v>1</v>
      </c>
    </row>
    <row r="25" spans="1:20" ht="135" x14ac:dyDescent="0.2">
      <c r="A25" s="281" t="s">
        <v>238</v>
      </c>
      <c r="B25" s="281"/>
      <c r="C25" s="281"/>
      <c r="D25" s="282" t="s">
        <v>0</v>
      </c>
      <c r="E25" s="283">
        <f>E26</f>
        <v>1002153335.4</v>
      </c>
      <c r="F25" s="283">
        <f t="shared" ref="F25" si="15">F26</f>
        <v>1002153335.4</v>
      </c>
      <c r="G25" s="283">
        <f t="shared" ref="G25" si="16">G26</f>
        <v>654125477.39999998</v>
      </c>
      <c r="H25" s="283">
        <f>H26</f>
        <v>87033701</v>
      </c>
      <c r="I25" s="283">
        <f t="shared" ref="I25" si="17">I26</f>
        <v>0</v>
      </c>
      <c r="J25" s="283">
        <f>J26</f>
        <v>136254583.03999999</v>
      </c>
      <c r="K25" s="283">
        <f>K26</f>
        <v>33292593.039999999</v>
      </c>
      <c r="L25" s="283">
        <f>L26</f>
        <v>101610557</v>
      </c>
      <c r="M25" s="283">
        <f t="shared" ref="M25" si="18">M26</f>
        <v>26627480</v>
      </c>
      <c r="N25" s="283">
        <f>N26</f>
        <v>8228459</v>
      </c>
      <c r="O25" s="283">
        <f>O26</f>
        <v>34644026.039999999</v>
      </c>
      <c r="P25" s="287">
        <f t="shared" ref="P25" si="19">P26</f>
        <v>1138407918.4400001</v>
      </c>
    </row>
    <row r="26" spans="1:20" ht="135" x14ac:dyDescent="0.2">
      <c r="A26" s="284" t="s">
        <v>239</v>
      </c>
      <c r="B26" s="284"/>
      <c r="C26" s="284"/>
      <c r="D26" s="285" t="s">
        <v>1</v>
      </c>
      <c r="E26" s="286">
        <f>SUM(E27:E37)</f>
        <v>1002153335.4</v>
      </c>
      <c r="F26" s="286">
        <f>SUM(F27:F37)</f>
        <v>1002153335.4</v>
      </c>
      <c r="G26" s="286">
        <f>SUM(G27:G37)</f>
        <v>654125477.39999998</v>
      </c>
      <c r="H26" s="286">
        <f>SUM(H27:H37)</f>
        <v>87033701</v>
      </c>
      <c r="I26" s="286">
        <f>SUM(I27:I37)</f>
        <v>0</v>
      </c>
      <c r="J26" s="286">
        <f>L26+O26</f>
        <v>136254583.03999999</v>
      </c>
      <c r="K26" s="286">
        <f>SUM(K27:K37)</f>
        <v>33292593.039999999</v>
      </c>
      <c r="L26" s="286">
        <f>SUM(L27:L37)</f>
        <v>101610557</v>
      </c>
      <c r="M26" s="286">
        <f>SUM(M27:M37)</f>
        <v>26627480</v>
      </c>
      <c r="N26" s="286">
        <f>SUM(N27:N37)</f>
        <v>8228459</v>
      </c>
      <c r="O26" s="286">
        <f>SUM(O27:O37)</f>
        <v>34644026.039999999</v>
      </c>
      <c r="P26" s="286">
        <f t="shared" ref="P26:P34" si="20">E26+J26</f>
        <v>1138407918.4400001</v>
      </c>
      <c r="Q26" s="140" t="b">
        <f>P26=P27+P28+P29+P30+P31+P32+P33+P34+P36+P35+P37</f>
        <v>1</v>
      </c>
      <c r="R26" s="140" t="b">
        <f>K26='dod5'!I15</f>
        <v>1</v>
      </c>
    </row>
    <row r="27" spans="1:20" ht="46.5" x14ac:dyDescent="0.6">
      <c r="A27" s="255" t="s">
        <v>294</v>
      </c>
      <c r="B27" s="255" t="s">
        <v>295</v>
      </c>
      <c r="C27" s="255" t="s">
        <v>297</v>
      </c>
      <c r="D27" s="255" t="s">
        <v>298</v>
      </c>
      <c r="E27" s="256">
        <f>F27</f>
        <v>264555015</v>
      </c>
      <c r="F27" s="218">
        <f>(165508870+36411952+4442800+121320+24563500+1338350+273720+18519120+1241048+6540100+35500+100000)+4545735+913000</f>
        <v>264555015</v>
      </c>
      <c r="G27" s="218">
        <f>(165508870)+1966600+748360</f>
        <v>168223830</v>
      </c>
      <c r="H27" s="218">
        <v>26559008</v>
      </c>
      <c r="I27" s="218"/>
      <c r="J27" s="256">
        <f t="shared" ref="J27:J35" si="21">L27+O27</f>
        <v>46479882</v>
      </c>
      <c r="K27" s="218">
        <f>(252000+2500000)+3109462+498000</f>
        <v>6359462</v>
      </c>
      <c r="L27" s="218">
        <v>39787420</v>
      </c>
      <c r="M27" s="218">
        <v>7603840</v>
      </c>
      <c r="N27" s="218">
        <v>842876</v>
      </c>
      <c r="O27" s="229">
        <f>K27+333000</f>
        <v>6692462</v>
      </c>
      <c r="P27" s="256">
        <f t="shared" si="20"/>
        <v>311034897</v>
      </c>
      <c r="Q27" s="14"/>
      <c r="R27" s="306" t="b">
        <f>K27='dod5'!I16</f>
        <v>1</v>
      </c>
    </row>
    <row r="28" spans="1:20" ht="366" x14ac:dyDescent="0.55000000000000004">
      <c r="A28" s="255" t="s">
        <v>300</v>
      </c>
      <c r="B28" s="255" t="s">
        <v>296</v>
      </c>
      <c r="C28" s="255" t="s">
        <v>301</v>
      </c>
      <c r="D28" s="255" t="s">
        <v>625</v>
      </c>
      <c r="E28" s="256">
        <f t="shared" ref="E28:E33" si="22">F28</f>
        <v>565488990.39999998</v>
      </c>
      <c r="F28" s="218">
        <f>(377515910+83053501+7371100+178740+32183400+3499459+415560+30995614+945670+7256140+593970+178740+8163+2093100-15000000+17381620+3131372)+10321843.4-51482-771570+4355840-38200-129500</f>
        <v>565488990.39999998</v>
      </c>
      <c r="G28" s="218">
        <f>(377515910+1668354)+4047428.4</f>
        <v>383231692.39999998</v>
      </c>
      <c r="H28" s="218">
        <v>42540714</v>
      </c>
      <c r="I28" s="218"/>
      <c r="J28" s="256">
        <f t="shared" si="21"/>
        <v>60737934.039999999</v>
      </c>
      <c r="K28" s="218">
        <f>(171000+2450000+400000+655000)+13835258.04+771570+507746</f>
        <v>18790574.039999999</v>
      </c>
      <c r="L28" s="218">
        <f>(41102910)-24983</f>
        <v>41077927</v>
      </c>
      <c r="M28" s="218">
        <v>13732800</v>
      </c>
      <c r="N28" s="218">
        <v>987168</v>
      </c>
      <c r="O28" s="229">
        <f>K28+844450+24983</f>
        <v>19660007.039999999</v>
      </c>
      <c r="P28" s="256">
        <f t="shared" si="20"/>
        <v>626226924.43999994</v>
      </c>
      <c r="Q28" s="14"/>
      <c r="R28" s="140" t="b">
        <f>K28='dod5'!I17+'dod5'!I18+'dod5'!I19+'dod5'!I20+'dod5'!I21</f>
        <v>1</v>
      </c>
      <c r="T28" s="112"/>
    </row>
    <row r="29" spans="1:20" ht="366" x14ac:dyDescent="0.2">
      <c r="A29" s="255" t="s">
        <v>304</v>
      </c>
      <c r="B29" s="255" t="s">
        <v>303</v>
      </c>
      <c r="C29" s="255" t="s">
        <v>305</v>
      </c>
      <c r="D29" s="255" t="s">
        <v>32</v>
      </c>
      <c r="E29" s="256">
        <f t="shared" si="22"/>
        <v>16898046</v>
      </c>
      <c r="F29" s="218">
        <f>(11987275+2637201+297700+3970+635400+74400+12000+1090080+19380+107800+5400+5000)+8400+14040</f>
        <v>16898046</v>
      </c>
      <c r="G29" s="218">
        <v>11987275</v>
      </c>
      <c r="H29" s="218">
        <v>1222094</v>
      </c>
      <c r="I29" s="218"/>
      <c r="J29" s="256">
        <f t="shared" si="21"/>
        <v>89000</v>
      </c>
      <c r="K29" s="218">
        <f>(9000)+30000</f>
        <v>39000</v>
      </c>
      <c r="L29" s="218">
        <v>50000</v>
      </c>
      <c r="M29" s="218"/>
      <c r="N29" s="218">
        <v>29628</v>
      </c>
      <c r="O29" s="229">
        <f>K29</f>
        <v>39000</v>
      </c>
      <c r="P29" s="256">
        <f t="shared" si="20"/>
        <v>16987046</v>
      </c>
      <c r="R29" s="140" t="b">
        <f>K29='dod5'!I22</f>
        <v>1</v>
      </c>
    </row>
    <row r="30" spans="1:20" ht="183" x14ac:dyDescent="0.2">
      <c r="A30" s="255" t="s">
        <v>306</v>
      </c>
      <c r="B30" s="255" t="s">
        <v>287</v>
      </c>
      <c r="C30" s="255" t="s">
        <v>275</v>
      </c>
      <c r="D30" s="255" t="s">
        <v>33</v>
      </c>
      <c r="E30" s="256">
        <f t="shared" si="22"/>
        <v>27736015</v>
      </c>
      <c r="F30" s="218">
        <f>(19190813+4221979+572200+13650+0+820000+23640+304700+1254870+46020+589810+263715+3840+30500+200)+400078</f>
        <v>27736015</v>
      </c>
      <c r="G30" s="218">
        <v>19190813</v>
      </c>
      <c r="H30" s="218">
        <v>2186372</v>
      </c>
      <c r="I30" s="218"/>
      <c r="J30" s="256">
        <f t="shared" si="21"/>
        <v>7391670</v>
      </c>
      <c r="K30" s="218">
        <f>(18000+2000000+300000)+300000+60000</f>
        <v>2678000</v>
      </c>
      <c r="L30" s="218">
        <v>4579670</v>
      </c>
      <c r="M30" s="218">
        <v>1037200</v>
      </c>
      <c r="N30" s="218">
        <v>363907</v>
      </c>
      <c r="O30" s="229">
        <f>K30+134000</f>
        <v>2812000</v>
      </c>
      <c r="P30" s="256">
        <f t="shared" si="20"/>
        <v>35127685</v>
      </c>
      <c r="R30" s="140" t="b">
        <f>K30='dod5'!I23+'dod5'!I24</f>
        <v>1</v>
      </c>
    </row>
    <row r="31" spans="1:20" ht="137.25" x14ac:dyDescent="0.2">
      <c r="A31" s="255" t="s">
        <v>307</v>
      </c>
      <c r="B31" s="255" t="s">
        <v>308</v>
      </c>
      <c r="C31" s="255" t="s">
        <v>309</v>
      </c>
      <c r="D31" s="255" t="s">
        <v>310</v>
      </c>
      <c r="E31" s="256">
        <f t="shared" si="22"/>
        <v>100170470</v>
      </c>
      <c r="F31" s="218">
        <f>(55361620+12179557+98200+14420+3078726+14900+65640+8051698+582633+3183200+1360000+15250000+502876)+427000</f>
        <v>100170470</v>
      </c>
      <c r="G31" s="218">
        <v>55361620</v>
      </c>
      <c r="H31" s="218">
        <f>(13186731)+427000</f>
        <v>13613731</v>
      </c>
      <c r="I31" s="218"/>
      <c r="J31" s="256">
        <f>L31+O31</f>
        <v>15944717</v>
      </c>
      <c r="K31" s="218">
        <v>216557</v>
      </c>
      <c r="L31" s="218">
        <f>15728160-15000</f>
        <v>15713160</v>
      </c>
      <c r="M31" s="218">
        <v>4054000</v>
      </c>
      <c r="N31" s="218">
        <v>6001470</v>
      </c>
      <c r="O31" s="229">
        <f>K31+15000</f>
        <v>231557</v>
      </c>
      <c r="P31" s="256">
        <f t="shared" si="20"/>
        <v>116115187</v>
      </c>
      <c r="R31" s="140"/>
    </row>
    <row r="32" spans="1:20" ht="91.5" x14ac:dyDescent="0.2">
      <c r="A32" s="255" t="s">
        <v>312</v>
      </c>
      <c r="B32" s="255" t="s">
        <v>313</v>
      </c>
      <c r="C32" s="255" t="s">
        <v>314</v>
      </c>
      <c r="D32" s="255" t="s">
        <v>311</v>
      </c>
      <c r="E32" s="256">
        <f t="shared" si="22"/>
        <v>4772988</v>
      </c>
      <c r="F32" s="218">
        <f>(3056197+672364+210900+430000+3120+40000+126900+4845+57140+400+2500)+168622</f>
        <v>4772988</v>
      </c>
      <c r="G32" s="218">
        <v>3056197</v>
      </c>
      <c r="H32" s="218">
        <v>192106</v>
      </c>
      <c r="I32" s="218"/>
      <c r="J32" s="256">
        <f t="shared" si="21"/>
        <v>73740</v>
      </c>
      <c r="K32" s="218"/>
      <c r="L32" s="218">
        <v>73740</v>
      </c>
      <c r="M32" s="218"/>
      <c r="N32" s="218"/>
      <c r="O32" s="229">
        <f t="shared" ref="O32:O37" si="23">K32</f>
        <v>0</v>
      </c>
      <c r="P32" s="256">
        <f t="shared" si="20"/>
        <v>4846728</v>
      </c>
      <c r="R32" s="140"/>
    </row>
    <row r="33" spans="1:18" s="122" customFormat="1" ht="91.5" x14ac:dyDescent="0.2">
      <c r="A33" s="253" t="s">
        <v>501</v>
      </c>
      <c r="B33" s="253" t="s">
        <v>502</v>
      </c>
      <c r="C33" s="253" t="s">
        <v>314</v>
      </c>
      <c r="D33" s="253" t="s">
        <v>500</v>
      </c>
      <c r="E33" s="256">
        <f t="shared" si="22"/>
        <v>15721839</v>
      </c>
      <c r="F33" s="218">
        <f>(11912850+2620827+577800+1200+362900+12480+440620+8475+262150+2705+4360+400+3840+1416600)-1905368</f>
        <v>15721839</v>
      </c>
      <c r="G33" s="218">
        <f>(11912850+1161200)-1421200</f>
        <v>11652850</v>
      </c>
      <c r="H33" s="218">
        <f>(719676)-30900</f>
        <v>688776</v>
      </c>
      <c r="I33" s="257"/>
      <c r="J33" s="256">
        <f t="shared" si="21"/>
        <v>337640</v>
      </c>
      <c r="K33" s="218">
        <v>9000</v>
      </c>
      <c r="L33" s="218">
        <v>328640</v>
      </c>
      <c r="M33" s="218">
        <v>199640</v>
      </c>
      <c r="N33" s="218">
        <v>3410</v>
      </c>
      <c r="O33" s="229">
        <f t="shared" si="23"/>
        <v>9000</v>
      </c>
      <c r="P33" s="256">
        <f t="shared" si="20"/>
        <v>16059479</v>
      </c>
      <c r="R33" s="140" t="b">
        <f>K33='dod5'!I26</f>
        <v>1</v>
      </c>
    </row>
    <row r="34" spans="1:18" s="122" customFormat="1" ht="91.5" x14ac:dyDescent="0.2">
      <c r="A34" s="253" t="s">
        <v>533</v>
      </c>
      <c r="B34" s="253" t="s">
        <v>534</v>
      </c>
      <c r="C34" s="253" t="s">
        <v>314</v>
      </c>
      <c r="D34" s="255" t="s">
        <v>532</v>
      </c>
      <c r="E34" s="254">
        <f>F34</f>
        <v>148960</v>
      </c>
      <c r="F34" s="257">
        <v>148960</v>
      </c>
      <c r="G34" s="257"/>
      <c r="H34" s="257"/>
      <c r="I34" s="257"/>
      <c r="J34" s="256">
        <f t="shared" si="21"/>
        <v>0</v>
      </c>
      <c r="K34" s="257"/>
      <c r="L34" s="257"/>
      <c r="M34" s="257"/>
      <c r="N34" s="257"/>
      <c r="O34" s="229">
        <f t="shared" si="23"/>
        <v>0</v>
      </c>
      <c r="P34" s="256">
        <f t="shared" si="20"/>
        <v>148960</v>
      </c>
      <c r="R34" s="140"/>
    </row>
    <row r="35" spans="1:18" s="122" customFormat="1" ht="91.5" x14ac:dyDescent="0.2">
      <c r="A35" s="253" t="s">
        <v>824</v>
      </c>
      <c r="B35" s="253" t="s">
        <v>825</v>
      </c>
      <c r="C35" s="253" t="s">
        <v>314</v>
      </c>
      <c r="D35" s="255" t="s">
        <v>826</v>
      </c>
      <c r="E35" s="254">
        <f>F35</f>
        <v>2036012</v>
      </c>
      <c r="F35" s="257">
        <v>2036012</v>
      </c>
      <c r="G35" s="257">
        <f>1161200+260000</f>
        <v>1421200</v>
      </c>
      <c r="H35" s="257">
        <v>30900</v>
      </c>
      <c r="I35" s="257"/>
      <c r="J35" s="256">
        <f t="shared" si="21"/>
        <v>200000</v>
      </c>
      <c r="K35" s="257">
        <v>200000</v>
      </c>
      <c r="L35" s="257"/>
      <c r="M35" s="257"/>
      <c r="N35" s="257"/>
      <c r="O35" s="229">
        <f t="shared" si="23"/>
        <v>200000</v>
      </c>
      <c r="P35" s="256">
        <f t="shared" ref="P35:P37" si="24">E35+J35</f>
        <v>2236012</v>
      </c>
      <c r="R35" s="140"/>
    </row>
    <row r="36" spans="1:18" s="122" customFormat="1" ht="366" x14ac:dyDescent="0.2">
      <c r="A36" s="255" t="s">
        <v>828</v>
      </c>
      <c r="B36" s="255" t="s">
        <v>829</v>
      </c>
      <c r="C36" s="255" t="s">
        <v>279</v>
      </c>
      <c r="D36" s="255" t="s">
        <v>827</v>
      </c>
      <c r="E36" s="254">
        <f>F36</f>
        <v>1925000</v>
      </c>
      <c r="F36" s="257">
        <v>1925000</v>
      </c>
      <c r="G36" s="257"/>
      <c r="H36" s="257"/>
      <c r="I36" s="257"/>
      <c r="J36" s="256">
        <f>L36+O36</f>
        <v>0</v>
      </c>
      <c r="K36" s="257"/>
      <c r="L36" s="257"/>
      <c r="M36" s="257"/>
      <c r="N36" s="257"/>
      <c r="O36" s="229">
        <f>K36</f>
        <v>0</v>
      </c>
      <c r="P36" s="256">
        <f>E36+J36</f>
        <v>1925000</v>
      </c>
      <c r="R36" s="140"/>
    </row>
    <row r="37" spans="1:18" s="122" customFormat="1" ht="46.5" x14ac:dyDescent="0.2">
      <c r="A37" s="255" t="s">
        <v>316</v>
      </c>
      <c r="B37" s="255" t="s">
        <v>317</v>
      </c>
      <c r="C37" s="255" t="s">
        <v>318</v>
      </c>
      <c r="D37" s="255" t="s">
        <v>67</v>
      </c>
      <c r="E37" s="254">
        <f>F37</f>
        <v>2700000</v>
      </c>
      <c r="F37" s="257">
        <v>2700000</v>
      </c>
      <c r="G37" s="257"/>
      <c r="H37" s="257"/>
      <c r="I37" s="257"/>
      <c r="J37" s="256">
        <f t="shared" ref="J37" si="25">L37+O37</f>
        <v>5000000</v>
      </c>
      <c r="K37" s="257">
        <v>5000000</v>
      </c>
      <c r="L37" s="257"/>
      <c r="M37" s="257"/>
      <c r="N37" s="257"/>
      <c r="O37" s="229">
        <f t="shared" si="23"/>
        <v>5000000</v>
      </c>
      <c r="P37" s="256">
        <f t="shared" si="24"/>
        <v>7700000</v>
      </c>
      <c r="R37" s="140" t="b">
        <f>K37='dod5'!I28</f>
        <v>1</v>
      </c>
    </row>
    <row r="38" spans="1:18" ht="135" x14ac:dyDescent="0.2">
      <c r="A38" s="288" t="s">
        <v>240</v>
      </c>
      <c r="B38" s="289"/>
      <c r="C38" s="289"/>
      <c r="D38" s="282" t="s">
        <v>36</v>
      </c>
      <c r="E38" s="283">
        <f>E39</f>
        <v>365256996.38</v>
      </c>
      <c r="F38" s="283">
        <f t="shared" ref="F38" si="26">F39</f>
        <v>365256996.38</v>
      </c>
      <c r="G38" s="283">
        <f t="shared" ref="G38" si="27">G39</f>
        <v>3641900</v>
      </c>
      <c r="H38" s="283">
        <f>H39</f>
        <v>215100</v>
      </c>
      <c r="I38" s="283">
        <f t="shared" ref="I38" si="28">I39</f>
        <v>0</v>
      </c>
      <c r="J38" s="283">
        <f>J39</f>
        <v>28002158</v>
      </c>
      <c r="K38" s="283">
        <f>K39</f>
        <v>21406367</v>
      </c>
      <c r="L38" s="283">
        <f>L39</f>
        <v>5853391</v>
      </c>
      <c r="M38" s="283">
        <f t="shared" ref="M38" si="29">M39</f>
        <v>0</v>
      </c>
      <c r="N38" s="283">
        <f>N39</f>
        <v>0</v>
      </c>
      <c r="O38" s="283">
        <f>O39</f>
        <v>22148767</v>
      </c>
      <c r="P38" s="290">
        <f>P39</f>
        <v>393259154.38</v>
      </c>
    </row>
    <row r="39" spans="1:18" ht="135" x14ac:dyDescent="0.2">
      <c r="A39" s="284" t="s">
        <v>241</v>
      </c>
      <c r="B39" s="284"/>
      <c r="C39" s="284"/>
      <c r="D39" s="285" t="s">
        <v>59</v>
      </c>
      <c r="E39" s="286">
        <f>SUM(E40:E51)</f>
        <v>365256996.38</v>
      </c>
      <c r="F39" s="286">
        <f t="shared" ref="F39:H39" si="30">SUM(F40:F51)</f>
        <v>365256996.38</v>
      </c>
      <c r="G39" s="286">
        <f t="shared" si="30"/>
        <v>3641900</v>
      </c>
      <c r="H39" s="286">
        <f t="shared" si="30"/>
        <v>215100</v>
      </c>
      <c r="I39" s="286">
        <f>SUM(I40:I51)</f>
        <v>0</v>
      </c>
      <c r="J39" s="286">
        <f>L39+O39</f>
        <v>28002158</v>
      </c>
      <c r="K39" s="286">
        <f>SUM(K40:K51)</f>
        <v>21406367</v>
      </c>
      <c r="L39" s="286">
        <f t="shared" ref="L39:N39" si="31">SUM(L40:L51)</f>
        <v>5853391</v>
      </c>
      <c r="M39" s="286">
        <f t="shared" si="31"/>
        <v>0</v>
      </c>
      <c r="N39" s="286">
        <f t="shared" si="31"/>
        <v>0</v>
      </c>
      <c r="O39" s="286">
        <f>SUM(O40:O51)</f>
        <v>22148767</v>
      </c>
      <c r="P39" s="286">
        <f t="shared" ref="P39:P50" si="32">E39+J39</f>
        <v>393259154.38</v>
      </c>
      <c r="Q39" s="140" t="b">
        <f>P39=P41+P42+P43+P44+P45+P46+P47+P48+P49+P40+P50+P51</f>
        <v>1</v>
      </c>
      <c r="R39" s="140" t="b">
        <f>K39='dod5'!I29</f>
        <v>1</v>
      </c>
    </row>
    <row r="40" spans="1:18" ht="228.75" x14ac:dyDescent="0.2">
      <c r="A40" s="255" t="s">
        <v>722</v>
      </c>
      <c r="B40" s="255" t="s">
        <v>341</v>
      </c>
      <c r="C40" s="255" t="s">
        <v>339</v>
      </c>
      <c r="D40" s="255" t="s">
        <v>340</v>
      </c>
      <c r="E40" s="256">
        <f>F40</f>
        <v>2501100</v>
      </c>
      <c r="F40" s="218">
        <v>2501100</v>
      </c>
      <c r="G40" s="218">
        <v>1884600</v>
      </c>
      <c r="H40" s="218">
        <v>101500</v>
      </c>
      <c r="I40" s="218"/>
      <c r="J40" s="256">
        <f t="shared" ref="J40:J50" si="33">L40+O40</f>
        <v>0</v>
      </c>
      <c r="K40" s="256"/>
      <c r="L40" s="256"/>
      <c r="M40" s="256"/>
      <c r="N40" s="256"/>
      <c r="O40" s="229">
        <f>K40</f>
        <v>0</v>
      </c>
      <c r="P40" s="256">
        <f t="shared" si="32"/>
        <v>2501100</v>
      </c>
      <c r="Q40" s="140"/>
      <c r="R40" s="140"/>
    </row>
    <row r="41" spans="1:18" ht="91.5" x14ac:dyDescent="0.2">
      <c r="A41" s="255" t="s">
        <v>319</v>
      </c>
      <c r="B41" s="255" t="s">
        <v>315</v>
      </c>
      <c r="C41" s="255" t="s">
        <v>320</v>
      </c>
      <c r="D41" s="255" t="s">
        <v>37</v>
      </c>
      <c r="E41" s="256">
        <f>F41</f>
        <v>200997642</v>
      </c>
      <c r="F41" s="218">
        <f>((190671412+426500+500000)-3985900+13242930-25000+167700)</f>
        <v>200997642</v>
      </c>
      <c r="G41" s="218"/>
      <c r="H41" s="218"/>
      <c r="I41" s="218"/>
      <c r="J41" s="256">
        <f t="shared" si="33"/>
        <v>13097414</v>
      </c>
      <c r="K41" s="218">
        <f>(4532900)-200000-600000-208200-167638+7032030+208200+167638-130216</f>
        <v>10634714</v>
      </c>
      <c r="L41" s="218">
        <f>(4218000)-2055300</f>
        <v>2162700</v>
      </c>
      <c r="M41" s="218"/>
      <c r="N41" s="218"/>
      <c r="O41" s="229">
        <f>K41+300000</f>
        <v>10934714</v>
      </c>
      <c r="P41" s="256">
        <f t="shared" si="32"/>
        <v>214095056</v>
      </c>
      <c r="R41" s="140" t="b">
        <f>K41='dod5'!I31+'dod5'!I32+'dod5'!I33</f>
        <v>1</v>
      </c>
    </row>
    <row r="42" spans="1:18" ht="137.25" x14ac:dyDescent="0.2">
      <c r="A42" s="255" t="s">
        <v>321</v>
      </c>
      <c r="B42" s="255" t="s">
        <v>322</v>
      </c>
      <c r="C42" s="255" t="s">
        <v>323</v>
      </c>
      <c r="D42" s="255" t="s">
        <v>324</v>
      </c>
      <c r="E42" s="256">
        <f t="shared" ref="E42:E45" si="34">F42</f>
        <v>59783500</v>
      </c>
      <c r="F42" s="218">
        <v>59783500</v>
      </c>
      <c r="G42" s="218"/>
      <c r="H42" s="218"/>
      <c r="I42" s="218"/>
      <c r="J42" s="256">
        <f t="shared" si="33"/>
        <v>472091</v>
      </c>
      <c r="K42" s="218">
        <v>126000</v>
      </c>
      <c r="L42" s="218">
        <f>(1038271)-692180</f>
        <v>346091</v>
      </c>
      <c r="M42" s="218"/>
      <c r="N42" s="218"/>
      <c r="O42" s="229">
        <f>K42</f>
        <v>126000</v>
      </c>
      <c r="P42" s="256">
        <f t="shared" si="32"/>
        <v>60255591</v>
      </c>
      <c r="R42" s="140" t="b">
        <f>K42='dod5'!I34</f>
        <v>1</v>
      </c>
    </row>
    <row r="43" spans="1:18" ht="137.25" x14ac:dyDescent="0.2">
      <c r="A43" s="255" t="s">
        <v>325</v>
      </c>
      <c r="B43" s="255" t="s">
        <v>326</v>
      </c>
      <c r="C43" s="255" t="s">
        <v>327</v>
      </c>
      <c r="D43" s="255" t="s">
        <v>548</v>
      </c>
      <c r="E43" s="256">
        <f t="shared" si="34"/>
        <v>61436770</v>
      </c>
      <c r="F43" s="218">
        <f>(57684870)+3985900-234000</f>
        <v>61436770</v>
      </c>
      <c r="G43" s="218"/>
      <c r="H43" s="218"/>
      <c r="I43" s="218"/>
      <c r="J43" s="256">
        <f t="shared" si="33"/>
        <v>2706300</v>
      </c>
      <c r="K43" s="218">
        <f>939600-99000</f>
        <v>840600</v>
      </c>
      <c r="L43" s="218">
        <f>(5254900)-3731600</f>
        <v>1523300</v>
      </c>
      <c r="M43" s="218"/>
      <c r="N43" s="218"/>
      <c r="O43" s="229">
        <f>K43+342400</f>
        <v>1183000</v>
      </c>
      <c r="P43" s="256">
        <f t="shared" si="32"/>
        <v>64143070</v>
      </c>
      <c r="R43" s="140" t="b">
        <f>K43='dod5'!I35</f>
        <v>1</v>
      </c>
    </row>
    <row r="44" spans="1:18" ht="91.5" x14ac:dyDescent="0.2">
      <c r="A44" s="255" t="s">
        <v>328</v>
      </c>
      <c r="B44" s="255" t="s">
        <v>329</v>
      </c>
      <c r="C44" s="255" t="s">
        <v>330</v>
      </c>
      <c r="D44" s="255" t="s">
        <v>331</v>
      </c>
      <c r="E44" s="256">
        <f t="shared" si="34"/>
        <v>9871950</v>
      </c>
      <c r="F44" s="218">
        <f>9871950-949000+949000</f>
        <v>9871950</v>
      </c>
      <c r="G44" s="218"/>
      <c r="H44" s="218"/>
      <c r="I44" s="218"/>
      <c r="J44" s="256">
        <f t="shared" si="33"/>
        <v>3499300</v>
      </c>
      <c r="K44" s="218">
        <f>1600000</f>
        <v>1600000</v>
      </c>
      <c r="L44" s="218">
        <f>(5397900)-3598600</f>
        <v>1799300</v>
      </c>
      <c r="M44" s="218"/>
      <c r="N44" s="218"/>
      <c r="O44" s="229">
        <f>K44+100000</f>
        <v>1700000</v>
      </c>
      <c r="P44" s="256">
        <f t="shared" si="32"/>
        <v>13371250</v>
      </c>
      <c r="R44" s="140" t="b">
        <f>K44='dod5'!I36</f>
        <v>1</v>
      </c>
    </row>
    <row r="45" spans="1:18" ht="183" x14ac:dyDescent="0.2">
      <c r="A45" s="255" t="s">
        <v>332</v>
      </c>
      <c r="B45" s="253" t="s">
        <v>333</v>
      </c>
      <c r="C45" s="253" t="s">
        <v>549</v>
      </c>
      <c r="D45" s="255" t="s">
        <v>334</v>
      </c>
      <c r="E45" s="256">
        <f t="shared" si="34"/>
        <v>8952218</v>
      </c>
      <c r="F45" s="218">
        <f>(8891316)+60902</f>
        <v>8952218</v>
      </c>
      <c r="G45" s="218"/>
      <c r="H45" s="218"/>
      <c r="I45" s="218"/>
      <c r="J45" s="256">
        <f t="shared" si="33"/>
        <v>0</v>
      </c>
      <c r="K45" s="218"/>
      <c r="L45" s="218"/>
      <c r="M45" s="218"/>
      <c r="N45" s="218"/>
      <c r="O45" s="229">
        <f t="shared" ref="O45:O51" si="35">K45</f>
        <v>0</v>
      </c>
      <c r="P45" s="256">
        <f t="shared" si="32"/>
        <v>8952218</v>
      </c>
      <c r="R45" s="140"/>
    </row>
    <row r="46" spans="1:18" ht="183" x14ac:dyDescent="0.2">
      <c r="A46" s="255" t="s">
        <v>588</v>
      </c>
      <c r="B46" s="255" t="s">
        <v>589</v>
      </c>
      <c r="C46" s="253" t="s">
        <v>335</v>
      </c>
      <c r="D46" s="208" t="s">
        <v>590</v>
      </c>
      <c r="E46" s="256">
        <f t="shared" ref="E46:E47" si="36">F46</f>
        <v>13400746.379999999</v>
      </c>
      <c r="F46" s="218">
        <f>(8972700)+4428046.38</f>
        <v>13400746.379999999</v>
      </c>
      <c r="G46" s="218"/>
      <c r="H46" s="218"/>
      <c r="I46" s="218"/>
      <c r="J46" s="256">
        <f t="shared" si="33"/>
        <v>0</v>
      </c>
      <c r="K46" s="218"/>
      <c r="L46" s="218"/>
      <c r="M46" s="218"/>
      <c r="N46" s="218"/>
      <c r="O46" s="229">
        <f t="shared" si="35"/>
        <v>0</v>
      </c>
      <c r="P46" s="256">
        <f t="shared" si="32"/>
        <v>13400746.379999999</v>
      </c>
      <c r="R46" s="140"/>
    </row>
    <row r="47" spans="1:18" ht="183" x14ac:dyDescent="0.2">
      <c r="A47" s="255" t="s">
        <v>593</v>
      </c>
      <c r="B47" s="255" t="s">
        <v>592</v>
      </c>
      <c r="C47" s="253" t="s">
        <v>335</v>
      </c>
      <c r="D47" s="208" t="s">
        <v>591</v>
      </c>
      <c r="E47" s="256">
        <f t="shared" si="36"/>
        <v>1734200</v>
      </c>
      <c r="F47" s="218">
        <v>1734200</v>
      </c>
      <c r="G47" s="218"/>
      <c r="H47" s="218"/>
      <c r="I47" s="218"/>
      <c r="J47" s="256">
        <f t="shared" si="33"/>
        <v>0</v>
      </c>
      <c r="K47" s="218"/>
      <c r="L47" s="218"/>
      <c r="M47" s="218"/>
      <c r="N47" s="218"/>
      <c r="O47" s="229">
        <f t="shared" si="35"/>
        <v>0</v>
      </c>
      <c r="P47" s="256">
        <f t="shared" si="32"/>
        <v>1734200</v>
      </c>
      <c r="R47" s="140"/>
    </row>
    <row r="48" spans="1:18" s="122" customFormat="1" ht="137.25" x14ac:dyDescent="0.2">
      <c r="A48" s="255" t="s">
        <v>505</v>
      </c>
      <c r="B48" s="255" t="s">
        <v>507</v>
      </c>
      <c r="C48" s="253" t="s">
        <v>335</v>
      </c>
      <c r="D48" s="208" t="s">
        <v>503</v>
      </c>
      <c r="E48" s="256">
        <f t="shared" ref="E48:E50" si="37">F48</f>
        <v>2416670</v>
      </c>
      <c r="F48" s="218">
        <f>(2416670)</f>
        <v>2416670</v>
      </c>
      <c r="G48" s="218">
        <v>1757300</v>
      </c>
      <c r="H48" s="218">
        <v>113600</v>
      </c>
      <c r="I48" s="218"/>
      <c r="J48" s="256">
        <f t="shared" si="33"/>
        <v>129704</v>
      </c>
      <c r="K48" s="218">
        <f>167704-60000</f>
        <v>107704</v>
      </c>
      <c r="L48" s="218">
        <v>22000</v>
      </c>
      <c r="M48" s="218"/>
      <c r="N48" s="218"/>
      <c r="O48" s="229">
        <f t="shared" si="35"/>
        <v>107704</v>
      </c>
      <c r="P48" s="256">
        <f t="shared" si="32"/>
        <v>2546374</v>
      </c>
      <c r="R48" s="140" t="b">
        <f>K48='dod5'!I37</f>
        <v>1</v>
      </c>
    </row>
    <row r="49" spans="1:20" s="122" customFormat="1" ht="91.5" x14ac:dyDescent="0.2">
      <c r="A49" s="255" t="s">
        <v>506</v>
      </c>
      <c r="B49" s="255" t="s">
        <v>508</v>
      </c>
      <c r="C49" s="253" t="s">
        <v>335</v>
      </c>
      <c r="D49" s="208" t="s">
        <v>504</v>
      </c>
      <c r="E49" s="256">
        <f t="shared" si="37"/>
        <v>4062200</v>
      </c>
      <c r="F49" s="218">
        <f>(3360000)+949000+126200-949000+576000</f>
        <v>4062200</v>
      </c>
      <c r="G49" s="218"/>
      <c r="H49" s="218"/>
      <c r="I49" s="218"/>
      <c r="J49" s="256">
        <f t="shared" si="33"/>
        <v>0</v>
      </c>
      <c r="K49" s="218"/>
      <c r="L49" s="218"/>
      <c r="M49" s="218"/>
      <c r="N49" s="218"/>
      <c r="O49" s="229">
        <f t="shared" si="35"/>
        <v>0</v>
      </c>
      <c r="P49" s="256">
        <f t="shared" si="32"/>
        <v>4062200</v>
      </c>
      <c r="R49" s="140"/>
    </row>
    <row r="50" spans="1:20" s="122" customFormat="1" ht="91.5" x14ac:dyDescent="0.2">
      <c r="A50" s="255" t="s">
        <v>892</v>
      </c>
      <c r="B50" s="255" t="s">
        <v>293</v>
      </c>
      <c r="C50" s="255" t="s">
        <v>256</v>
      </c>
      <c r="D50" s="255" t="s">
        <v>57</v>
      </c>
      <c r="E50" s="256">
        <f t="shared" si="37"/>
        <v>0</v>
      </c>
      <c r="F50" s="218"/>
      <c r="G50" s="218"/>
      <c r="H50" s="218"/>
      <c r="I50" s="218"/>
      <c r="J50" s="256">
        <f t="shared" si="33"/>
        <v>6942592</v>
      </c>
      <c r="K50" s="218">
        <f>200000+600000+208200+167638+7587376+25000-208200-167638-1600000+130216</f>
        <v>6942592</v>
      </c>
      <c r="L50" s="218"/>
      <c r="M50" s="218"/>
      <c r="N50" s="218"/>
      <c r="O50" s="229">
        <f t="shared" si="35"/>
        <v>6942592</v>
      </c>
      <c r="P50" s="256">
        <f t="shared" si="32"/>
        <v>6942592</v>
      </c>
      <c r="R50" s="140" t="b">
        <f>K50='dod5'!I38+'dod5'!I39+'dod5'!I40</f>
        <v>1</v>
      </c>
    </row>
    <row r="51" spans="1:20" s="122" customFormat="1" ht="91.5" x14ac:dyDescent="0.2">
      <c r="A51" s="255" t="s">
        <v>894</v>
      </c>
      <c r="B51" s="255" t="s">
        <v>598</v>
      </c>
      <c r="C51" s="255" t="s">
        <v>71</v>
      </c>
      <c r="D51" s="255" t="s">
        <v>599</v>
      </c>
      <c r="E51" s="256">
        <f t="shared" ref="E51" si="38">F51</f>
        <v>100000</v>
      </c>
      <c r="F51" s="218">
        <v>100000</v>
      </c>
      <c r="G51" s="218"/>
      <c r="H51" s="218"/>
      <c r="I51" s="218"/>
      <c r="J51" s="256">
        <f t="shared" ref="J51" si="39">L51+O51</f>
        <v>1154757</v>
      </c>
      <c r="K51" s="218">
        <f>935992+218765</f>
        <v>1154757</v>
      </c>
      <c r="L51" s="218"/>
      <c r="M51" s="218"/>
      <c r="N51" s="218"/>
      <c r="O51" s="229">
        <f t="shared" si="35"/>
        <v>1154757</v>
      </c>
      <c r="P51" s="256">
        <f t="shared" ref="P51" si="40">E51+J51</f>
        <v>1254757</v>
      </c>
      <c r="R51" s="140" t="b">
        <f>K51='dod5'!I41</f>
        <v>1</v>
      </c>
    </row>
    <row r="52" spans="1:20" ht="225" x14ac:dyDescent="0.2">
      <c r="A52" s="281" t="s">
        <v>242</v>
      </c>
      <c r="B52" s="281"/>
      <c r="C52" s="281"/>
      <c r="D52" s="282" t="s">
        <v>60</v>
      </c>
      <c r="E52" s="283">
        <f>E53</f>
        <v>777939654</v>
      </c>
      <c r="F52" s="283">
        <f t="shared" ref="F52" si="41">F53</f>
        <v>777939654</v>
      </c>
      <c r="G52" s="283">
        <f t="shared" ref="G52" si="42">G53</f>
        <v>45447797</v>
      </c>
      <c r="H52" s="283">
        <f>H53</f>
        <v>1918012</v>
      </c>
      <c r="I52" s="283">
        <f t="shared" ref="I52" si="43">I53</f>
        <v>0</v>
      </c>
      <c r="J52" s="283">
        <f>J53</f>
        <v>10527980</v>
      </c>
      <c r="K52" s="283">
        <f>K53</f>
        <v>9852580</v>
      </c>
      <c r="L52" s="283">
        <f>L53</f>
        <v>675400</v>
      </c>
      <c r="M52" s="283">
        <f t="shared" ref="M52" si="44">M53</f>
        <v>60000</v>
      </c>
      <c r="N52" s="283">
        <f>N53</f>
        <v>4000</v>
      </c>
      <c r="O52" s="283">
        <f>O53</f>
        <v>9852580</v>
      </c>
      <c r="P52" s="287">
        <f>P53</f>
        <v>788467634</v>
      </c>
    </row>
    <row r="53" spans="1:20" ht="225" x14ac:dyDescent="0.2">
      <c r="A53" s="284" t="s">
        <v>243</v>
      </c>
      <c r="B53" s="284"/>
      <c r="C53" s="284"/>
      <c r="D53" s="285" t="s">
        <v>61</v>
      </c>
      <c r="E53" s="286">
        <f>SUM(E54:E98)</f>
        <v>777939654</v>
      </c>
      <c r="F53" s="286">
        <f>SUM(F54:F98)</f>
        <v>777939654</v>
      </c>
      <c r="G53" s="286">
        <f>SUM(G54:G98)</f>
        <v>45447797</v>
      </c>
      <c r="H53" s="286">
        <f>SUM(H54:H98)</f>
        <v>1918012</v>
      </c>
      <c r="I53" s="286">
        <f>SUM(I54:I98)</f>
        <v>0</v>
      </c>
      <c r="J53" s="286">
        <f t="shared" ref="J53:J90" si="45">L53+O53</f>
        <v>10527980</v>
      </c>
      <c r="K53" s="286">
        <f>SUM(K54:K98)</f>
        <v>9852580</v>
      </c>
      <c r="L53" s="286">
        <f>SUM(L54:L98)</f>
        <v>675400</v>
      </c>
      <c r="M53" s="286">
        <f>SUM(M54:M98)</f>
        <v>60000</v>
      </c>
      <c r="N53" s="286">
        <f>SUM(N54:N98)</f>
        <v>4000</v>
      </c>
      <c r="O53" s="286">
        <f>SUM(O54:O98)</f>
        <v>9852580</v>
      </c>
      <c r="P53" s="286">
        <f t="shared" ref="P53:P83" si="46">E53+J53</f>
        <v>788467634</v>
      </c>
      <c r="Q53" s="152" t="b">
        <f>P53=P55+P56+P57+P58+P59+P60+P61+P62+P63+P64+P65+P66+P67+P68+P69+P70+P72+P73+P74+P75+P76+P77+P81+P82+P83+P84+P85+P86+P87+P88+P90+P93+P94+P95+P89+P96+P54+P97+P78+P71+P80</f>
        <v>1</v>
      </c>
      <c r="R53" s="154" t="b">
        <f>K53='dod5'!I43</f>
        <v>1</v>
      </c>
      <c r="T53" s="152"/>
    </row>
    <row r="54" spans="1:20" ht="228.75" x14ac:dyDescent="0.2">
      <c r="A54" s="255" t="s">
        <v>721</v>
      </c>
      <c r="B54" s="255" t="s">
        <v>341</v>
      </c>
      <c r="C54" s="255" t="s">
        <v>339</v>
      </c>
      <c r="D54" s="255" t="s">
        <v>340</v>
      </c>
      <c r="E54" s="254">
        <f t="shared" ref="E54:E58" si="47">F54</f>
        <v>36258100</v>
      </c>
      <c r="F54" s="218">
        <f>(35993100)+100000+100000+65000</f>
        <v>36258100</v>
      </c>
      <c r="G54" s="218">
        <v>26800000</v>
      </c>
      <c r="H54" s="218">
        <v>1006600</v>
      </c>
      <c r="I54" s="218"/>
      <c r="J54" s="256">
        <f t="shared" si="45"/>
        <v>450000</v>
      </c>
      <c r="K54" s="218">
        <v>450000</v>
      </c>
      <c r="L54" s="218"/>
      <c r="M54" s="218"/>
      <c r="N54" s="218"/>
      <c r="O54" s="229">
        <f>K54</f>
        <v>450000</v>
      </c>
      <c r="P54" s="254">
        <f t="shared" si="46"/>
        <v>36708100</v>
      </c>
      <c r="Q54" s="152"/>
      <c r="R54" s="154" t="b">
        <f>K54='dod5'!I44</f>
        <v>1</v>
      </c>
      <c r="T54" s="152"/>
    </row>
    <row r="55" spans="1:20" ht="183" x14ac:dyDescent="0.2">
      <c r="A55" s="253" t="s">
        <v>356</v>
      </c>
      <c r="B55" s="253" t="s">
        <v>357</v>
      </c>
      <c r="C55" s="253" t="s">
        <v>302</v>
      </c>
      <c r="D55" s="210" t="s">
        <v>355</v>
      </c>
      <c r="E55" s="254">
        <f t="shared" si="47"/>
        <v>62640000</v>
      </c>
      <c r="F55" s="257">
        <f>(44000000-1000000)+19640000</f>
        <v>62640000</v>
      </c>
      <c r="G55" s="257"/>
      <c r="H55" s="257"/>
      <c r="I55" s="257"/>
      <c r="J55" s="256">
        <f t="shared" si="45"/>
        <v>0</v>
      </c>
      <c r="K55" s="257"/>
      <c r="L55" s="257"/>
      <c r="M55" s="257"/>
      <c r="N55" s="257"/>
      <c r="O55" s="229">
        <f t="shared" ref="O55:O90" si="48">K55</f>
        <v>0</v>
      </c>
      <c r="P55" s="254">
        <f t="shared" si="46"/>
        <v>62640000</v>
      </c>
      <c r="R55" s="154"/>
    </row>
    <row r="56" spans="1:20" ht="183" x14ac:dyDescent="0.2">
      <c r="A56" s="211" t="s">
        <v>375</v>
      </c>
      <c r="B56" s="253" t="s">
        <v>376</v>
      </c>
      <c r="C56" s="253" t="s">
        <v>79</v>
      </c>
      <c r="D56" s="255" t="s">
        <v>8</v>
      </c>
      <c r="E56" s="214">
        <f t="shared" si="47"/>
        <v>174550900</v>
      </c>
      <c r="F56" s="218">
        <f>(200838400-6647500)-19640000</f>
        <v>174550900</v>
      </c>
      <c r="G56" s="218"/>
      <c r="H56" s="218"/>
      <c r="I56" s="218"/>
      <c r="J56" s="256">
        <f t="shared" si="45"/>
        <v>0</v>
      </c>
      <c r="K56" s="257"/>
      <c r="L56" s="218"/>
      <c r="M56" s="218"/>
      <c r="N56" s="218"/>
      <c r="O56" s="229">
        <f t="shared" si="48"/>
        <v>0</v>
      </c>
      <c r="P56" s="256">
        <f t="shared" si="46"/>
        <v>174550900</v>
      </c>
      <c r="R56" s="154"/>
    </row>
    <row r="57" spans="1:20" ht="274.5" x14ac:dyDescent="0.2">
      <c r="A57" s="255" t="s">
        <v>378</v>
      </c>
      <c r="B57" s="255" t="s">
        <v>379</v>
      </c>
      <c r="C57" s="255" t="s">
        <v>302</v>
      </c>
      <c r="D57" s="212" t="s">
        <v>377</v>
      </c>
      <c r="E57" s="254">
        <f t="shared" si="47"/>
        <v>3000</v>
      </c>
      <c r="F57" s="257">
        <v>3000</v>
      </c>
      <c r="G57" s="257"/>
      <c r="H57" s="257"/>
      <c r="I57" s="257"/>
      <c r="J57" s="256">
        <f t="shared" si="45"/>
        <v>0</v>
      </c>
      <c r="K57" s="257"/>
      <c r="L57" s="257"/>
      <c r="M57" s="257"/>
      <c r="N57" s="257"/>
      <c r="O57" s="229">
        <f t="shared" si="48"/>
        <v>0</v>
      </c>
      <c r="P57" s="254">
        <f t="shared" si="46"/>
        <v>3000</v>
      </c>
      <c r="R57" s="154"/>
    </row>
    <row r="58" spans="1:20" ht="228.75" x14ac:dyDescent="0.2">
      <c r="A58" s="255" t="s">
        <v>380</v>
      </c>
      <c r="B58" s="255" t="s">
        <v>381</v>
      </c>
      <c r="C58" s="212">
        <v>1060</v>
      </c>
      <c r="D58" s="213" t="s">
        <v>19</v>
      </c>
      <c r="E58" s="256">
        <f t="shared" si="47"/>
        <v>46300</v>
      </c>
      <c r="F58" s="218">
        <f>44700+1600</f>
        <v>46300</v>
      </c>
      <c r="G58" s="218"/>
      <c r="H58" s="218"/>
      <c r="I58" s="218"/>
      <c r="J58" s="256">
        <f t="shared" si="45"/>
        <v>0</v>
      </c>
      <c r="K58" s="218"/>
      <c r="L58" s="218"/>
      <c r="M58" s="218"/>
      <c r="N58" s="218"/>
      <c r="O58" s="229">
        <f t="shared" si="48"/>
        <v>0</v>
      </c>
      <c r="P58" s="256">
        <f t="shared" si="46"/>
        <v>46300</v>
      </c>
      <c r="R58" s="154"/>
    </row>
    <row r="59" spans="1:20" s="122" customFormat="1" ht="137.25" x14ac:dyDescent="0.2">
      <c r="A59" s="253" t="s">
        <v>406</v>
      </c>
      <c r="B59" s="253" t="s">
        <v>407</v>
      </c>
      <c r="C59" s="253" t="s">
        <v>302</v>
      </c>
      <c r="D59" s="210" t="s">
        <v>408</v>
      </c>
      <c r="E59" s="254">
        <f>F59</f>
        <v>512970</v>
      </c>
      <c r="F59" s="257">
        <f>(322970)+190000</f>
        <v>512970</v>
      </c>
      <c r="G59" s="257"/>
      <c r="H59" s="257"/>
      <c r="I59" s="257"/>
      <c r="J59" s="256">
        <f t="shared" si="45"/>
        <v>100000</v>
      </c>
      <c r="K59" s="257">
        <v>100000</v>
      </c>
      <c r="L59" s="257"/>
      <c r="M59" s="257"/>
      <c r="N59" s="257"/>
      <c r="O59" s="229">
        <f t="shared" si="48"/>
        <v>100000</v>
      </c>
      <c r="P59" s="254">
        <f t="shared" si="46"/>
        <v>612970</v>
      </c>
      <c r="R59" s="154" t="b">
        <f>K59='dod5'!I45</f>
        <v>1</v>
      </c>
    </row>
    <row r="60" spans="1:20" s="122" customFormat="1" ht="137.25" x14ac:dyDescent="0.2">
      <c r="A60" s="255" t="s">
        <v>409</v>
      </c>
      <c r="B60" s="255" t="s">
        <v>410</v>
      </c>
      <c r="C60" s="255" t="s">
        <v>303</v>
      </c>
      <c r="D60" s="255" t="s">
        <v>16</v>
      </c>
      <c r="E60" s="256">
        <f t="shared" ref="E60:E86" si="49">F60</f>
        <v>1360000</v>
      </c>
      <c r="F60" s="218">
        <v>1360000</v>
      </c>
      <c r="G60" s="218"/>
      <c r="H60" s="218"/>
      <c r="I60" s="218"/>
      <c r="J60" s="256">
        <f t="shared" si="45"/>
        <v>0</v>
      </c>
      <c r="K60" s="218"/>
      <c r="L60" s="218"/>
      <c r="M60" s="218"/>
      <c r="N60" s="218"/>
      <c r="O60" s="229">
        <f t="shared" si="48"/>
        <v>0</v>
      </c>
      <c r="P60" s="256">
        <f t="shared" si="46"/>
        <v>1360000</v>
      </c>
      <c r="R60" s="154"/>
    </row>
    <row r="61" spans="1:20" s="122" customFormat="1" ht="183" x14ac:dyDescent="0.2">
      <c r="A61" s="255" t="s">
        <v>412</v>
      </c>
      <c r="B61" s="255" t="s">
        <v>413</v>
      </c>
      <c r="C61" s="255" t="s">
        <v>303</v>
      </c>
      <c r="D61" s="253" t="s">
        <v>17</v>
      </c>
      <c r="E61" s="256">
        <f t="shared" si="49"/>
        <v>8000000</v>
      </c>
      <c r="F61" s="218">
        <v>8000000</v>
      </c>
      <c r="G61" s="218"/>
      <c r="H61" s="218"/>
      <c r="I61" s="218"/>
      <c r="J61" s="256">
        <f t="shared" si="45"/>
        <v>0</v>
      </c>
      <c r="K61" s="218"/>
      <c r="L61" s="218"/>
      <c r="M61" s="218"/>
      <c r="N61" s="218"/>
      <c r="O61" s="229">
        <f t="shared" si="48"/>
        <v>0</v>
      </c>
      <c r="P61" s="256">
        <f t="shared" si="46"/>
        <v>8000000</v>
      </c>
      <c r="R61" s="154"/>
    </row>
    <row r="62" spans="1:20" s="122" customFormat="1" ht="183" x14ac:dyDescent="0.2">
      <c r="A62" s="253" t="s">
        <v>414</v>
      </c>
      <c r="B62" s="253" t="s">
        <v>411</v>
      </c>
      <c r="C62" s="253" t="s">
        <v>303</v>
      </c>
      <c r="D62" s="253" t="s">
        <v>18</v>
      </c>
      <c r="E62" s="256">
        <f t="shared" si="49"/>
        <v>600000</v>
      </c>
      <c r="F62" s="218">
        <v>600000</v>
      </c>
      <c r="G62" s="218"/>
      <c r="H62" s="218"/>
      <c r="I62" s="218"/>
      <c r="J62" s="256">
        <f t="shared" si="45"/>
        <v>0</v>
      </c>
      <c r="K62" s="218"/>
      <c r="L62" s="218"/>
      <c r="M62" s="218"/>
      <c r="N62" s="218"/>
      <c r="O62" s="229">
        <f t="shared" si="48"/>
        <v>0</v>
      </c>
      <c r="P62" s="256">
        <f t="shared" si="46"/>
        <v>600000</v>
      </c>
      <c r="R62" s="154"/>
    </row>
    <row r="63" spans="1:20" s="122" customFormat="1" ht="183" x14ac:dyDescent="0.2">
      <c r="A63" s="253" t="s">
        <v>415</v>
      </c>
      <c r="B63" s="253" t="s">
        <v>416</v>
      </c>
      <c r="C63" s="253" t="s">
        <v>303</v>
      </c>
      <c r="D63" s="253" t="s">
        <v>21</v>
      </c>
      <c r="E63" s="256">
        <f t="shared" si="49"/>
        <v>82000000</v>
      </c>
      <c r="F63" s="218">
        <v>82000000</v>
      </c>
      <c r="G63" s="218"/>
      <c r="H63" s="218"/>
      <c r="I63" s="218"/>
      <c r="J63" s="256">
        <f t="shared" si="45"/>
        <v>0</v>
      </c>
      <c r="K63" s="218"/>
      <c r="L63" s="218"/>
      <c r="M63" s="218"/>
      <c r="N63" s="218"/>
      <c r="O63" s="229">
        <f t="shared" si="48"/>
        <v>0</v>
      </c>
      <c r="P63" s="256">
        <f t="shared" si="46"/>
        <v>82000000</v>
      </c>
      <c r="R63" s="154"/>
    </row>
    <row r="64" spans="1:20" s="122" customFormat="1" ht="91.5" x14ac:dyDescent="0.2">
      <c r="A64" s="255" t="s">
        <v>366</v>
      </c>
      <c r="B64" s="255" t="s">
        <v>358</v>
      </c>
      <c r="C64" s="255" t="s">
        <v>279</v>
      </c>
      <c r="D64" s="255" t="s">
        <v>10</v>
      </c>
      <c r="E64" s="256">
        <f t="shared" si="49"/>
        <v>2814000</v>
      </c>
      <c r="F64" s="218">
        <v>2814000</v>
      </c>
      <c r="G64" s="218"/>
      <c r="H64" s="218"/>
      <c r="I64" s="218"/>
      <c r="J64" s="256">
        <f t="shared" si="45"/>
        <v>0</v>
      </c>
      <c r="K64" s="218"/>
      <c r="L64" s="218"/>
      <c r="M64" s="218"/>
      <c r="N64" s="218"/>
      <c r="O64" s="229">
        <f t="shared" si="48"/>
        <v>0</v>
      </c>
      <c r="P64" s="256">
        <f t="shared" si="46"/>
        <v>2814000</v>
      </c>
      <c r="R64" s="154"/>
    </row>
    <row r="65" spans="1:20" s="122" customFormat="1" ht="91.5" x14ac:dyDescent="0.2">
      <c r="A65" s="255" t="s">
        <v>367</v>
      </c>
      <c r="B65" s="255" t="s">
        <v>359</v>
      </c>
      <c r="C65" s="255" t="s">
        <v>279</v>
      </c>
      <c r="D65" s="255" t="s">
        <v>365</v>
      </c>
      <c r="E65" s="256">
        <f>F65</f>
        <v>571520</v>
      </c>
      <c r="F65" s="218">
        <f>(371520)+200000</f>
        <v>571520</v>
      </c>
      <c r="G65" s="218"/>
      <c r="H65" s="218"/>
      <c r="I65" s="218"/>
      <c r="J65" s="256">
        <f t="shared" si="45"/>
        <v>0</v>
      </c>
      <c r="K65" s="218"/>
      <c r="L65" s="218"/>
      <c r="M65" s="218"/>
      <c r="N65" s="218"/>
      <c r="O65" s="229">
        <f t="shared" si="48"/>
        <v>0</v>
      </c>
      <c r="P65" s="256">
        <f t="shared" si="46"/>
        <v>571520</v>
      </c>
      <c r="R65" s="154"/>
    </row>
    <row r="66" spans="1:20" s="122" customFormat="1" ht="91.5" x14ac:dyDescent="0.2">
      <c r="A66" s="255" t="s">
        <v>368</v>
      </c>
      <c r="B66" s="255" t="s">
        <v>360</v>
      </c>
      <c r="C66" s="255" t="s">
        <v>279</v>
      </c>
      <c r="D66" s="255" t="s">
        <v>11</v>
      </c>
      <c r="E66" s="256">
        <f t="shared" si="49"/>
        <v>135697220</v>
      </c>
      <c r="F66" s="218">
        <f>157736000-225000-21813780</f>
        <v>135697220</v>
      </c>
      <c r="G66" s="218"/>
      <c r="H66" s="218"/>
      <c r="I66" s="218"/>
      <c r="J66" s="256">
        <f t="shared" si="45"/>
        <v>0</v>
      </c>
      <c r="K66" s="218"/>
      <c r="L66" s="218"/>
      <c r="M66" s="218"/>
      <c r="N66" s="218"/>
      <c r="O66" s="229">
        <f t="shared" si="48"/>
        <v>0</v>
      </c>
      <c r="P66" s="256">
        <f t="shared" si="46"/>
        <v>135697220</v>
      </c>
      <c r="R66" s="154"/>
    </row>
    <row r="67" spans="1:20" s="122" customFormat="1" ht="137.25" x14ac:dyDescent="0.2">
      <c r="A67" s="255" t="s">
        <v>369</v>
      </c>
      <c r="B67" s="255" t="s">
        <v>361</v>
      </c>
      <c r="C67" s="255" t="s">
        <v>279</v>
      </c>
      <c r="D67" s="255" t="s">
        <v>12</v>
      </c>
      <c r="E67" s="256">
        <f t="shared" si="49"/>
        <v>4266000</v>
      </c>
      <c r="F67" s="218">
        <v>4266000</v>
      </c>
      <c r="G67" s="218"/>
      <c r="H67" s="218"/>
      <c r="I67" s="218"/>
      <c r="J67" s="256">
        <f t="shared" si="45"/>
        <v>0</v>
      </c>
      <c r="K67" s="218"/>
      <c r="L67" s="218"/>
      <c r="M67" s="218"/>
      <c r="N67" s="218"/>
      <c r="O67" s="229">
        <f t="shared" si="48"/>
        <v>0</v>
      </c>
      <c r="P67" s="256">
        <f t="shared" si="46"/>
        <v>4266000</v>
      </c>
      <c r="R67" s="154"/>
    </row>
    <row r="68" spans="1:20" s="122" customFormat="1" ht="91.5" x14ac:dyDescent="0.2">
      <c r="A68" s="255" t="s">
        <v>370</v>
      </c>
      <c r="B68" s="255" t="s">
        <v>362</v>
      </c>
      <c r="C68" s="255" t="s">
        <v>279</v>
      </c>
      <c r="D68" s="255" t="s">
        <v>13</v>
      </c>
      <c r="E68" s="256">
        <f t="shared" si="49"/>
        <v>27062400</v>
      </c>
      <c r="F68" s="218">
        <v>27062400</v>
      </c>
      <c r="G68" s="218"/>
      <c r="H68" s="218"/>
      <c r="I68" s="218"/>
      <c r="J68" s="256">
        <f t="shared" si="45"/>
        <v>0</v>
      </c>
      <c r="K68" s="218"/>
      <c r="L68" s="218"/>
      <c r="M68" s="218"/>
      <c r="N68" s="218"/>
      <c r="O68" s="229">
        <f t="shared" si="48"/>
        <v>0</v>
      </c>
      <c r="P68" s="256">
        <f t="shared" si="46"/>
        <v>27062400</v>
      </c>
      <c r="R68" s="154"/>
    </row>
    <row r="69" spans="1:20" s="122" customFormat="1" ht="91.5" x14ac:dyDescent="0.2">
      <c r="A69" s="255" t="s">
        <v>371</v>
      </c>
      <c r="B69" s="255" t="s">
        <v>363</v>
      </c>
      <c r="C69" s="255" t="s">
        <v>279</v>
      </c>
      <c r="D69" s="255" t="s">
        <v>14</v>
      </c>
      <c r="E69" s="256">
        <f t="shared" si="49"/>
        <v>2700000</v>
      </c>
      <c r="F69" s="218">
        <v>2700000</v>
      </c>
      <c r="G69" s="218"/>
      <c r="H69" s="218"/>
      <c r="I69" s="218"/>
      <c r="J69" s="256">
        <f t="shared" si="45"/>
        <v>0</v>
      </c>
      <c r="K69" s="218"/>
      <c r="L69" s="218"/>
      <c r="M69" s="218"/>
      <c r="N69" s="218"/>
      <c r="O69" s="229">
        <f t="shared" si="48"/>
        <v>0</v>
      </c>
      <c r="P69" s="256">
        <f t="shared" si="46"/>
        <v>2700000</v>
      </c>
      <c r="R69" s="154"/>
    </row>
    <row r="70" spans="1:20" s="122" customFormat="1" ht="137.25" x14ac:dyDescent="0.2">
      <c r="A70" s="255" t="s">
        <v>372</v>
      </c>
      <c r="B70" s="255" t="s">
        <v>364</v>
      </c>
      <c r="C70" s="255" t="s">
        <v>279</v>
      </c>
      <c r="D70" s="255" t="s">
        <v>15</v>
      </c>
      <c r="E70" s="256">
        <f t="shared" si="49"/>
        <v>39337958</v>
      </c>
      <c r="F70" s="218">
        <v>39337958</v>
      </c>
      <c r="G70" s="218"/>
      <c r="H70" s="218"/>
      <c r="I70" s="218"/>
      <c r="J70" s="256">
        <f t="shared" si="45"/>
        <v>0</v>
      </c>
      <c r="K70" s="218"/>
      <c r="L70" s="218"/>
      <c r="M70" s="218"/>
      <c r="N70" s="218"/>
      <c r="O70" s="229">
        <f t="shared" si="48"/>
        <v>0</v>
      </c>
      <c r="P70" s="256">
        <f t="shared" si="46"/>
        <v>39337958</v>
      </c>
      <c r="R70" s="154"/>
    </row>
    <row r="71" spans="1:20" s="122" customFormat="1" ht="137.25" x14ac:dyDescent="0.2">
      <c r="A71" s="255" t="s">
        <v>916</v>
      </c>
      <c r="B71" s="255" t="s">
        <v>918</v>
      </c>
      <c r="C71" s="255" t="s">
        <v>279</v>
      </c>
      <c r="D71" s="255" t="s">
        <v>917</v>
      </c>
      <c r="E71" s="256">
        <f t="shared" si="49"/>
        <v>150000</v>
      </c>
      <c r="F71" s="218">
        <v>150000</v>
      </c>
      <c r="G71" s="218"/>
      <c r="H71" s="218"/>
      <c r="I71" s="218"/>
      <c r="J71" s="256">
        <f t="shared" si="45"/>
        <v>0</v>
      </c>
      <c r="K71" s="218"/>
      <c r="L71" s="218"/>
      <c r="M71" s="218"/>
      <c r="N71" s="218"/>
      <c r="O71" s="229">
        <f t="shared" si="48"/>
        <v>0</v>
      </c>
      <c r="P71" s="256">
        <f t="shared" si="46"/>
        <v>150000</v>
      </c>
      <c r="R71" s="154"/>
    </row>
    <row r="72" spans="1:20" ht="183" x14ac:dyDescent="0.2">
      <c r="A72" s="255" t="s">
        <v>382</v>
      </c>
      <c r="B72" s="255" t="s">
        <v>373</v>
      </c>
      <c r="C72" s="255" t="s">
        <v>303</v>
      </c>
      <c r="D72" s="255" t="s">
        <v>9</v>
      </c>
      <c r="E72" s="256">
        <f t="shared" si="49"/>
        <v>179080</v>
      </c>
      <c r="F72" s="218">
        <v>179080</v>
      </c>
      <c r="G72" s="218"/>
      <c r="H72" s="218"/>
      <c r="I72" s="218"/>
      <c r="J72" s="256">
        <f t="shared" si="45"/>
        <v>0</v>
      </c>
      <c r="K72" s="256"/>
      <c r="L72" s="218"/>
      <c r="M72" s="218"/>
      <c r="N72" s="218"/>
      <c r="O72" s="229">
        <f t="shared" si="48"/>
        <v>0</v>
      </c>
      <c r="P72" s="256">
        <f t="shared" si="46"/>
        <v>179080</v>
      </c>
      <c r="R72" s="154"/>
    </row>
    <row r="73" spans="1:20" s="122" customFormat="1" ht="183" x14ac:dyDescent="0.2">
      <c r="A73" s="255" t="s">
        <v>553</v>
      </c>
      <c r="B73" s="255" t="s">
        <v>554</v>
      </c>
      <c r="C73" s="255" t="s">
        <v>295</v>
      </c>
      <c r="D73" s="255" t="s">
        <v>552</v>
      </c>
      <c r="E73" s="256">
        <f t="shared" ref="E73:E77" si="50">F73</f>
        <v>78472603.400000006</v>
      </c>
      <c r="F73" s="218">
        <v>78472603.400000006</v>
      </c>
      <c r="G73" s="218"/>
      <c r="H73" s="218"/>
      <c r="I73" s="218"/>
      <c r="J73" s="256">
        <f t="shared" si="45"/>
        <v>0</v>
      </c>
      <c r="K73" s="218"/>
      <c r="L73" s="218"/>
      <c r="M73" s="218"/>
      <c r="N73" s="218"/>
      <c r="O73" s="229">
        <f t="shared" si="48"/>
        <v>0</v>
      </c>
      <c r="P73" s="256">
        <f t="shared" si="46"/>
        <v>78472603.400000006</v>
      </c>
      <c r="R73" s="154"/>
    </row>
    <row r="74" spans="1:20" s="122" customFormat="1" ht="228.75" x14ac:dyDescent="0.2">
      <c r="A74" s="255" t="s">
        <v>612</v>
      </c>
      <c r="B74" s="255" t="s">
        <v>613</v>
      </c>
      <c r="C74" s="255" t="s">
        <v>295</v>
      </c>
      <c r="D74" s="255" t="s">
        <v>614</v>
      </c>
      <c r="E74" s="256">
        <f t="shared" ref="E74" si="51">F74</f>
        <v>25694626.600000001</v>
      </c>
      <c r="F74" s="218">
        <v>25694626.600000001</v>
      </c>
      <c r="G74" s="218"/>
      <c r="H74" s="218"/>
      <c r="I74" s="218"/>
      <c r="J74" s="256">
        <f t="shared" si="45"/>
        <v>0</v>
      </c>
      <c r="K74" s="218"/>
      <c r="L74" s="218"/>
      <c r="M74" s="218"/>
      <c r="N74" s="218"/>
      <c r="O74" s="229">
        <f t="shared" si="48"/>
        <v>0</v>
      </c>
      <c r="P74" s="256">
        <f t="shared" si="46"/>
        <v>25694626.600000001</v>
      </c>
      <c r="R74" s="154"/>
    </row>
    <row r="75" spans="1:20" s="122" customFormat="1" ht="183" x14ac:dyDescent="0.2">
      <c r="A75" s="255" t="s">
        <v>550</v>
      </c>
      <c r="B75" s="255" t="s">
        <v>551</v>
      </c>
      <c r="C75" s="255" t="s">
        <v>295</v>
      </c>
      <c r="D75" s="255" t="s">
        <v>509</v>
      </c>
      <c r="E75" s="256">
        <f t="shared" ref="E75:E76" si="52">F75</f>
        <v>13918200</v>
      </c>
      <c r="F75" s="218">
        <f>(14110200)-192000</f>
        <v>13918200</v>
      </c>
      <c r="G75" s="218"/>
      <c r="H75" s="218"/>
      <c r="I75" s="218"/>
      <c r="J75" s="256">
        <f t="shared" si="45"/>
        <v>0</v>
      </c>
      <c r="K75" s="218"/>
      <c r="L75" s="218"/>
      <c r="M75" s="218"/>
      <c r="N75" s="218"/>
      <c r="O75" s="229">
        <f t="shared" si="48"/>
        <v>0</v>
      </c>
      <c r="P75" s="256">
        <f t="shared" si="46"/>
        <v>13918200</v>
      </c>
      <c r="R75" s="154"/>
    </row>
    <row r="76" spans="1:20" s="122" customFormat="1" ht="274.5" x14ac:dyDescent="0.2">
      <c r="A76" s="255" t="s">
        <v>557</v>
      </c>
      <c r="B76" s="255" t="s">
        <v>558</v>
      </c>
      <c r="C76" s="255" t="s">
        <v>279</v>
      </c>
      <c r="D76" s="255" t="s">
        <v>559</v>
      </c>
      <c r="E76" s="256">
        <f t="shared" si="52"/>
        <v>1200000</v>
      </c>
      <c r="F76" s="218">
        <v>1200000</v>
      </c>
      <c r="G76" s="218"/>
      <c r="H76" s="218"/>
      <c r="I76" s="218"/>
      <c r="J76" s="256">
        <f t="shared" si="45"/>
        <v>0</v>
      </c>
      <c r="K76" s="218"/>
      <c r="L76" s="218"/>
      <c r="M76" s="218"/>
      <c r="N76" s="218"/>
      <c r="O76" s="229">
        <f t="shared" si="48"/>
        <v>0</v>
      </c>
      <c r="P76" s="256">
        <f t="shared" si="46"/>
        <v>1200000</v>
      </c>
      <c r="R76" s="154"/>
    </row>
    <row r="77" spans="1:20" s="122" customFormat="1" ht="320.25" x14ac:dyDescent="0.2">
      <c r="A77" s="255" t="s">
        <v>555</v>
      </c>
      <c r="B77" s="255" t="s">
        <v>556</v>
      </c>
      <c r="C77" s="255" t="s">
        <v>295</v>
      </c>
      <c r="D77" s="255" t="s">
        <v>560</v>
      </c>
      <c r="E77" s="256">
        <f t="shared" si="50"/>
        <v>264192</v>
      </c>
      <c r="F77" s="218">
        <v>264192</v>
      </c>
      <c r="G77" s="218"/>
      <c r="H77" s="218"/>
      <c r="I77" s="218"/>
      <c r="J77" s="256">
        <f t="shared" si="45"/>
        <v>0</v>
      </c>
      <c r="K77" s="218"/>
      <c r="L77" s="218"/>
      <c r="M77" s="218"/>
      <c r="N77" s="218"/>
      <c r="O77" s="229">
        <f t="shared" si="48"/>
        <v>0</v>
      </c>
      <c r="P77" s="256">
        <f t="shared" si="46"/>
        <v>264192</v>
      </c>
      <c r="R77" s="154"/>
    </row>
    <row r="78" spans="1:20" s="122" customFormat="1" ht="364.7" customHeight="1" x14ac:dyDescent="0.65">
      <c r="A78" s="425" t="s">
        <v>899</v>
      </c>
      <c r="B78" s="425" t="s">
        <v>900</v>
      </c>
      <c r="C78" s="425" t="s">
        <v>279</v>
      </c>
      <c r="D78" s="364" t="s">
        <v>901</v>
      </c>
      <c r="E78" s="417">
        <f t="shared" ref="E78" si="53">F78</f>
        <v>67000</v>
      </c>
      <c r="F78" s="419">
        <v>67000</v>
      </c>
      <c r="G78" s="419"/>
      <c r="H78" s="419"/>
      <c r="I78" s="419"/>
      <c r="J78" s="417">
        <f t="shared" ref="J78" si="54">L78+O78</f>
        <v>0</v>
      </c>
      <c r="K78" s="419"/>
      <c r="L78" s="419"/>
      <c r="M78" s="419"/>
      <c r="N78" s="419"/>
      <c r="O78" s="419">
        <f t="shared" ref="O78" si="55">K78</f>
        <v>0</v>
      </c>
      <c r="P78" s="417">
        <f t="shared" ref="P78" si="56">E78+J78</f>
        <v>67000</v>
      </c>
      <c r="Q78" s="365">
        <f>E78</f>
        <v>67000</v>
      </c>
      <c r="R78" s="365">
        <f>J78</f>
        <v>0</v>
      </c>
      <c r="T78" s="365">
        <f>K78</f>
        <v>0</v>
      </c>
    </row>
    <row r="79" spans="1:20" s="122" customFormat="1" ht="334.5" customHeight="1" x14ac:dyDescent="0.2">
      <c r="A79" s="406"/>
      <c r="B79" s="406"/>
      <c r="C79" s="406"/>
      <c r="D79" s="209" t="s">
        <v>902</v>
      </c>
      <c r="E79" s="406"/>
      <c r="F79" s="406"/>
      <c r="G79" s="406"/>
      <c r="H79" s="406"/>
      <c r="I79" s="406"/>
      <c r="J79" s="424"/>
      <c r="K79" s="406"/>
      <c r="L79" s="406"/>
      <c r="M79" s="406"/>
      <c r="N79" s="406"/>
      <c r="O79" s="406"/>
      <c r="P79" s="424"/>
      <c r="R79" s="154"/>
    </row>
    <row r="80" spans="1:20" s="122" customFormat="1" ht="137.25" x14ac:dyDescent="0.2">
      <c r="A80" s="372" t="s">
        <v>949</v>
      </c>
      <c r="B80" s="372" t="s">
        <v>950</v>
      </c>
      <c r="C80" s="372" t="s">
        <v>279</v>
      </c>
      <c r="D80" s="372" t="s">
        <v>951</v>
      </c>
      <c r="E80" s="373">
        <f t="shared" ref="E80" si="57">F80</f>
        <v>21813780</v>
      </c>
      <c r="F80" s="218">
        <v>21813780</v>
      </c>
      <c r="G80" s="218"/>
      <c r="H80" s="218"/>
      <c r="I80" s="218"/>
      <c r="J80" s="373">
        <f t="shared" ref="J80" si="58">L80+O80</f>
        <v>0</v>
      </c>
      <c r="K80" s="373"/>
      <c r="L80" s="218"/>
      <c r="M80" s="218"/>
      <c r="N80" s="218"/>
      <c r="O80" s="229">
        <f t="shared" ref="O80" si="59">K80</f>
        <v>0</v>
      </c>
      <c r="P80" s="373">
        <f t="shared" ref="P80" si="60">E80+J80</f>
        <v>21813780</v>
      </c>
      <c r="R80" s="154"/>
    </row>
    <row r="81" spans="1:18" ht="163.5" customHeight="1" x14ac:dyDescent="0.2">
      <c r="A81" s="255" t="s">
        <v>383</v>
      </c>
      <c r="B81" s="255" t="s">
        <v>374</v>
      </c>
      <c r="C81" s="255" t="s">
        <v>302</v>
      </c>
      <c r="D81" s="255" t="s">
        <v>510</v>
      </c>
      <c r="E81" s="256">
        <f t="shared" si="49"/>
        <v>152280</v>
      </c>
      <c r="F81" s="218">
        <v>152280</v>
      </c>
      <c r="G81" s="218"/>
      <c r="H81" s="218"/>
      <c r="I81" s="218"/>
      <c r="J81" s="256">
        <f t="shared" si="45"/>
        <v>0</v>
      </c>
      <c r="K81" s="256"/>
      <c r="L81" s="218"/>
      <c r="M81" s="218"/>
      <c r="N81" s="218"/>
      <c r="O81" s="229">
        <f t="shared" si="48"/>
        <v>0</v>
      </c>
      <c r="P81" s="256">
        <f t="shared" si="46"/>
        <v>152280</v>
      </c>
      <c r="R81" s="154"/>
    </row>
    <row r="82" spans="1:18" ht="301.7" customHeight="1" x14ac:dyDescent="0.2">
      <c r="A82" s="255" t="s">
        <v>404</v>
      </c>
      <c r="B82" s="255" t="s">
        <v>402</v>
      </c>
      <c r="C82" s="255" t="s">
        <v>296</v>
      </c>
      <c r="D82" s="255" t="s">
        <v>35</v>
      </c>
      <c r="E82" s="256">
        <f t="shared" si="49"/>
        <v>17985684</v>
      </c>
      <c r="F82" s="218">
        <f>(17332984)+652700</f>
        <v>17985684</v>
      </c>
      <c r="G82" s="218">
        <f>(11859350)+389900</f>
        <v>12249250</v>
      </c>
      <c r="H82" s="218">
        <v>245578</v>
      </c>
      <c r="I82" s="218"/>
      <c r="J82" s="256">
        <f t="shared" si="45"/>
        <v>314400</v>
      </c>
      <c r="K82" s="218">
        <f>(175000)+30000</f>
        <v>205000</v>
      </c>
      <c r="L82" s="218">
        <v>109400</v>
      </c>
      <c r="M82" s="218">
        <v>60000</v>
      </c>
      <c r="N82" s="218">
        <v>4000</v>
      </c>
      <c r="O82" s="229">
        <f t="shared" si="48"/>
        <v>205000</v>
      </c>
      <c r="P82" s="256">
        <f t="shared" si="46"/>
        <v>18300084</v>
      </c>
      <c r="R82" s="154" t="b">
        <f>K82='dod5'!I46</f>
        <v>1</v>
      </c>
    </row>
    <row r="83" spans="1:18" ht="137.25" x14ac:dyDescent="0.2">
      <c r="A83" s="255" t="s">
        <v>405</v>
      </c>
      <c r="B83" s="255" t="s">
        <v>403</v>
      </c>
      <c r="C83" s="255" t="s">
        <v>295</v>
      </c>
      <c r="D83" s="255" t="s">
        <v>511</v>
      </c>
      <c r="E83" s="256">
        <f t="shared" si="49"/>
        <v>5357323</v>
      </c>
      <c r="F83" s="218">
        <f>(5162423)+194900</f>
        <v>5357323</v>
      </c>
      <c r="G83" s="218">
        <f>(3617760)+20400</f>
        <v>3638160</v>
      </c>
      <c r="H83" s="218">
        <v>286789</v>
      </c>
      <c r="I83" s="218"/>
      <c r="J83" s="256">
        <f t="shared" si="45"/>
        <v>274250</v>
      </c>
      <c r="K83" s="218">
        <v>274250</v>
      </c>
      <c r="L83" s="218"/>
      <c r="M83" s="218"/>
      <c r="N83" s="218"/>
      <c r="O83" s="229">
        <f t="shared" si="48"/>
        <v>274250</v>
      </c>
      <c r="P83" s="256">
        <f t="shared" si="46"/>
        <v>5631573</v>
      </c>
      <c r="R83" s="154" t="b">
        <f>K83='dod5'!I47</f>
        <v>1</v>
      </c>
    </row>
    <row r="84" spans="1:18" ht="409.5" x14ac:dyDescent="0.2">
      <c r="A84" s="255" t="s">
        <v>400</v>
      </c>
      <c r="B84" s="255" t="s">
        <v>401</v>
      </c>
      <c r="C84" s="255" t="s">
        <v>295</v>
      </c>
      <c r="D84" s="255" t="s">
        <v>512</v>
      </c>
      <c r="E84" s="256">
        <f t="shared" si="49"/>
        <v>1554600</v>
      </c>
      <c r="F84" s="218">
        <v>1554600</v>
      </c>
      <c r="G84" s="218"/>
      <c r="H84" s="218"/>
      <c r="I84" s="218"/>
      <c r="J84" s="256">
        <f t="shared" si="45"/>
        <v>0</v>
      </c>
      <c r="K84" s="256"/>
      <c r="L84" s="218"/>
      <c r="M84" s="218"/>
      <c r="N84" s="218"/>
      <c r="O84" s="229">
        <f t="shared" si="48"/>
        <v>0</v>
      </c>
      <c r="P84" s="256">
        <f>+J84+E84</f>
        <v>1554600</v>
      </c>
      <c r="R84" s="154"/>
    </row>
    <row r="85" spans="1:18" ht="274.5" x14ac:dyDescent="0.2">
      <c r="A85" s="255" t="s">
        <v>513</v>
      </c>
      <c r="B85" s="255" t="s">
        <v>514</v>
      </c>
      <c r="C85" s="255" t="s">
        <v>295</v>
      </c>
      <c r="D85" s="255" t="s">
        <v>561</v>
      </c>
      <c r="E85" s="256">
        <f t="shared" si="49"/>
        <v>135534</v>
      </c>
      <c r="F85" s="218">
        <v>135534</v>
      </c>
      <c r="G85" s="218"/>
      <c r="H85" s="218"/>
      <c r="I85" s="218"/>
      <c r="J85" s="256">
        <f t="shared" si="45"/>
        <v>0</v>
      </c>
      <c r="K85" s="218"/>
      <c r="L85" s="218"/>
      <c r="M85" s="218"/>
      <c r="N85" s="218"/>
      <c r="O85" s="229">
        <f t="shared" si="48"/>
        <v>0</v>
      </c>
      <c r="P85" s="256">
        <f>+J85+E85</f>
        <v>135534</v>
      </c>
      <c r="R85" s="154"/>
    </row>
    <row r="86" spans="1:18" ht="112.7" customHeight="1" x14ac:dyDescent="0.2">
      <c r="A86" s="255" t="s">
        <v>515</v>
      </c>
      <c r="B86" s="255" t="s">
        <v>516</v>
      </c>
      <c r="C86" s="255" t="s">
        <v>295</v>
      </c>
      <c r="D86" s="255" t="s">
        <v>562</v>
      </c>
      <c r="E86" s="256">
        <f t="shared" si="49"/>
        <v>168</v>
      </c>
      <c r="F86" s="218">
        <v>168</v>
      </c>
      <c r="G86" s="218"/>
      <c r="H86" s="218"/>
      <c r="I86" s="218"/>
      <c r="J86" s="256">
        <f t="shared" si="45"/>
        <v>0</v>
      </c>
      <c r="K86" s="218"/>
      <c r="L86" s="218"/>
      <c r="M86" s="218"/>
      <c r="N86" s="218"/>
      <c r="O86" s="229">
        <f t="shared" si="48"/>
        <v>0</v>
      </c>
      <c r="P86" s="256">
        <f>+J86+E86</f>
        <v>168</v>
      </c>
      <c r="R86" s="154"/>
    </row>
    <row r="87" spans="1:18" ht="366" x14ac:dyDescent="0.2">
      <c r="A87" s="255" t="s">
        <v>565</v>
      </c>
      <c r="B87" s="255" t="s">
        <v>564</v>
      </c>
      <c r="C87" s="255" t="s">
        <v>79</v>
      </c>
      <c r="D87" s="255" t="s">
        <v>563</v>
      </c>
      <c r="E87" s="256">
        <f t="shared" ref="E87" si="61">F87</f>
        <v>1808500</v>
      </c>
      <c r="F87" s="218">
        <v>1808500</v>
      </c>
      <c r="G87" s="218"/>
      <c r="H87" s="218"/>
      <c r="I87" s="218"/>
      <c r="J87" s="256">
        <f t="shared" si="45"/>
        <v>0</v>
      </c>
      <c r="K87" s="256"/>
      <c r="L87" s="218"/>
      <c r="M87" s="218"/>
      <c r="N87" s="218"/>
      <c r="O87" s="229">
        <f t="shared" si="48"/>
        <v>0</v>
      </c>
      <c r="P87" s="256">
        <f>E87+J87</f>
        <v>1808500</v>
      </c>
      <c r="R87" s="154"/>
    </row>
    <row r="88" spans="1:18" ht="228.75" x14ac:dyDescent="0.2">
      <c r="A88" s="255" t="s">
        <v>517</v>
      </c>
      <c r="B88" s="255" t="s">
        <v>518</v>
      </c>
      <c r="C88" s="255" t="s">
        <v>302</v>
      </c>
      <c r="D88" s="255" t="s">
        <v>566</v>
      </c>
      <c r="E88" s="256">
        <f t="shared" ref="E88:E94" si="62">F88</f>
        <v>550000</v>
      </c>
      <c r="F88" s="218">
        <v>550000</v>
      </c>
      <c r="G88" s="218"/>
      <c r="H88" s="218"/>
      <c r="I88" s="218"/>
      <c r="J88" s="256">
        <f t="shared" si="45"/>
        <v>0</v>
      </c>
      <c r="K88" s="218"/>
      <c r="L88" s="218"/>
      <c r="M88" s="218"/>
      <c r="N88" s="218"/>
      <c r="O88" s="229">
        <f t="shared" si="48"/>
        <v>0</v>
      </c>
      <c r="P88" s="256">
        <f>E88+J88</f>
        <v>550000</v>
      </c>
      <c r="R88" s="154"/>
    </row>
    <row r="89" spans="1:18" ht="91.5" x14ac:dyDescent="0.2">
      <c r="A89" s="255" t="s">
        <v>788</v>
      </c>
      <c r="B89" s="255" t="s">
        <v>629</v>
      </c>
      <c r="C89" s="255" t="s">
        <v>630</v>
      </c>
      <c r="D89" s="255" t="s">
        <v>628</v>
      </c>
      <c r="E89" s="256">
        <f t="shared" ref="E89" si="63">F89</f>
        <v>250000</v>
      </c>
      <c r="F89" s="218">
        <v>250000</v>
      </c>
      <c r="G89" s="218">
        <v>205000</v>
      </c>
      <c r="H89" s="218"/>
      <c r="I89" s="218"/>
      <c r="J89" s="256">
        <f t="shared" si="45"/>
        <v>0</v>
      </c>
      <c r="K89" s="218"/>
      <c r="L89" s="218"/>
      <c r="M89" s="218"/>
      <c r="N89" s="218"/>
      <c r="O89" s="229">
        <f t="shared" si="48"/>
        <v>0</v>
      </c>
      <c r="P89" s="256">
        <f>E89+J89</f>
        <v>250000</v>
      </c>
      <c r="R89" s="154"/>
    </row>
    <row r="90" spans="1:18" ht="409.5" x14ac:dyDescent="0.2">
      <c r="A90" s="425" t="s">
        <v>399</v>
      </c>
      <c r="B90" s="425" t="s">
        <v>286</v>
      </c>
      <c r="C90" s="425" t="s">
        <v>279</v>
      </c>
      <c r="D90" s="207" t="s">
        <v>519</v>
      </c>
      <c r="E90" s="417">
        <f>F90</f>
        <v>1030700</v>
      </c>
      <c r="F90" s="419">
        <v>1030700</v>
      </c>
      <c r="G90" s="419"/>
      <c r="H90" s="419"/>
      <c r="I90" s="419"/>
      <c r="J90" s="417">
        <f t="shared" si="45"/>
        <v>0</v>
      </c>
      <c r="K90" s="417"/>
      <c r="L90" s="419"/>
      <c r="M90" s="419"/>
      <c r="N90" s="419"/>
      <c r="O90" s="409">
        <f t="shared" si="48"/>
        <v>0</v>
      </c>
      <c r="P90" s="417">
        <f>E90+J90</f>
        <v>1030700</v>
      </c>
      <c r="R90" s="154"/>
    </row>
    <row r="91" spans="1:18" ht="327.75" customHeight="1" x14ac:dyDescent="0.2">
      <c r="A91" s="420"/>
      <c r="B91" s="420"/>
      <c r="C91" s="420"/>
      <c r="D91" s="209" t="s">
        <v>802</v>
      </c>
      <c r="E91" s="439"/>
      <c r="F91" s="420"/>
      <c r="G91" s="420"/>
      <c r="H91" s="420"/>
      <c r="I91" s="420"/>
      <c r="J91" s="420"/>
      <c r="K91" s="420"/>
      <c r="L91" s="420"/>
      <c r="M91" s="420"/>
      <c r="N91" s="420"/>
      <c r="O91" s="440"/>
      <c r="P91" s="439"/>
      <c r="R91" s="154"/>
    </row>
    <row r="92" spans="1:18" ht="91.5" x14ac:dyDescent="0.2">
      <c r="A92" s="406"/>
      <c r="B92" s="406"/>
      <c r="C92" s="406"/>
      <c r="D92" s="209" t="s">
        <v>803</v>
      </c>
      <c r="E92" s="406"/>
      <c r="F92" s="406"/>
      <c r="G92" s="406"/>
      <c r="H92" s="406"/>
      <c r="I92" s="406"/>
      <c r="J92" s="406"/>
      <c r="K92" s="406"/>
      <c r="L92" s="406"/>
      <c r="M92" s="406"/>
      <c r="N92" s="406"/>
      <c r="O92" s="429"/>
      <c r="P92" s="406"/>
      <c r="R92" s="154"/>
    </row>
    <row r="93" spans="1:18" ht="183" x14ac:dyDescent="0.2">
      <c r="A93" s="255" t="s">
        <v>520</v>
      </c>
      <c r="B93" s="255" t="s">
        <v>522</v>
      </c>
      <c r="C93" s="255" t="s">
        <v>287</v>
      </c>
      <c r="D93" s="208" t="s">
        <v>524</v>
      </c>
      <c r="E93" s="256">
        <f t="shared" si="62"/>
        <v>5249475</v>
      </c>
      <c r="F93" s="218">
        <f>(4578467)+671008</f>
        <v>5249475</v>
      </c>
      <c r="G93" s="111">
        <f>(2541439)+13948</f>
        <v>2555387</v>
      </c>
      <c r="H93" s="111">
        <v>379045</v>
      </c>
      <c r="I93" s="218"/>
      <c r="J93" s="256">
        <f>L93+O93</f>
        <v>2904330</v>
      </c>
      <c r="K93" s="218">
        <f>(1380000+650000)+874330</f>
        <v>2904330</v>
      </c>
      <c r="L93" s="218"/>
      <c r="M93" s="218"/>
      <c r="N93" s="218"/>
      <c r="O93" s="229">
        <f>K93</f>
        <v>2904330</v>
      </c>
      <c r="P93" s="256">
        <f>E93+J93</f>
        <v>8153805</v>
      </c>
      <c r="R93" s="154" t="b">
        <f>K93='dod5'!I48+'dod5'!I49</f>
        <v>1</v>
      </c>
    </row>
    <row r="94" spans="1:18" ht="137.25" x14ac:dyDescent="0.2">
      <c r="A94" s="255" t="s">
        <v>521</v>
      </c>
      <c r="B94" s="255" t="s">
        <v>523</v>
      </c>
      <c r="C94" s="255" t="s">
        <v>287</v>
      </c>
      <c r="D94" s="208" t="s">
        <v>525</v>
      </c>
      <c r="E94" s="256">
        <f t="shared" si="62"/>
        <v>23685540</v>
      </c>
      <c r="F94" s="218">
        <f>(23486540)+199000</f>
        <v>23685540</v>
      </c>
      <c r="G94" s="218"/>
      <c r="H94" s="218"/>
      <c r="I94" s="218"/>
      <c r="J94" s="256">
        <f>L94+O94</f>
        <v>419000</v>
      </c>
      <c r="K94" s="218">
        <f>(220000)+199000</f>
        <v>419000</v>
      </c>
      <c r="L94" s="218"/>
      <c r="M94" s="218"/>
      <c r="N94" s="218"/>
      <c r="O94" s="229">
        <f>K94</f>
        <v>419000</v>
      </c>
      <c r="P94" s="256">
        <f>E94+J94</f>
        <v>24104540</v>
      </c>
      <c r="R94" s="154" t="b">
        <f>K94='dod5'!I51+'dod5'!I50</f>
        <v>1</v>
      </c>
    </row>
    <row r="95" spans="1:18" ht="137.25" x14ac:dyDescent="0.2">
      <c r="A95" s="255" t="s">
        <v>605</v>
      </c>
      <c r="B95" s="255" t="s">
        <v>603</v>
      </c>
      <c r="C95" s="255" t="s">
        <v>539</v>
      </c>
      <c r="D95" s="208" t="s">
        <v>604</v>
      </c>
      <c r="E95" s="256">
        <f t="shared" ref="E95:E97" si="64">F95</f>
        <v>0</v>
      </c>
      <c r="F95" s="218"/>
      <c r="G95" s="218"/>
      <c r="H95" s="218"/>
      <c r="I95" s="218"/>
      <c r="J95" s="256">
        <f>L95+O95</f>
        <v>3500000</v>
      </c>
      <c r="K95" s="218">
        <v>3500000</v>
      </c>
      <c r="L95" s="218"/>
      <c r="M95" s="218"/>
      <c r="N95" s="218"/>
      <c r="O95" s="229">
        <f>K95</f>
        <v>3500000</v>
      </c>
      <c r="P95" s="256">
        <f>E95+J95</f>
        <v>3500000</v>
      </c>
      <c r="R95" s="154" t="b">
        <f>K95='dod5'!I52</f>
        <v>1</v>
      </c>
    </row>
    <row r="96" spans="1:18" ht="91.5" x14ac:dyDescent="0.2">
      <c r="A96" s="255" t="s">
        <v>703</v>
      </c>
      <c r="B96" s="255" t="s">
        <v>704</v>
      </c>
      <c r="C96" s="255" t="s">
        <v>450</v>
      </c>
      <c r="D96" s="208" t="s">
        <v>705</v>
      </c>
      <c r="E96" s="256">
        <f t="shared" si="64"/>
        <v>0</v>
      </c>
      <c r="F96" s="218"/>
      <c r="G96" s="218"/>
      <c r="H96" s="218"/>
      <c r="I96" s="218"/>
      <c r="J96" s="256">
        <f>L96+O96</f>
        <v>2000000</v>
      </c>
      <c r="K96" s="218">
        <f>(1000000)+1000000</f>
        <v>2000000</v>
      </c>
      <c r="L96" s="218"/>
      <c r="M96" s="218"/>
      <c r="N96" s="218"/>
      <c r="O96" s="229">
        <f>K96</f>
        <v>2000000</v>
      </c>
      <c r="P96" s="256">
        <f>E96+J96</f>
        <v>2000000</v>
      </c>
      <c r="R96" s="154" t="b">
        <f>K96='dod5'!I53</f>
        <v>1</v>
      </c>
    </row>
    <row r="97" spans="1:18" ht="409.5" x14ac:dyDescent="0.2">
      <c r="A97" s="425" t="s">
        <v>744</v>
      </c>
      <c r="B97" s="425" t="s">
        <v>535</v>
      </c>
      <c r="C97" s="425" t="s">
        <v>256</v>
      </c>
      <c r="D97" s="222" t="s">
        <v>546</v>
      </c>
      <c r="E97" s="421">
        <f t="shared" si="64"/>
        <v>0</v>
      </c>
      <c r="F97" s="407"/>
      <c r="G97" s="407"/>
      <c r="H97" s="407"/>
      <c r="I97" s="407"/>
      <c r="J97" s="417">
        <f>L97+O97</f>
        <v>566000</v>
      </c>
      <c r="K97" s="407"/>
      <c r="L97" s="407">
        <v>566000</v>
      </c>
      <c r="M97" s="407"/>
      <c r="N97" s="407"/>
      <c r="O97" s="409">
        <f>K97</f>
        <v>0</v>
      </c>
      <c r="P97" s="421">
        <f>E97+J97</f>
        <v>566000</v>
      </c>
      <c r="Q97" s="119">
        <f>P97</f>
        <v>566000</v>
      </c>
      <c r="R97" s="154"/>
    </row>
    <row r="98" spans="1:18" ht="137.25" x14ac:dyDescent="0.2">
      <c r="A98" s="406"/>
      <c r="B98" s="406"/>
      <c r="C98" s="406"/>
      <c r="D98" s="223" t="s">
        <v>547</v>
      </c>
      <c r="E98" s="422"/>
      <c r="F98" s="423"/>
      <c r="G98" s="423"/>
      <c r="H98" s="423"/>
      <c r="I98" s="423"/>
      <c r="J98" s="406"/>
      <c r="K98" s="406"/>
      <c r="L98" s="423"/>
      <c r="M98" s="423"/>
      <c r="N98" s="423"/>
      <c r="O98" s="429"/>
      <c r="P98" s="422"/>
      <c r="R98" s="154"/>
    </row>
    <row r="99" spans="1:18" ht="180" x14ac:dyDescent="0.2">
      <c r="A99" s="291">
        <v>1000000</v>
      </c>
      <c r="B99" s="291"/>
      <c r="C99" s="291"/>
      <c r="D99" s="281" t="s">
        <v>43</v>
      </c>
      <c r="E99" s="283">
        <f>E100</f>
        <v>81434879</v>
      </c>
      <c r="F99" s="283">
        <f t="shared" ref="F99" si="65">F100</f>
        <v>81434879</v>
      </c>
      <c r="G99" s="283">
        <f t="shared" ref="G99" si="66">G100</f>
        <v>56675325</v>
      </c>
      <c r="H99" s="283">
        <f>H100</f>
        <v>3263442</v>
      </c>
      <c r="I99" s="283">
        <f t="shared" ref="I99" si="67">I100</f>
        <v>0</v>
      </c>
      <c r="J99" s="283">
        <f>J100</f>
        <v>15766734</v>
      </c>
      <c r="K99" s="283">
        <f>K100</f>
        <v>8279954</v>
      </c>
      <c r="L99" s="283">
        <f>L100</f>
        <v>7451780</v>
      </c>
      <c r="M99" s="283">
        <f t="shared" ref="M99" si="68">M100</f>
        <v>5409770</v>
      </c>
      <c r="N99" s="283">
        <f>N100</f>
        <v>197280</v>
      </c>
      <c r="O99" s="283">
        <f>O100</f>
        <v>8314954</v>
      </c>
      <c r="P99" s="287">
        <f t="shared" ref="P99" si="69">P100</f>
        <v>97201613</v>
      </c>
    </row>
    <row r="100" spans="1:18" ht="180" x14ac:dyDescent="0.2">
      <c r="A100" s="292">
        <v>1010000</v>
      </c>
      <c r="B100" s="292"/>
      <c r="C100" s="292"/>
      <c r="D100" s="284" t="s">
        <v>62</v>
      </c>
      <c r="E100" s="286">
        <f>F100</f>
        <v>81434879</v>
      </c>
      <c r="F100" s="286">
        <f>SUM(F101:F108)</f>
        <v>81434879</v>
      </c>
      <c r="G100" s="286">
        <f t="shared" ref="G100:I100" si="70">SUM(G101:G108)</f>
        <v>56675325</v>
      </c>
      <c r="H100" s="286">
        <f t="shared" si="70"/>
        <v>3263442</v>
      </c>
      <c r="I100" s="286">
        <f t="shared" si="70"/>
        <v>0</v>
      </c>
      <c r="J100" s="286">
        <f t="shared" ref="J100:J108" si="71">L100+O100</f>
        <v>15766734</v>
      </c>
      <c r="K100" s="286">
        <f t="shared" ref="K100" si="72">SUM(K101:K108)</f>
        <v>8279954</v>
      </c>
      <c r="L100" s="286">
        <f t="shared" ref="L100" si="73">SUM(L101:L108)</f>
        <v>7451780</v>
      </c>
      <c r="M100" s="286">
        <f t="shared" ref="M100" si="74">SUM(M101:M108)</f>
        <v>5409770</v>
      </c>
      <c r="N100" s="286">
        <f t="shared" ref="N100" si="75">SUM(N101:N108)</f>
        <v>197280</v>
      </c>
      <c r="O100" s="286">
        <f t="shared" ref="O100" si="76">SUM(O101:O108)</f>
        <v>8314954</v>
      </c>
      <c r="P100" s="286">
        <f t="shared" ref="P100:P107" si="77">E100+J100</f>
        <v>97201613</v>
      </c>
      <c r="Q100" s="152" t="b">
        <f>P100=P101+P102+P103+P104+P105+P106+P107+P108</f>
        <v>1</v>
      </c>
      <c r="R100" s="154" t="b">
        <f>K100='dod5'!I55</f>
        <v>1</v>
      </c>
    </row>
    <row r="101" spans="1:18" ht="274.5" x14ac:dyDescent="0.2">
      <c r="A101" s="255" t="s">
        <v>34</v>
      </c>
      <c r="B101" s="255" t="s">
        <v>274</v>
      </c>
      <c r="C101" s="255" t="s">
        <v>275</v>
      </c>
      <c r="D101" s="255" t="s">
        <v>273</v>
      </c>
      <c r="E101" s="256">
        <f>F101</f>
        <v>46291215</v>
      </c>
      <c r="F101" s="218">
        <f>(46221680)+69535</f>
        <v>46291215</v>
      </c>
      <c r="G101" s="218">
        <v>35856900</v>
      </c>
      <c r="H101" s="218">
        <f>(1907060)+69535</f>
        <v>1976595</v>
      </c>
      <c r="I101" s="218"/>
      <c r="J101" s="256">
        <f t="shared" si="71"/>
        <v>8264384</v>
      </c>
      <c r="K101" s="218">
        <f>(386442)+1046562</f>
        <v>1433004</v>
      </c>
      <c r="L101" s="218">
        <v>6805480</v>
      </c>
      <c r="M101" s="218">
        <v>5170040</v>
      </c>
      <c r="N101" s="218">
        <v>138080</v>
      </c>
      <c r="O101" s="229">
        <f>K101+25900</f>
        <v>1458904</v>
      </c>
      <c r="P101" s="256">
        <f t="shared" si="77"/>
        <v>54555599</v>
      </c>
      <c r="R101" s="154" t="b">
        <f>K101='dod5'!I56+'dod5'!I57</f>
        <v>1</v>
      </c>
    </row>
    <row r="102" spans="1:18" ht="46.5" x14ac:dyDescent="0.2">
      <c r="A102" s="255" t="s">
        <v>257</v>
      </c>
      <c r="B102" s="255" t="s">
        <v>258</v>
      </c>
      <c r="C102" s="255" t="s">
        <v>261</v>
      </c>
      <c r="D102" s="255" t="s">
        <v>262</v>
      </c>
      <c r="E102" s="256">
        <f t="shared" ref="E102:E105" si="78">F102</f>
        <v>726700</v>
      </c>
      <c r="F102" s="218">
        <v>726700</v>
      </c>
      <c r="G102" s="218"/>
      <c r="H102" s="218"/>
      <c r="I102" s="218"/>
      <c r="J102" s="256">
        <f t="shared" si="71"/>
        <v>0</v>
      </c>
      <c r="K102" s="218"/>
      <c r="L102" s="218"/>
      <c r="M102" s="218"/>
      <c r="N102" s="218"/>
      <c r="O102" s="229">
        <f>K102</f>
        <v>0</v>
      </c>
      <c r="P102" s="256">
        <f t="shared" si="77"/>
        <v>726700</v>
      </c>
      <c r="R102" s="154"/>
    </row>
    <row r="103" spans="1:18" ht="91.5" x14ac:dyDescent="0.2">
      <c r="A103" s="255" t="s">
        <v>263</v>
      </c>
      <c r="B103" s="255" t="s">
        <v>264</v>
      </c>
      <c r="C103" s="255" t="s">
        <v>265</v>
      </c>
      <c r="D103" s="255" t="s">
        <v>266</v>
      </c>
      <c r="E103" s="256">
        <f t="shared" si="78"/>
        <v>7796525</v>
      </c>
      <c r="F103" s="218">
        <f>(7716225)+80300</f>
        <v>7796525</v>
      </c>
      <c r="G103" s="218">
        <v>5790700</v>
      </c>
      <c r="H103" s="218">
        <v>459705</v>
      </c>
      <c r="I103" s="218"/>
      <c r="J103" s="256">
        <f t="shared" si="71"/>
        <v>716950</v>
      </c>
      <c r="K103" s="218">
        <v>631950</v>
      </c>
      <c r="L103" s="218">
        <v>85000</v>
      </c>
      <c r="M103" s="218">
        <v>9800</v>
      </c>
      <c r="N103" s="218">
        <v>18500</v>
      </c>
      <c r="O103" s="229">
        <f>K103</f>
        <v>631950</v>
      </c>
      <c r="P103" s="256">
        <f t="shared" si="77"/>
        <v>8513475</v>
      </c>
      <c r="R103" s="154" t="b">
        <f>K103='dod5'!I58</f>
        <v>1</v>
      </c>
    </row>
    <row r="104" spans="1:18" ht="91.5" x14ac:dyDescent="0.2">
      <c r="A104" s="255" t="s">
        <v>267</v>
      </c>
      <c r="B104" s="255" t="s">
        <v>268</v>
      </c>
      <c r="C104" s="255" t="s">
        <v>265</v>
      </c>
      <c r="D104" s="255" t="s">
        <v>269</v>
      </c>
      <c r="E104" s="256">
        <f t="shared" si="78"/>
        <v>1220535</v>
      </c>
      <c r="F104" s="218">
        <v>1220535</v>
      </c>
      <c r="G104" s="218">
        <v>796025</v>
      </c>
      <c r="H104" s="218">
        <v>201670</v>
      </c>
      <c r="I104" s="218"/>
      <c r="J104" s="256">
        <f t="shared" si="71"/>
        <v>5075000</v>
      </c>
      <c r="K104" s="218">
        <f>(3000000)+2000000</f>
        <v>5000000</v>
      </c>
      <c r="L104" s="218">
        <v>75000</v>
      </c>
      <c r="M104" s="218">
        <v>6100</v>
      </c>
      <c r="N104" s="218">
        <v>3300</v>
      </c>
      <c r="O104" s="229">
        <f>K104</f>
        <v>5000000</v>
      </c>
      <c r="P104" s="256">
        <f t="shared" si="77"/>
        <v>6295535</v>
      </c>
      <c r="R104" s="154" t="b">
        <f>K104='dod5'!I59+'dod5'!I60</f>
        <v>1</v>
      </c>
    </row>
    <row r="105" spans="1:18" ht="183" x14ac:dyDescent="0.2">
      <c r="A105" s="255" t="s">
        <v>270</v>
      </c>
      <c r="B105" s="255" t="s">
        <v>259</v>
      </c>
      <c r="C105" s="255" t="s">
        <v>271</v>
      </c>
      <c r="D105" s="255" t="s">
        <v>272</v>
      </c>
      <c r="E105" s="256">
        <f t="shared" si="78"/>
        <v>5816142</v>
      </c>
      <c r="F105" s="218">
        <f>(5699642)+116500</f>
        <v>5816142</v>
      </c>
      <c r="G105" s="218">
        <v>4068700</v>
      </c>
      <c r="H105" s="218">
        <v>590742</v>
      </c>
      <c r="I105" s="218"/>
      <c r="J105" s="256">
        <f t="shared" si="71"/>
        <v>1555400</v>
      </c>
      <c r="K105" s="218">
        <f>(500000)+690000</f>
        <v>1190000</v>
      </c>
      <c r="L105" s="218">
        <v>356300</v>
      </c>
      <c r="M105" s="218">
        <v>218030</v>
      </c>
      <c r="N105" s="218">
        <v>37400</v>
      </c>
      <c r="O105" s="229">
        <f>K105+9100</f>
        <v>1199100</v>
      </c>
      <c r="P105" s="256">
        <f t="shared" si="77"/>
        <v>7371542</v>
      </c>
      <c r="R105" s="154" t="b">
        <f>K105='dod5'!I61</f>
        <v>1</v>
      </c>
    </row>
    <row r="106" spans="1:18" ht="137.25" x14ac:dyDescent="0.2">
      <c r="A106" s="255" t="s">
        <v>527</v>
      </c>
      <c r="B106" s="255" t="s">
        <v>528</v>
      </c>
      <c r="C106" s="255" t="s">
        <v>276</v>
      </c>
      <c r="D106" s="255" t="s">
        <v>526</v>
      </c>
      <c r="E106" s="256">
        <f>F106</f>
        <v>13283762</v>
      </c>
      <c r="F106" s="218">
        <f>(13266262)+17500</f>
        <v>13283762</v>
      </c>
      <c r="G106" s="218">
        <v>10163000</v>
      </c>
      <c r="H106" s="218">
        <v>34730</v>
      </c>
      <c r="I106" s="218"/>
      <c r="J106" s="256">
        <f t="shared" si="71"/>
        <v>130000</v>
      </c>
      <c r="K106" s="218"/>
      <c r="L106" s="218">
        <v>130000</v>
      </c>
      <c r="M106" s="218">
        <v>5800</v>
      </c>
      <c r="N106" s="218"/>
      <c r="O106" s="229">
        <f>K106</f>
        <v>0</v>
      </c>
      <c r="P106" s="256">
        <f t="shared" si="77"/>
        <v>13413762</v>
      </c>
      <c r="R106" s="154"/>
    </row>
    <row r="107" spans="1:18" ht="91.5" x14ac:dyDescent="0.2">
      <c r="A107" s="255" t="s">
        <v>529</v>
      </c>
      <c r="B107" s="255" t="s">
        <v>530</v>
      </c>
      <c r="C107" s="255" t="s">
        <v>276</v>
      </c>
      <c r="D107" s="255" t="s">
        <v>531</v>
      </c>
      <c r="E107" s="256">
        <f>F107</f>
        <v>6300000</v>
      </c>
      <c r="F107" s="218">
        <f>(6000000)+300000</f>
        <v>6300000</v>
      </c>
      <c r="G107" s="218"/>
      <c r="H107" s="218"/>
      <c r="I107" s="218"/>
      <c r="J107" s="256">
        <f t="shared" si="71"/>
        <v>0</v>
      </c>
      <c r="K107" s="218"/>
      <c r="L107" s="218"/>
      <c r="M107" s="218"/>
      <c r="N107" s="218"/>
      <c r="O107" s="229">
        <f>K107</f>
        <v>0</v>
      </c>
      <c r="P107" s="256">
        <f t="shared" si="77"/>
        <v>6300000</v>
      </c>
      <c r="R107" s="154"/>
    </row>
    <row r="108" spans="1:18" ht="91.5" x14ac:dyDescent="0.2">
      <c r="A108" s="255" t="s">
        <v>856</v>
      </c>
      <c r="B108" s="255" t="s">
        <v>293</v>
      </c>
      <c r="C108" s="255" t="s">
        <v>256</v>
      </c>
      <c r="D108" s="255" t="s">
        <v>57</v>
      </c>
      <c r="E108" s="141">
        <f t="shared" ref="E108" si="79">F108</f>
        <v>0</v>
      </c>
      <c r="F108" s="111"/>
      <c r="G108" s="111"/>
      <c r="H108" s="111"/>
      <c r="I108" s="111"/>
      <c r="J108" s="256">
        <f t="shared" si="71"/>
        <v>25000</v>
      </c>
      <c r="K108" s="218">
        <v>25000</v>
      </c>
      <c r="L108" s="111"/>
      <c r="M108" s="111"/>
      <c r="N108" s="111"/>
      <c r="O108" s="229">
        <f t="shared" ref="O108" si="80">K108</f>
        <v>25000</v>
      </c>
      <c r="P108" s="256">
        <f>E108+J108</f>
        <v>25000</v>
      </c>
      <c r="R108" s="154" t="b">
        <f>K108='dod5'!I62</f>
        <v>1</v>
      </c>
    </row>
    <row r="109" spans="1:18" ht="135" x14ac:dyDescent="0.2">
      <c r="A109" s="281" t="s">
        <v>40</v>
      </c>
      <c r="B109" s="281"/>
      <c r="C109" s="281"/>
      <c r="D109" s="281" t="s">
        <v>41</v>
      </c>
      <c r="E109" s="283">
        <f>E110</f>
        <v>51999167</v>
      </c>
      <c r="F109" s="283">
        <f t="shared" ref="F109" si="81">F110</f>
        <v>51999167</v>
      </c>
      <c r="G109" s="283">
        <f t="shared" ref="G109" si="82">G110</f>
        <v>18314174</v>
      </c>
      <c r="H109" s="283">
        <f>H110</f>
        <v>1640093</v>
      </c>
      <c r="I109" s="283">
        <f t="shared" ref="I109" si="83">I110</f>
        <v>0</v>
      </c>
      <c r="J109" s="283">
        <f>J110</f>
        <v>5200065</v>
      </c>
      <c r="K109" s="283">
        <f>K110</f>
        <v>3183421</v>
      </c>
      <c r="L109" s="283">
        <f>L110</f>
        <v>2016644</v>
      </c>
      <c r="M109" s="283">
        <f t="shared" ref="M109" si="84">M110</f>
        <v>912155</v>
      </c>
      <c r="N109" s="283">
        <f>N110</f>
        <v>345236</v>
      </c>
      <c r="O109" s="283">
        <f>O110</f>
        <v>3183421</v>
      </c>
      <c r="P109" s="287">
        <f t="shared" ref="P109" si="85">P110</f>
        <v>57199232</v>
      </c>
    </row>
    <row r="110" spans="1:18" ht="135" x14ac:dyDescent="0.2">
      <c r="A110" s="284" t="s">
        <v>39</v>
      </c>
      <c r="B110" s="284"/>
      <c r="C110" s="284"/>
      <c r="D110" s="284" t="s">
        <v>58</v>
      </c>
      <c r="E110" s="286">
        <f>SUM(E111:E124)</f>
        <v>51999167</v>
      </c>
      <c r="F110" s="286">
        <f t="shared" ref="F110:I110" si="86">SUM(F111:F124)</f>
        <v>51999167</v>
      </c>
      <c r="G110" s="286">
        <f t="shared" si="86"/>
        <v>18314174</v>
      </c>
      <c r="H110" s="286">
        <f t="shared" si="86"/>
        <v>1640093</v>
      </c>
      <c r="I110" s="286">
        <f t="shared" si="86"/>
        <v>0</v>
      </c>
      <c r="J110" s="286">
        <f t="shared" ref="J110:J123" si="87">L110+O110</f>
        <v>5200065</v>
      </c>
      <c r="K110" s="286">
        <f t="shared" ref="K110" si="88">SUM(K111:K124)</f>
        <v>3183421</v>
      </c>
      <c r="L110" s="286">
        <f t="shared" ref="L110" si="89">SUM(L111:L124)</f>
        <v>2016644</v>
      </c>
      <c r="M110" s="286">
        <f t="shared" ref="M110" si="90">SUM(M111:M124)</f>
        <v>912155</v>
      </c>
      <c r="N110" s="286">
        <f t="shared" ref="N110" si="91">SUM(N111:N124)</f>
        <v>345236</v>
      </c>
      <c r="O110" s="286">
        <f>SUM(O111:O124)</f>
        <v>3183421</v>
      </c>
      <c r="P110" s="286">
        <f>E110+J110</f>
        <v>57199232</v>
      </c>
      <c r="Q110" s="152" t="b">
        <f>P110=P111+P112+P113+P114+P115+P116+P117+P118+P119+P121+P122+P123+P120+P124</f>
        <v>1</v>
      </c>
      <c r="R110" s="154" t="b">
        <f>K110='dod5'!I64</f>
        <v>1</v>
      </c>
    </row>
    <row r="111" spans="1:18" ht="137.25" x14ac:dyDescent="0.2">
      <c r="A111" s="255" t="s">
        <v>277</v>
      </c>
      <c r="B111" s="255" t="s">
        <v>278</v>
      </c>
      <c r="C111" s="255" t="s">
        <v>279</v>
      </c>
      <c r="D111" s="255" t="s">
        <v>280</v>
      </c>
      <c r="E111" s="141">
        <f t="shared" ref="E111:E114" si="92">F111</f>
        <v>3393343</v>
      </c>
      <c r="F111" s="111">
        <f>(3278423)+114920</f>
        <v>3393343</v>
      </c>
      <c r="G111" s="111">
        <f>(2517500)+82000</f>
        <v>2599500</v>
      </c>
      <c r="H111" s="111">
        <v>66793</v>
      </c>
      <c r="I111" s="111"/>
      <c r="J111" s="256">
        <f t="shared" si="87"/>
        <v>53278</v>
      </c>
      <c r="K111" s="111">
        <v>53278</v>
      </c>
      <c r="L111" s="153"/>
      <c r="M111" s="153"/>
      <c r="N111" s="153"/>
      <c r="O111" s="229">
        <f t="shared" ref="O111:O123" si="93">K111</f>
        <v>53278</v>
      </c>
      <c r="P111" s="256">
        <f>+J111+E111</f>
        <v>3446621</v>
      </c>
      <c r="Q111" s="154"/>
      <c r="R111" s="154" t="b">
        <f>K111='dod5'!I65</f>
        <v>1</v>
      </c>
    </row>
    <row r="112" spans="1:18" ht="228.75" x14ac:dyDescent="0.2">
      <c r="A112" s="255" t="s">
        <v>72</v>
      </c>
      <c r="B112" s="255" t="s">
        <v>260</v>
      </c>
      <c r="C112" s="255" t="s">
        <v>279</v>
      </c>
      <c r="D112" s="255" t="s">
        <v>22</v>
      </c>
      <c r="E112" s="141">
        <f t="shared" si="92"/>
        <v>1225790</v>
      </c>
      <c r="F112" s="111">
        <f>(875790)+350000</f>
        <v>1225790</v>
      </c>
      <c r="G112" s="111"/>
      <c r="H112" s="111"/>
      <c r="I112" s="111"/>
      <c r="J112" s="256">
        <f t="shared" si="87"/>
        <v>0</v>
      </c>
      <c r="K112" s="111"/>
      <c r="L112" s="153"/>
      <c r="M112" s="153"/>
      <c r="N112" s="153"/>
      <c r="O112" s="229">
        <f t="shared" si="93"/>
        <v>0</v>
      </c>
      <c r="P112" s="256">
        <f>+J112+E112</f>
        <v>1225790</v>
      </c>
      <c r="R112" s="154"/>
    </row>
    <row r="113" spans="1:18" ht="91.5" x14ac:dyDescent="0.2">
      <c r="A113" s="255" t="s">
        <v>284</v>
      </c>
      <c r="B113" s="255" t="s">
        <v>285</v>
      </c>
      <c r="C113" s="255" t="s">
        <v>279</v>
      </c>
      <c r="D113" s="255" t="s">
        <v>23</v>
      </c>
      <c r="E113" s="141">
        <f t="shared" si="92"/>
        <v>3279368</v>
      </c>
      <c r="F113" s="111">
        <f>(3054118)+225250</f>
        <v>3279368</v>
      </c>
      <c r="G113" s="111">
        <f>(1623800)+160000</f>
        <v>1783800</v>
      </c>
      <c r="H113" s="111">
        <v>437788</v>
      </c>
      <c r="I113" s="111"/>
      <c r="J113" s="256">
        <f t="shared" si="87"/>
        <v>1468936</v>
      </c>
      <c r="K113" s="111">
        <f>(592430)+551506</f>
        <v>1143936</v>
      </c>
      <c r="L113" s="153">
        <v>325000</v>
      </c>
      <c r="M113" s="153">
        <f>(189100)-34100</f>
        <v>155000</v>
      </c>
      <c r="N113" s="153">
        <v>89400</v>
      </c>
      <c r="O113" s="229">
        <f t="shared" si="93"/>
        <v>1143936</v>
      </c>
      <c r="P113" s="256">
        <f t="shared" ref="P113:P124" si="94">E113+J113</f>
        <v>4748304</v>
      </c>
      <c r="R113" s="154" t="b">
        <f>K113='dod5'!I66+'dod5'!I67</f>
        <v>1</v>
      </c>
    </row>
    <row r="114" spans="1:18" ht="91.5" x14ac:dyDescent="0.2">
      <c r="A114" s="255" t="s">
        <v>571</v>
      </c>
      <c r="B114" s="255" t="s">
        <v>572</v>
      </c>
      <c r="C114" s="255" t="s">
        <v>279</v>
      </c>
      <c r="D114" s="255" t="s">
        <v>573</v>
      </c>
      <c r="E114" s="141">
        <f t="shared" si="92"/>
        <v>6305396</v>
      </c>
      <c r="F114" s="111">
        <f>(5640576+301303)+363517</f>
        <v>6305396</v>
      </c>
      <c r="G114" s="111">
        <v>714843</v>
      </c>
      <c r="H114" s="111">
        <v>110000</v>
      </c>
      <c r="I114" s="111"/>
      <c r="J114" s="256">
        <f t="shared" si="87"/>
        <v>1366703</v>
      </c>
      <c r="K114" s="111">
        <f>(816103)+550600</f>
        <v>1366703</v>
      </c>
      <c r="L114" s="153"/>
      <c r="M114" s="153"/>
      <c r="N114" s="153"/>
      <c r="O114" s="229">
        <f t="shared" si="93"/>
        <v>1366703</v>
      </c>
      <c r="P114" s="256">
        <f t="shared" si="94"/>
        <v>7672099</v>
      </c>
      <c r="R114" s="154" t="b">
        <f>K114='dod5'!I68</f>
        <v>1</v>
      </c>
    </row>
    <row r="115" spans="1:18" ht="137.25" x14ac:dyDescent="0.2">
      <c r="A115" s="255" t="s">
        <v>73</v>
      </c>
      <c r="B115" s="255" t="s">
        <v>281</v>
      </c>
      <c r="C115" s="255" t="s">
        <v>291</v>
      </c>
      <c r="D115" s="255" t="s">
        <v>74</v>
      </c>
      <c r="E115" s="141">
        <f t="shared" ref="E115:E121" si="95">F115</f>
        <v>10046475</v>
      </c>
      <c r="F115" s="111">
        <f>(10002475)+44000</f>
        <v>10046475</v>
      </c>
      <c r="G115" s="218"/>
      <c r="H115" s="218"/>
      <c r="I115" s="218"/>
      <c r="J115" s="256">
        <f t="shared" si="87"/>
        <v>0</v>
      </c>
      <c r="K115" s="218"/>
      <c r="L115" s="218"/>
      <c r="M115" s="218"/>
      <c r="N115" s="218"/>
      <c r="O115" s="229">
        <f t="shared" si="93"/>
        <v>0</v>
      </c>
      <c r="P115" s="256">
        <f t="shared" si="94"/>
        <v>10046475</v>
      </c>
      <c r="R115" s="154"/>
    </row>
    <row r="116" spans="1:18" ht="137.25" x14ac:dyDescent="0.2">
      <c r="A116" s="255" t="s">
        <v>75</v>
      </c>
      <c r="B116" s="255" t="s">
        <v>282</v>
      </c>
      <c r="C116" s="255" t="s">
        <v>291</v>
      </c>
      <c r="D116" s="255" t="s">
        <v>6</v>
      </c>
      <c r="E116" s="141">
        <f t="shared" si="95"/>
        <v>1757513</v>
      </c>
      <c r="F116" s="111">
        <f>(1727513)+30000</f>
        <v>1757513</v>
      </c>
      <c r="G116" s="218"/>
      <c r="H116" s="218"/>
      <c r="I116" s="218"/>
      <c r="J116" s="256">
        <f t="shared" si="87"/>
        <v>0</v>
      </c>
      <c r="K116" s="218"/>
      <c r="L116" s="218"/>
      <c r="M116" s="218"/>
      <c r="N116" s="218"/>
      <c r="O116" s="229">
        <f t="shared" si="93"/>
        <v>0</v>
      </c>
      <c r="P116" s="256">
        <f t="shared" si="94"/>
        <v>1757513</v>
      </c>
      <c r="R116" s="154"/>
    </row>
    <row r="117" spans="1:18" ht="183" x14ac:dyDescent="0.2">
      <c r="A117" s="255" t="s">
        <v>76</v>
      </c>
      <c r="B117" s="255" t="s">
        <v>283</v>
      </c>
      <c r="C117" s="255" t="s">
        <v>291</v>
      </c>
      <c r="D117" s="255" t="s">
        <v>567</v>
      </c>
      <c r="E117" s="141">
        <f>F117</f>
        <v>53014</v>
      </c>
      <c r="F117" s="111">
        <v>53014</v>
      </c>
      <c r="G117" s="111"/>
      <c r="H117" s="111"/>
      <c r="I117" s="218"/>
      <c r="J117" s="256">
        <f t="shared" si="87"/>
        <v>0</v>
      </c>
      <c r="K117" s="218"/>
      <c r="L117" s="111"/>
      <c r="M117" s="111"/>
      <c r="N117" s="111"/>
      <c r="O117" s="229">
        <f t="shared" si="93"/>
        <v>0</v>
      </c>
      <c r="P117" s="256">
        <f t="shared" si="94"/>
        <v>53014</v>
      </c>
      <c r="R117" s="154"/>
    </row>
    <row r="118" spans="1:18" ht="183" x14ac:dyDescent="0.2">
      <c r="A118" s="255" t="s">
        <v>49</v>
      </c>
      <c r="B118" s="255" t="s">
        <v>288</v>
      </c>
      <c r="C118" s="255" t="s">
        <v>291</v>
      </c>
      <c r="D118" s="255" t="s">
        <v>77</v>
      </c>
      <c r="E118" s="141">
        <f t="shared" si="95"/>
        <v>18741107</v>
      </c>
      <c r="F118" s="111">
        <f>(18126095)+615012</f>
        <v>18741107</v>
      </c>
      <c r="G118" s="111">
        <f>12402731</f>
        <v>12402731</v>
      </c>
      <c r="H118" s="111">
        <v>1025512</v>
      </c>
      <c r="I118" s="111"/>
      <c r="J118" s="256">
        <f t="shared" si="87"/>
        <v>2169444</v>
      </c>
      <c r="K118" s="111">
        <v>519800</v>
      </c>
      <c r="L118" s="111">
        <v>1649644</v>
      </c>
      <c r="M118" s="111">
        <v>757155</v>
      </c>
      <c r="N118" s="111">
        <v>255836</v>
      </c>
      <c r="O118" s="229">
        <f t="shared" si="93"/>
        <v>519800</v>
      </c>
      <c r="P118" s="256">
        <f t="shared" si="94"/>
        <v>20910551</v>
      </c>
      <c r="R118" s="154" t="b">
        <f>K118='dod5'!I69+'dod5'!I70</f>
        <v>1</v>
      </c>
    </row>
    <row r="119" spans="1:18" ht="183" x14ac:dyDescent="0.2">
      <c r="A119" s="255" t="s">
        <v>50</v>
      </c>
      <c r="B119" s="255" t="s">
        <v>289</v>
      </c>
      <c r="C119" s="255" t="s">
        <v>291</v>
      </c>
      <c r="D119" s="255" t="s">
        <v>78</v>
      </c>
      <c r="E119" s="141">
        <f t="shared" si="95"/>
        <v>4254685</v>
      </c>
      <c r="F119" s="111">
        <v>4254685</v>
      </c>
      <c r="G119" s="111"/>
      <c r="H119" s="111"/>
      <c r="I119" s="111"/>
      <c r="J119" s="256">
        <f t="shared" si="87"/>
        <v>0</v>
      </c>
      <c r="K119" s="111"/>
      <c r="L119" s="111"/>
      <c r="M119" s="111"/>
      <c r="N119" s="111"/>
      <c r="O119" s="229">
        <f t="shared" si="93"/>
        <v>0</v>
      </c>
      <c r="P119" s="256">
        <f t="shared" si="94"/>
        <v>4254685</v>
      </c>
      <c r="R119" s="154"/>
    </row>
    <row r="120" spans="1:18" ht="320.25" x14ac:dyDescent="0.2">
      <c r="A120" s="255" t="s">
        <v>905</v>
      </c>
      <c r="B120" s="255" t="s">
        <v>906</v>
      </c>
      <c r="C120" s="255" t="s">
        <v>291</v>
      </c>
      <c r="D120" s="255" t="s">
        <v>907</v>
      </c>
      <c r="E120" s="141">
        <f t="shared" ref="E120" si="96">F120</f>
        <v>68296</v>
      </c>
      <c r="F120" s="111">
        <v>68296</v>
      </c>
      <c r="G120" s="111"/>
      <c r="H120" s="111"/>
      <c r="I120" s="111"/>
      <c r="J120" s="256">
        <f t="shared" ref="J120" si="97">L120+O120</f>
        <v>0</v>
      </c>
      <c r="K120" s="111"/>
      <c r="L120" s="111"/>
      <c r="M120" s="111"/>
      <c r="N120" s="111"/>
      <c r="O120" s="229">
        <f t="shared" ref="O120" si="98">K120</f>
        <v>0</v>
      </c>
      <c r="P120" s="256">
        <f t="shared" ref="P120" si="99">E120+J120</f>
        <v>68296</v>
      </c>
      <c r="R120" s="154"/>
    </row>
    <row r="121" spans="1:18" ht="274.5" x14ac:dyDescent="0.2">
      <c r="A121" s="197" t="s">
        <v>51</v>
      </c>
      <c r="B121" s="197" t="s">
        <v>290</v>
      </c>
      <c r="C121" s="197" t="s">
        <v>291</v>
      </c>
      <c r="D121" s="255" t="s">
        <v>52</v>
      </c>
      <c r="E121" s="141">
        <f t="shared" si="95"/>
        <v>1585766</v>
      </c>
      <c r="F121" s="111">
        <f>((1500611)-44000)+129155</f>
        <v>1585766</v>
      </c>
      <c r="G121" s="218"/>
      <c r="H121" s="218"/>
      <c r="I121" s="218"/>
      <c r="J121" s="256">
        <f t="shared" si="87"/>
        <v>0</v>
      </c>
      <c r="K121" s="218"/>
      <c r="L121" s="218"/>
      <c r="M121" s="218"/>
      <c r="N121" s="218"/>
      <c r="O121" s="229">
        <f t="shared" si="93"/>
        <v>0</v>
      </c>
      <c r="P121" s="256">
        <f t="shared" si="94"/>
        <v>1585766</v>
      </c>
      <c r="R121" s="154"/>
    </row>
    <row r="122" spans="1:18" ht="91.5" x14ac:dyDescent="0.2">
      <c r="A122" s="197" t="s">
        <v>53</v>
      </c>
      <c r="B122" s="197" t="s">
        <v>292</v>
      </c>
      <c r="C122" s="197" t="s">
        <v>291</v>
      </c>
      <c r="D122" s="255" t="s">
        <v>54</v>
      </c>
      <c r="E122" s="141">
        <f>F122</f>
        <v>1267414</v>
      </c>
      <c r="F122" s="111">
        <f>(1179249)+88165</f>
        <v>1267414</v>
      </c>
      <c r="G122" s="218">
        <v>813300</v>
      </c>
      <c r="H122" s="218"/>
      <c r="I122" s="218"/>
      <c r="J122" s="256">
        <f t="shared" si="87"/>
        <v>42000</v>
      </c>
      <c r="K122" s="218"/>
      <c r="L122" s="218">
        <v>42000</v>
      </c>
      <c r="M122" s="218"/>
      <c r="N122" s="218"/>
      <c r="O122" s="229">
        <f t="shared" si="93"/>
        <v>0</v>
      </c>
      <c r="P122" s="256">
        <f t="shared" si="94"/>
        <v>1309414</v>
      </c>
      <c r="R122" s="154"/>
    </row>
    <row r="123" spans="1:18" ht="274.5" x14ac:dyDescent="0.2">
      <c r="A123" s="197" t="s">
        <v>541</v>
      </c>
      <c r="B123" s="197" t="s">
        <v>540</v>
      </c>
      <c r="C123" s="197" t="s">
        <v>539</v>
      </c>
      <c r="D123" s="255" t="s">
        <v>538</v>
      </c>
      <c r="E123" s="141">
        <f>F123</f>
        <v>21000</v>
      </c>
      <c r="F123" s="111">
        <v>21000</v>
      </c>
      <c r="G123" s="218"/>
      <c r="H123" s="218"/>
      <c r="I123" s="218"/>
      <c r="J123" s="256">
        <f t="shared" si="87"/>
        <v>0</v>
      </c>
      <c r="K123" s="218"/>
      <c r="L123" s="218"/>
      <c r="M123" s="218"/>
      <c r="N123" s="218"/>
      <c r="O123" s="229">
        <f t="shared" si="93"/>
        <v>0</v>
      </c>
      <c r="P123" s="256">
        <f t="shared" si="94"/>
        <v>21000</v>
      </c>
      <c r="R123" s="154"/>
    </row>
    <row r="124" spans="1:18" ht="91.5" x14ac:dyDescent="0.2">
      <c r="A124" s="255" t="s">
        <v>908</v>
      </c>
      <c r="B124" s="255" t="s">
        <v>293</v>
      </c>
      <c r="C124" s="255" t="s">
        <v>256</v>
      </c>
      <c r="D124" s="255" t="s">
        <v>57</v>
      </c>
      <c r="E124" s="141">
        <f>F124</f>
        <v>0</v>
      </c>
      <c r="F124" s="111">
        <f>30000-30000</f>
        <v>0</v>
      </c>
      <c r="G124" s="111"/>
      <c r="H124" s="111"/>
      <c r="I124" s="111"/>
      <c r="J124" s="256">
        <f>L124+O124</f>
        <v>99704</v>
      </c>
      <c r="K124" s="218">
        <v>99704</v>
      </c>
      <c r="L124" s="111"/>
      <c r="M124" s="111"/>
      <c r="N124" s="111"/>
      <c r="O124" s="229">
        <f>K124</f>
        <v>99704</v>
      </c>
      <c r="P124" s="256">
        <f t="shared" si="94"/>
        <v>99704</v>
      </c>
      <c r="R124" s="154" t="b">
        <f>K124='dod5'!I71</f>
        <v>1</v>
      </c>
    </row>
    <row r="125" spans="1:18" ht="180" x14ac:dyDescent="0.2">
      <c r="A125" s="281" t="s">
        <v>244</v>
      </c>
      <c r="B125" s="281"/>
      <c r="C125" s="281"/>
      <c r="D125" s="281" t="s">
        <v>42</v>
      </c>
      <c r="E125" s="283">
        <f>E126</f>
        <v>270321689</v>
      </c>
      <c r="F125" s="283">
        <f t="shared" ref="F125" si="100">F126</f>
        <v>270321689</v>
      </c>
      <c r="G125" s="283">
        <f t="shared" ref="G125" si="101">G126</f>
        <v>8116500</v>
      </c>
      <c r="H125" s="283">
        <f>H126</f>
        <v>161600</v>
      </c>
      <c r="I125" s="283">
        <f t="shared" ref="I125" si="102">I126</f>
        <v>0</v>
      </c>
      <c r="J125" s="283">
        <f>J126</f>
        <v>221961647.79000002</v>
      </c>
      <c r="K125" s="283">
        <f>K126</f>
        <v>220506267.31</v>
      </c>
      <c r="L125" s="283">
        <f>L126</f>
        <v>1371000</v>
      </c>
      <c r="M125" s="283">
        <f t="shared" ref="M125" si="103">M126</f>
        <v>0</v>
      </c>
      <c r="N125" s="283">
        <f>N126</f>
        <v>0</v>
      </c>
      <c r="O125" s="283">
        <f>O126</f>
        <v>220590647.79000002</v>
      </c>
      <c r="P125" s="287">
        <f t="shared" ref="P125" si="104">P126</f>
        <v>492283336.79000002</v>
      </c>
    </row>
    <row r="126" spans="1:18" ht="180" x14ac:dyDescent="0.2">
      <c r="A126" s="284" t="s">
        <v>245</v>
      </c>
      <c r="B126" s="284"/>
      <c r="C126" s="284"/>
      <c r="D126" s="284" t="s">
        <v>63</v>
      </c>
      <c r="E126" s="286">
        <f>SUM(E127:E145)</f>
        <v>270321689</v>
      </c>
      <c r="F126" s="286">
        <f>SUM(F127:F145)</f>
        <v>270321689</v>
      </c>
      <c r="G126" s="286">
        <f>SUM(G127:G145)</f>
        <v>8116500</v>
      </c>
      <c r="H126" s="286">
        <f>SUM(H127:H145)</f>
        <v>161600</v>
      </c>
      <c r="I126" s="286">
        <f>SUM(I127:I145)</f>
        <v>0</v>
      </c>
      <c r="J126" s="286">
        <f t="shared" ref="J126:J143" si="105">L126+O126</f>
        <v>221961647.79000002</v>
      </c>
      <c r="K126" s="286">
        <f>SUM(K127:K145)</f>
        <v>220506267.31</v>
      </c>
      <c r="L126" s="286">
        <f>SUM(L127:L145)</f>
        <v>1371000</v>
      </c>
      <c r="M126" s="286">
        <f>SUM(M127:M145)</f>
        <v>0</v>
      </c>
      <c r="N126" s="286">
        <f>SUM(N127:N145)</f>
        <v>0</v>
      </c>
      <c r="O126" s="286">
        <f>SUM(O127:O145)</f>
        <v>220590647.79000002</v>
      </c>
      <c r="P126" s="286">
        <f>E126+J126</f>
        <v>492283336.79000002</v>
      </c>
      <c r="Q126" s="152" t="b">
        <f>P126=P129+P131+P132+P133+P134+P135+P136+P140+P141+P142+P145+P130+P127+P138+P139+P143+P128+P137</f>
        <v>1</v>
      </c>
      <c r="R126" s="154" t="b">
        <f>K126='dod5'!I73</f>
        <v>1</v>
      </c>
    </row>
    <row r="127" spans="1:18" ht="228.75" x14ac:dyDescent="0.2">
      <c r="A127" s="255" t="s">
        <v>738</v>
      </c>
      <c r="B127" s="255" t="s">
        <v>341</v>
      </c>
      <c r="C127" s="255" t="s">
        <v>339</v>
      </c>
      <c r="D127" s="255" t="s">
        <v>340</v>
      </c>
      <c r="E127" s="141">
        <f>F127</f>
        <v>9641900</v>
      </c>
      <c r="F127" s="111">
        <f>(9531200)-49300+160000</f>
        <v>9641900</v>
      </c>
      <c r="G127" s="111">
        <v>7129200</v>
      </c>
      <c r="H127" s="111">
        <v>134000</v>
      </c>
      <c r="I127" s="111"/>
      <c r="J127" s="256">
        <f t="shared" si="105"/>
        <v>0</v>
      </c>
      <c r="K127" s="111"/>
      <c r="L127" s="153"/>
      <c r="M127" s="153"/>
      <c r="N127" s="153"/>
      <c r="O127" s="229">
        <f t="shared" ref="O127:O142" si="106">K127</f>
        <v>0</v>
      </c>
      <c r="P127" s="256">
        <f t="shared" ref="P127:P133" si="107">+J127+E127</f>
        <v>9641900</v>
      </c>
      <c r="Q127" s="152"/>
      <c r="R127" s="154"/>
    </row>
    <row r="128" spans="1:18" ht="91.5" x14ac:dyDescent="0.2">
      <c r="A128" s="255" t="s">
        <v>834</v>
      </c>
      <c r="B128" s="255" t="s">
        <v>71</v>
      </c>
      <c r="C128" s="255" t="s">
        <v>70</v>
      </c>
      <c r="D128" s="255" t="s">
        <v>354</v>
      </c>
      <c r="E128" s="141">
        <f>F128</f>
        <v>49300</v>
      </c>
      <c r="F128" s="111">
        <v>49300</v>
      </c>
      <c r="G128" s="111"/>
      <c r="H128" s="111"/>
      <c r="I128" s="111"/>
      <c r="J128" s="256">
        <f t="shared" ref="J128" si="108">L128+O128</f>
        <v>0</v>
      </c>
      <c r="K128" s="111"/>
      <c r="L128" s="153"/>
      <c r="M128" s="153"/>
      <c r="N128" s="153"/>
      <c r="O128" s="229">
        <f t="shared" ref="O128" si="109">K128</f>
        <v>0</v>
      </c>
      <c r="P128" s="256">
        <f t="shared" ref="P128" si="110">+J128+E128</f>
        <v>49300</v>
      </c>
      <c r="Q128" s="152"/>
      <c r="R128" s="154"/>
    </row>
    <row r="129" spans="1:17" ht="137.25" x14ac:dyDescent="0.2">
      <c r="A129" s="255" t="s">
        <v>417</v>
      </c>
      <c r="B129" s="255" t="s">
        <v>418</v>
      </c>
      <c r="C129" s="255" t="s">
        <v>539</v>
      </c>
      <c r="D129" s="255" t="s">
        <v>419</v>
      </c>
      <c r="E129" s="141">
        <f t="shared" ref="E129:E145" si="111">F129</f>
        <v>50000</v>
      </c>
      <c r="F129" s="111">
        <v>50000</v>
      </c>
      <c r="G129" s="111"/>
      <c r="H129" s="111"/>
      <c r="I129" s="111"/>
      <c r="J129" s="256">
        <f t="shared" si="105"/>
        <v>4550000</v>
      </c>
      <c r="K129" s="111">
        <v>4550000</v>
      </c>
      <c r="L129" s="153"/>
      <c r="M129" s="153"/>
      <c r="N129" s="153"/>
      <c r="O129" s="229">
        <f t="shared" si="106"/>
        <v>4550000</v>
      </c>
      <c r="P129" s="256">
        <f t="shared" si="107"/>
        <v>4600000</v>
      </c>
    </row>
    <row r="130" spans="1:17" ht="137.25" x14ac:dyDescent="0.2">
      <c r="A130" s="255" t="s">
        <v>638</v>
      </c>
      <c r="B130" s="255" t="s">
        <v>639</v>
      </c>
      <c r="C130" s="255" t="s">
        <v>420</v>
      </c>
      <c r="D130" s="255" t="s">
        <v>640</v>
      </c>
      <c r="E130" s="141">
        <f t="shared" si="111"/>
        <v>18000000</v>
      </c>
      <c r="F130" s="111">
        <v>18000000</v>
      </c>
      <c r="G130" s="111"/>
      <c r="H130" s="111"/>
      <c r="I130" s="111"/>
      <c r="J130" s="256">
        <f t="shared" si="105"/>
        <v>0</v>
      </c>
      <c r="K130" s="111"/>
      <c r="L130" s="153"/>
      <c r="M130" s="153"/>
      <c r="N130" s="153"/>
      <c r="O130" s="229">
        <f t="shared" si="106"/>
        <v>0</v>
      </c>
      <c r="P130" s="256">
        <f t="shared" si="107"/>
        <v>18000000</v>
      </c>
    </row>
    <row r="131" spans="1:17" ht="137.25" x14ac:dyDescent="0.2">
      <c r="A131" s="255" t="s">
        <v>424</v>
      </c>
      <c r="B131" s="255" t="s">
        <v>425</v>
      </c>
      <c r="C131" s="255" t="s">
        <v>420</v>
      </c>
      <c r="D131" s="255" t="s">
        <v>426</v>
      </c>
      <c r="E131" s="141">
        <f t="shared" si="111"/>
        <v>10553700</v>
      </c>
      <c r="F131" s="111">
        <f>(5553700)+5000000</f>
        <v>10553700</v>
      </c>
      <c r="G131" s="111"/>
      <c r="H131" s="111"/>
      <c r="I131" s="111"/>
      <c r="J131" s="256">
        <f t="shared" si="105"/>
        <v>0</v>
      </c>
      <c r="K131" s="111"/>
      <c r="L131" s="153"/>
      <c r="M131" s="153"/>
      <c r="N131" s="153"/>
      <c r="O131" s="229">
        <f t="shared" si="106"/>
        <v>0</v>
      </c>
      <c r="P131" s="256">
        <f t="shared" si="107"/>
        <v>10553700</v>
      </c>
    </row>
    <row r="132" spans="1:17" ht="137.25" x14ac:dyDescent="0.2">
      <c r="A132" s="255" t="s">
        <v>447</v>
      </c>
      <c r="B132" s="255" t="s">
        <v>448</v>
      </c>
      <c r="C132" s="255" t="s">
        <v>420</v>
      </c>
      <c r="D132" s="255" t="s">
        <v>449</v>
      </c>
      <c r="E132" s="141">
        <f t="shared" si="111"/>
        <v>0</v>
      </c>
      <c r="F132" s="111"/>
      <c r="G132" s="111"/>
      <c r="H132" s="111"/>
      <c r="I132" s="111"/>
      <c r="J132" s="256">
        <f t="shared" si="105"/>
        <v>5000000</v>
      </c>
      <c r="K132" s="111">
        <v>5000000</v>
      </c>
      <c r="L132" s="153"/>
      <c r="M132" s="153"/>
      <c r="N132" s="153"/>
      <c r="O132" s="229">
        <f t="shared" si="106"/>
        <v>5000000</v>
      </c>
      <c r="P132" s="256">
        <f t="shared" si="107"/>
        <v>5000000</v>
      </c>
    </row>
    <row r="133" spans="1:17" ht="183" x14ac:dyDescent="0.2">
      <c r="A133" s="255" t="s">
        <v>421</v>
      </c>
      <c r="B133" s="255" t="s">
        <v>422</v>
      </c>
      <c r="C133" s="255" t="s">
        <v>420</v>
      </c>
      <c r="D133" s="255" t="s">
        <v>423</v>
      </c>
      <c r="E133" s="141">
        <f t="shared" si="111"/>
        <v>0</v>
      </c>
      <c r="F133" s="111">
        <v>0</v>
      </c>
      <c r="G133" s="111"/>
      <c r="H133" s="111"/>
      <c r="I133" s="111"/>
      <c r="J133" s="256">
        <f t="shared" si="105"/>
        <v>24271028</v>
      </c>
      <c r="K133" s="111">
        <f>(23000000)+271028+1000000</f>
        <v>24271028</v>
      </c>
      <c r="L133" s="153"/>
      <c r="M133" s="153"/>
      <c r="N133" s="153"/>
      <c r="O133" s="229">
        <f t="shared" si="106"/>
        <v>24271028</v>
      </c>
      <c r="P133" s="256">
        <f t="shared" si="107"/>
        <v>24271028</v>
      </c>
    </row>
    <row r="134" spans="1:17" ht="228.75" x14ac:dyDescent="0.2">
      <c r="A134" s="255" t="s">
        <v>441</v>
      </c>
      <c r="B134" s="255" t="s">
        <v>442</v>
      </c>
      <c r="C134" s="255" t="s">
        <v>420</v>
      </c>
      <c r="D134" s="255" t="s">
        <v>443</v>
      </c>
      <c r="E134" s="141">
        <f t="shared" si="111"/>
        <v>470575</v>
      </c>
      <c r="F134" s="111">
        <f>(370575)+100000</f>
        <v>470575</v>
      </c>
      <c r="G134" s="111"/>
      <c r="H134" s="111"/>
      <c r="I134" s="111"/>
      <c r="J134" s="256">
        <f t="shared" si="105"/>
        <v>0</v>
      </c>
      <c r="K134" s="218"/>
      <c r="L134" s="111"/>
      <c r="M134" s="111"/>
      <c r="N134" s="111"/>
      <c r="O134" s="229">
        <f t="shared" si="106"/>
        <v>0</v>
      </c>
      <c r="P134" s="256">
        <f t="shared" ref="P134:P139" si="112">E134+J134</f>
        <v>470575</v>
      </c>
    </row>
    <row r="135" spans="1:17" ht="91.5" x14ac:dyDescent="0.2">
      <c r="A135" s="255" t="s">
        <v>427</v>
      </c>
      <c r="B135" s="255" t="s">
        <v>428</v>
      </c>
      <c r="C135" s="255" t="s">
        <v>420</v>
      </c>
      <c r="D135" s="255" t="s">
        <v>429</v>
      </c>
      <c r="E135" s="141">
        <f t="shared" si="111"/>
        <v>119082180</v>
      </c>
      <c r="F135" s="111">
        <f>(111566028)+7516152</f>
        <v>119082180</v>
      </c>
      <c r="G135" s="111"/>
      <c r="H135" s="111">
        <f>(10000)+5000</f>
        <v>15000</v>
      </c>
      <c r="I135" s="111"/>
      <c r="J135" s="256">
        <f t="shared" si="105"/>
        <v>22370721</v>
      </c>
      <c r="K135" s="218">
        <f>(19160721)+3210000+1000000-1000000</f>
        <v>22370721</v>
      </c>
      <c r="L135" s="111"/>
      <c r="M135" s="111"/>
      <c r="N135" s="111"/>
      <c r="O135" s="229">
        <f t="shared" si="106"/>
        <v>22370721</v>
      </c>
      <c r="P135" s="256">
        <f t="shared" si="112"/>
        <v>141452901</v>
      </c>
    </row>
    <row r="136" spans="1:17" ht="92.25" x14ac:dyDescent="0.2">
      <c r="A136" s="255" t="s">
        <v>451</v>
      </c>
      <c r="B136" s="255" t="s">
        <v>452</v>
      </c>
      <c r="C136" s="255" t="s">
        <v>450</v>
      </c>
      <c r="D136" s="255" t="s">
        <v>453</v>
      </c>
      <c r="E136" s="141">
        <f t="shared" si="111"/>
        <v>0</v>
      </c>
      <c r="F136" s="111"/>
      <c r="G136" s="111"/>
      <c r="H136" s="111"/>
      <c r="I136" s="111"/>
      <c r="J136" s="256">
        <f>L136+O136</f>
        <v>8428600</v>
      </c>
      <c r="K136" s="218">
        <f>((18518000)-4000000-8818000)+2728600</f>
        <v>8428600</v>
      </c>
      <c r="L136" s="111"/>
      <c r="M136" s="111"/>
      <c r="N136" s="111"/>
      <c r="O136" s="229">
        <f>K136</f>
        <v>8428600</v>
      </c>
      <c r="P136" s="256">
        <f t="shared" si="112"/>
        <v>8428600</v>
      </c>
    </row>
    <row r="137" spans="1:17" ht="137.25" x14ac:dyDescent="0.2">
      <c r="A137" s="255" t="s">
        <v>858</v>
      </c>
      <c r="B137" s="255" t="s">
        <v>569</v>
      </c>
      <c r="C137" s="255" t="s">
        <v>256</v>
      </c>
      <c r="D137" s="255" t="s">
        <v>398</v>
      </c>
      <c r="E137" s="141">
        <f t="shared" ref="E137" si="113">F137</f>
        <v>0</v>
      </c>
      <c r="F137" s="111"/>
      <c r="G137" s="111"/>
      <c r="H137" s="111"/>
      <c r="I137" s="111"/>
      <c r="J137" s="256">
        <f>L137+O137</f>
        <v>30278000</v>
      </c>
      <c r="K137" s="218">
        <f>(4000000)-4000000+21460000+8818000</f>
        <v>30278000</v>
      </c>
      <c r="L137" s="111"/>
      <c r="M137" s="111"/>
      <c r="N137" s="111"/>
      <c r="O137" s="229">
        <f>K137</f>
        <v>30278000</v>
      </c>
      <c r="P137" s="256">
        <f t="shared" si="112"/>
        <v>30278000</v>
      </c>
    </row>
    <row r="138" spans="1:17" ht="91.5" x14ac:dyDescent="0.2">
      <c r="A138" s="255" t="s">
        <v>717</v>
      </c>
      <c r="B138" s="255" t="s">
        <v>718</v>
      </c>
      <c r="C138" s="255" t="s">
        <v>719</v>
      </c>
      <c r="D138" s="255" t="s">
        <v>720</v>
      </c>
      <c r="E138" s="141">
        <f t="shared" si="111"/>
        <v>16387634</v>
      </c>
      <c r="F138" s="111">
        <f>(10620634)+5767000</f>
        <v>16387634</v>
      </c>
      <c r="G138" s="111"/>
      <c r="H138" s="111"/>
      <c r="I138" s="111"/>
      <c r="J138" s="256">
        <f t="shared" si="105"/>
        <v>0</v>
      </c>
      <c r="K138" s="218"/>
      <c r="L138" s="111"/>
      <c r="M138" s="111"/>
      <c r="N138" s="111"/>
      <c r="O138" s="229">
        <f t="shared" si="106"/>
        <v>0</v>
      </c>
      <c r="P138" s="256">
        <f t="shared" si="112"/>
        <v>16387634</v>
      </c>
    </row>
    <row r="139" spans="1:17" ht="91.5" x14ac:dyDescent="0.2">
      <c r="A139" s="255" t="s">
        <v>430</v>
      </c>
      <c r="B139" s="255" t="s">
        <v>431</v>
      </c>
      <c r="C139" s="255" t="s">
        <v>433</v>
      </c>
      <c r="D139" s="255" t="s">
        <v>432</v>
      </c>
      <c r="E139" s="141">
        <f t="shared" si="111"/>
        <v>25850135</v>
      </c>
      <c r="F139" s="111">
        <f>(16217135)+9633000</f>
        <v>25850135</v>
      </c>
      <c r="G139" s="111"/>
      <c r="H139" s="111"/>
      <c r="I139" s="111"/>
      <c r="J139" s="256">
        <f t="shared" si="105"/>
        <v>0</v>
      </c>
      <c r="K139" s="218"/>
      <c r="L139" s="111"/>
      <c r="M139" s="111"/>
      <c r="N139" s="111"/>
      <c r="O139" s="229">
        <f t="shared" si="106"/>
        <v>0</v>
      </c>
      <c r="P139" s="256">
        <f t="shared" si="112"/>
        <v>25850135</v>
      </c>
    </row>
    <row r="140" spans="1:17" ht="228.75" x14ac:dyDescent="0.2">
      <c r="A140" s="255" t="s">
        <v>434</v>
      </c>
      <c r="B140" s="255" t="s">
        <v>435</v>
      </c>
      <c r="C140" s="255" t="s">
        <v>437</v>
      </c>
      <c r="D140" s="255" t="s">
        <v>436</v>
      </c>
      <c r="E140" s="141">
        <f t="shared" si="111"/>
        <v>68735275</v>
      </c>
      <c r="F140" s="111">
        <f>(54477425)+14257850</f>
        <v>68735275</v>
      </c>
      <c r="G140" s="111"/>
      <c r="H140" s="111"/>
      <c r="I140" s="111"/>
      <c r="J140" s="256">
        <f t="shared" si="105"/>
        <v>83448169.109999999</v>
      </c>
      <c r="K140" s="111">
        <f>(82763108-570000)+3377030.11-31243.48-250000+31-1000000-500000-372000</f>
        <v>83416925.629999995</v>
      </c>
      <c r="L140" s="153"/>
      <c r="M140" s="153"/>
      <c r="N140" s="153"/>
      <c r="O140" s="229">
        <f>K140+31243.48</f>
        <v>83448169.109999999</v>
      </c>
      <c r="P140" s="256">
        <f>+J140+E140</f>
        <v>152183444.11000001</v>
      </c>
    </row>
    <row r="141" spans="1:17" ht="46.5" x14ac:dyDescent="0.2">
      <c r="A141" s="255" t="s">
        <v>438</v>
      </c>
      <c r="B141" s="255" t="s">
        <v>317</v>
      </c>
      <c r="C141" s="255" t="s">
        <v>318</v>
      </c>
      <c r="D141" s="255" t="s">
        <v>67</v>
      </c>
      <c r="E141" s="141">
        <f t="shared" si="111"/>
        <v>250000</v>
      </c>
      <c r="F141" s="111">
        <v>250000</v>
      </c>
      <c r="G141" s="111"/>
      <c r="H141" s="111"/>
      <c r="I141" s="111"/>
      <c r="J141" s="256">
        <f t="shared" si="105"/>
        <v>1250000</v>
      </c>
      <c r="K141" s="218">
        <f>1000000+250000</f>
        <v>1250000</v>
      </c>
      <c r="L141" s="111"/>
      <c r="M141" s="111"/>
      <c r="N141" s="111"/>
      <c r="O141" s="229">
        <f t="shared" si="106"/>
        <v>1250000</v>
      </c>
      <c r="P141" s="256">
        <f>E141+J141</f>
        <v>1500000</v>
      </c>
    </row>
    <row r="142" spans="1:17" ht="91.5" x14ac:dyDescent="0.65">
      <c r="A142" s="255" t="s">
        <v>455</v>
      </c>
      <c r="B142" s="255" t="s">
        <v>293</v>
      </c>
      <c r="C142" s="255" t="s">
        <v>256</v>
      </c>
      <c r="D142" s="255" t="s">
        <v>57</v>
      </c>
      <c r="E142" s="141">
        <f t="shared" si="111"/>
        <v>0</v>
      </c>
      <c r="F142" s="111"/>
      <c r="G142" s="111"/>
      <c r="H142" s="111"/>
      <c r="I142" s="111"/>
      <c r="J142" s="256">
        <f t="shared" si="105"/>
        <v>40940992.68</v>
      </c>
      <c r="K142" s="218">
        <f>((8180115+557370)+91328.68+30690210+250000-31+372000+500000)+300000</f>
        <v>40940992.68</v>
      </c>
      <c r="L142" s="111"/>
      <c r="M142" s="111"/>
      <c r="N142" s="111"/>
      <c r="O142" s="229">
        <f t="shared" si="106"/>
        <v>40940992.68</v>
      </c>
      <c r="P142" s="256">
        <f>E142+J142</f>
        <v>40940992.68</v>
      </c>
      <c r="Q142" s="164"/>
    </row>
    <row r="143" spans="1:17" ht="409.5" x14ac:dyDescent="0.2">
      <c r="A143" s="425" t="s">
        <v>745</v>
      </c>
      <c r="B143" s="425" t="s">
        <v>535</v>
      </c>
      <c r="C143" s="425" t="s">
        <v>256</v>
      </c>
      <c r="D143" s="222" t="s">
        <v>546</v>
      </c>
      <c r="E143" s="421">
        <f t="shared" si="111"/>
        <v>0</v>
      </c>
      <c r="F143" s="407"/>
      <c r="G143" s="407"/>
      <c r="H143" s="407"/>
      <c r="I143" s="407"/>
      <c r="J143" s="417">
        <f t="shared" si="105"/>
        <v>1424137</v>
      </c>
      <c r="K143" s="407"/>
      <c r="L143" s="407">
        <v>1371000</v>
      </c>
      <c r="M143" s="407"/>
      <c r="N143" s="407"/>
      <c r="O143" s="409">
        <f>K143+53137</f>
        <v>53137</v>
      </c>
      <c r="P143" s="421">
        <f>E143+J143</f>
        <v>1424137</v>
      </c>
      <c r="Q143" s="240">
        <f>P143</f>
        <v>1424137</v>
      </c>
    </row>
    <row r="144" spans="1:17" ht="137.25" x14ac:dyDescent="0.65">
      <c r="A144" s="431"/>
      <c r="B144" s="431"/>
      <c r="C144" s="431"/>
      <c r="D144" s="223" t="s">
        <v>547</v>
      </c>
      <c r="E144" s="430"/>
      <c r="F144" s="408"/>
      <c r="G144" s="408"/>
      <c r="H144" s="408"/>
      <c r="I144" s="408"/>
      <c r="J144" s="418"/>
      <c r="K144" s="408"/>
      <c r="L144" s="408"/>
      <c r="M144" s="408"/>
      <c r="N144" s="408"/>
      <c r="O144" s="410"/>
      <c r="P144" s="430"/>
      <c r="Q144" s="164"/>
    </row>
    <row r="145" spans="1:18" ht="91.5" x14ac:dyDescent="0.2">
      <c r="A145" s="255" t="s">
        <v>385</v>
      </c>
      <c r="B145" s="255" t="s">
        <v>386</v>
      </c>
      <c r="C145" s="255" t="s">
        <v>387</v>
      </c>
      <c r="D145" s="255" t="s">
        <v>384</v>
      </c>
      <c r="E145" s="141">
        <f t="shared" si="111"/>
        <v>1250990</v>
      </c>
      <c r="F145" s="111">
        <v>1250990</v>
      </c>
      <c r="G145" s="111">
        <f>843750+143550</f>
        <v>987300</v>
      </c>
      <c r="H145" s="111">
        <v>12600</v>
      </c>
      <c r="I145" s="111"/>
      <c r="J145" s="256">
        <f>L145+O145</f>
        <v>0</v>
      </c>
      <c r="K145" s="218"/>
      <c r="L145" s="111"/>
      <c r="M145" s="111"/>
      <c r="N145" s="111"/>
      <c r="O145" s="229">
        <f>K145</f>
        <v>0</v>
      </c>
      <c r="P145" s="256">
        <f>E145+J145</f>
        <v>1250990</v>
      </c>
    </row>
    <row r="146" spans="1:18" ht="270" x14ac:dyDescent="0.2">
      <c r="A146" s="281" t="s">
        <v>44</v>
      </c>
      <c r="B146" s="281"/>
      <c r="C146" s="281"/>
      <c r="D146" s="281" t="s">
        <v>632</v>
      </c>
      <c r="E146" s="283">
        <f>E147</f>
        <v>3017500</v>
      </c>
      <c r="F146" s="283">
        <f t="shared" ref="F146" si="114">F147</f>
        <v>3017500</v>
      </c>
      <c r="G146" s="283">
        <f t="shared" ref="G146" si="115">G147</f>
        <v>1776300</v>
      </c>
      <c r="H146" s="283">
        <f>H147</f>
        <v>100000</v>
      </c>
      <c r="I146" s="283">
        <f t="shared" ref="I146" si="116">I147</f>
        <v>0</v>
      </c>
      <c r="J146" s="283">
        <f>J147</f>
        <v>81063600</v>
      </c>
      <c r="K146" s="283">
        <f>K147</f>
        <v>81063600</v>
      </c>
      <c r="L146" s="283">
        <f>L147</f>
        <v>0</v>
      </c>
      <c r="M146" s="283">
        <f t="shared" ref="M146" si="117">M147</f>
        <v>0</v>
      </c>
      <c r="N146" s="283">
        <f>N147</f>
        <v>0</v>
      </c>
      <c r="O146" s="283">
        <f>O147</f>
        <v>81063600</v>
      </c>
      <c r="P146" s="287">
        <f t="shared" ref="P146" si="118">P147</f>
        <v>84081100</v>
      </c>
    </row>
    <row r="147" spans="1:18" ht="270" x14ac:dyDescent="0.2">
      <c r="A147" s="284" t="s">
        <v>45</v>
      </c>
      <c r="B147" s="284"/>
      <c r="C147" s="284"/>
      <c r="D147" s="284" t="s">
        <v>631</v>
      </c>
      <c r="E147" s="286">
        <f>SUM(E148:E154)</f>
        <v>3017500</v>
      </c>
      <c r="F147" s="286">
        <f t="shared" ref="F147:K147" si="119">SUM(F148:F154)</f>
        <v>3017500</v>
      </c>
      <c r="G147" s="286">
        <f t="shared" si="119"/>
        <v>1776300</v>
      </c>
      <c r="H147" s="286">
        <f t="shared" si="119"/>
        <v>100000</v>
      </c>
      <c r="I147" s="286">
        <f t="shared" si="119"/>
        <v>0</v>
      </c>
      <c r="J147" s="286">
        <f t="shared" ref="J147:J154" si="120">L147+O147</f>
        <v>81063600</v>
      </c>
      <c r="K147" s="286">
        <f t="shared" si="119"/>
        <v>81063600</v>
      </c>
      <c r="L147" s="286">
        <f t="shared" ref="L147" si="121">SUM(L148:L154)</f>
        <v>0</v>
      </c>
      <c r="M147" s="286">
        <f t="shared" ref="M147" si="122">SUM(M148:M154)</f>
        <v>0</v>
      </c>
      <c r="N147" s="286">
        <f t="shared" ref="N147" si="123">SUM(N148:N154)</f>
        <v>0</v>
      </c>
      <c r="O147" s="286">
        <f t="shared" ref="O147" si="124">SUM(O148:O154)</f>
        <v>81063600</v>
      </c>
      <c r="P147" s="286">
        <f t="shared" ref="P147:P154" si="125">E147+J147</f>
        <v>84081100</v>
      </c>
      <c r="Q147" s="152" t="b">
        <f>P147=P151+P152+P153+P148+P149+P154+P150</f>
        <v>1</v>
      </c>
      <c r="R147" s="154" t="b">
        <f>K147='dod5'!I125</f>
        <v>1</v>
      </c>
    </row>
    <row r="148" spans="1:18" ht="228.75" x14ac:dyDescent="0.2">
      <c r="A148" s="255" t="s">
        <v>734</v>
      </c>
      <c r="B148" s="255" t="s">
        <v>341</v>
      </c>
      <c r="C148" s="255" t="s">
        <v>339</v>
      </c>
      <c r="D148" s="255" t="s">
        <v>340</v>
      </c>
      <c r="E148" s="256">
        <f>F148</f>
        <v>2461800</v>
      </c>
      <c r="F148" s="218">
        <f>(2696500)-289700+55000</f>
        <v>2461800</v>
      </c>
      <c r="G148" s="218">
        <v>1776300</v>
      </c>
      <c r="H148" s="218">
        <v>100000</v>
      </c>
      <c r="I148" s="218"/>
      <c r="J148" s="256">
        <f t="shared" si="120"/>
        <v>10400</v>
      </c>
      <c r="K148" s="218">
        <v>10400</v>
      </c>
      <c r="L148" s="218"/>
      <c r="M148" s="218"/>
      <c r="N148" s="218"/>
      <c r="O148" s="229">
        <f>K148</f>
        <v>10400</v>
      </c>
      <c r="P148" s="256">
        <f t="shared" si="125"/>
        <v>2472200</v>
      </c>
      <c r="Q148" s="152"/>
      <c r="R148" s="154" t="b">
        <f>K148='dod5'!I127</f>
        <v>1</v>
      </c>
    </row>
    <row r="149" spans="1:18" ht="91.5" x14ac:dyDescent="0.2">
      <c r="A149" s="255" t="s">
        <v>831</v>
      </c>
      <c r="B149" s="255" t="s">
        <v>71</v>
      </c>
      <c r="C149" s="255" t="s">
        <v>70</v>
      </c>
      <c r="D149" s="255" t="s">
        <v>354</v>
      </c>
      <c r="E149" s="256">
        <f t="shared" ref="E149:E150" si="126">F149</f>
        <v>555700</v>
      </c>
      <c r="F149" s="218">
        <f>289700+266000</f>
        <v>555700</v>
      </c>
      <c r="G149" s="218"/>
      <c r="H149" s="218"/>
      <c r="I149" s="218"/>
      <c r="J149" s="256">
        <f t="shared" si="120"/>
        <v>0</v>
      </c>
      <c r="K149" s="218"/>
      <c r="L149" s="218"/>
      <c r="M149" s="218"/>
      <c r="N149" s="218"/>
      <c r="O149" s="229">
        <f t="shared" ref="O149:O150" si="127">K149</f>
        <v>0</v>
      </c>
      <c r="P149" s="256">
        <f t="shared" si="125"/>
        <v>555700</v>
      </c>
      <c r="Q149" s="152"/>
      <c r="R149" s="154"/>
    </row>
    <row r="150" spans="1:18" ht="320.25" x14ac:dyDescent="0.2">
      <c r="A150" s="255" t="s">
        <v>836</v>
      </c>
      <c r="B150" s="255" t="s">
        <v>838</v>
      </c>
      <c r="C150" s="255" t="s">
        <v>291</v>
      </c>
      <c r="D150" s="255" t="s">
        <v>837</v>
      </c>
      <c r="E150" s="256">
        <f t="shared" si="126"/>
        <v>0</v>
      </c>
      <c r="F150" s="218"/>
      <c r="G150" s="218"/>
      <c r="H150" s="218"/>
      <c r="I150" s="218"/>
      <c r="J150" s="256">
        <f t="shared" si="120"/>
        <v>28287000</v>
      </c>
      <c r="K150" s="218">
        <f>(4500000+4000000)+19787000</f>
        <v>28287000</v>
      </c>
      <c r="L150" s="218"/>
      <c r="M150" s="218"/>
      <c r="N150" s="218"/>
      <c r="O150" s="229">
        <f t="shared" si="127"/>
        <v>28287000</v>
      </c>
      <c r="P150" s="256">
        <f t="shared" si="125"/>
        <v>28287000</v>
      </c>
      <c r="Q150" s="152"/>
      <c r="R150" s="154"/>
    </row>
    <row r="151" spans="1:18" ht="91.5" x14ac:dyDescent="0.2">
      <c r="A151" s="255" t="s">
        <v>469</v>
      </c>
      <c r="B151" s="255" t="s">
        <v>470</v>
      </c>
      <c r="C151" s="255" t="s">
        <v>450</v>
      </c>
      <c r="D151" s="255" t="s">
        <v>468</v>
      </c>
      <c r="E151" s="256">
        <f t="shared" ref="E151:E152" si="128">F151</f>
        <v>0</v>
      </c>
      <c r="F151" s="218"/>
      <c r="G151" s="218"/>
      <c r="H151" s="218"/>
      <c r="I151" s="218"/>
      <c r="J151" s="256">
        <f t="shared" si="120"/>
        <v>20100000</v>
      </c>
      <c r="K151" s="218">
        <f>(37000000-20000000+6700000)-3600000</f>
        <v>20100000</v>
      </c>
      <c r="L151" s="218"/>
      <c r="M151" s="218"/>
      <c r="N151" s="218"/>
      <c r="O151" s="229">
        <f>K151</f>
        <v>20100000</v>
      </c>
      <c r="P151" s="256">
        <f t="shared" si="125"/>
        <v>20100000</v>
      </c>
    </row>
    <row r="152" spans="1:18" ht="137.25" x14ac:dyDescent="0.2">
      <c r="A152" s="255" t="s">
        <v>471</v>
      </c>
      <c r="B152" s="255" t="s">
        <v>472</v>
      </c>
      <c r="C152" s="255" t="s">
        <v>450</v>
      </c>
      <c r="D152" s="255" t="s">
        <v>473</v>
      </c>
      <c r="E152" s="256">
        <f t="shared" si="128"/>
        <v>0</v>
      </c>
      <c r="F152" s="218"/>
      <c r="G152" s="218"/>
      <c r="H152" s="218"/>
      <c r="I152" s="218"/>
      <c r="J152" s="256">
        <f t="shared" si="120"/>
        <v>500000</v>
      </c>
      <c r="K152" s="218">
        <f>(4500000+1400000-4500000)-900000</f>
        <v>500000</v>
      </c>
      <c r="L152" s="218"/>
      <c r="M152" s="218"/>
      <c r="N152" s="218"/>
      <c r="O152" s="229">
        <f>K152</f>
        <v>500000</v>
      </c>
      <c r="P152" s="256">
        <f t="shared" si="125"/>
        <v>500000</v>
      </c>
    </row>
    <row r="153" spans="1:18" ht="91.5" x14ac:dyDescent="0.2">
      <c r="A153" s="255" t="s">
        <v>474</v>
      </c>
      <c r="B153" s="255" t="s">
        <v>475</v>
      </c>
      <c r="C153" s="255" t="s">
        <v>450</v>
      </c>
      <c r="D153" s="255" t="s">
        <v>843</v>
      </c>
      <c r="E153" s="256">
        <f>F153</f>
        <v>0</v>
      </c>
      <c r="F153" s="218"/>
      <c r="G153" s="218"/>
      <c r="H153" s="218"/>
      <c r="I153" s="218"/>
      <c r="J153" s="256">
        <f t="shared" si="120"/>
        <v>11166200</v>
      </c>
      <c r="K153" s="218">
        <f>(11500000+1666200)-2000000</f>
        <v>11166200</v>
      </c>
      <c r="L153" s="218"/>
      <c r="M153" s="218"/>
      <c r="N153" s="218"/>
      <c r="O153" s="229">
        <f>K153</f>
        <v>11166200</v>
      </c>
      <c r="P153" s="256">
        <f t="shared" si="125"/>
        <v>11166200</v>
      </c>
    </row>
    <row r="154" spans="1:18" ht="137.25" x14ac:dyDescent="0.2">
      <c r="A154" s="255" t="s">
        <v>948</v>
      </c>
      <c r="B154" s="255" t="s">
        <v>569</v>
      </c>
      <c r="C154" s="255" t="s">
        <v>256</v>
      </c>
      <c r="D154" s="255" t="s">
        <v>398</v>
      </c>
      <c r="E154" s="256">
        <f>F154</f>
        <v>0</v>
      </c>
      <c r="F154" s="218"/>
      <c r="G154" s="218"/>
      <c r="H154" s="218"/>
      <c r="I154" s="218"/>
      <c r="J154" s="256">
        <f t="shared" si="120"/>
        <v>21000000</v>
      </c>
      <c r="K154" s="218">
        <f>(20000000+5000000+1000000)-5000000</f>
        <v>21000000</v>
      </c>
      <c r="L154" s="218"/>
      <c r="M154" s="218"/>
      <c r="N154" s="218"/>
      <c r="O154" s="229">
        <f>K154</f>
        <v>21000000</v>
      </c>
      <c r="P154" s="256">
        <f t="shared" si="125"/>
        <v>21000000</v>
      </c>
    </row>
    <row r="155" spans="1:18" ht="225" x14ac:dyDescent="0.2">
      <c r="A155" s="281" t="s">
        <v>246</v>
      </c>
      <c r="B155" s="281"/>
      <c r="C155" s="281"/>
      <c r="D155" s="281" t="s">
        <v>46</v>
      </c>
      <c r="E155" s="283">
        <f>E156</f>
        <v>3935500</v>
      </c>
      <c r="F155" s="283">
        <f t="shared" ref="F155" si="129">F156</f>
        <v>3935500</v>
      </c>
      <c r="G155" s="283">
        <f t="shared" ref="G155" si="130">G156</f>
        <v>2850700</v>
      </c>
      <c r="H155" s="283">
        <f>H156</f>
        <v>107000</v>
      </c>
      <c r="I155" s="283">
        <f t="shared" ref="I155" si="131">I156</f>
        <v>0</v>
      </c>
      <c r="J155" s="283">
        <f>J156</f>
        <v>500000</v>
      </c>
      <c r="K155" s="283">
        <f>K156</f>
        <v>500000</v>
      </c>
      <c r="L155" s="283">
        <f>L156</f>
        <v>0</v>
      </c>
      <c r="M155" s="283">
        <f t="shared" ref="M155" si="132">M156</f>
        <v>0</v>
      </c>
      <c r="N155" s="283">
        <f>N156</f>
        <v>0</v>
      </c>
      <c r="O155" s="283">
        <f>O156</f>
        <v>500000</v>
      </c>
      <c r="P155" s="287">
        <f t="shared" ref="P155" si="133">P156</f>
        <v>4435500</v>
      </c>
    </row>
    <row r="156" spans="1:18" ht="225" x14ac:dyDescent="0.2">
      <c r="A156" s="284" t="s">
        <v>247</v>
      </c>
      <c r="B156" s="284"/>
      <c r="C156" s="284"/>
      <c r="D156" s="284" t="s">
        <v>64</v>
      </c>
      <c r="E156" s="286">
        <f>SUM(E157:E158)</f>
        <v>3935500</v>
      </c>
      <c r="F156" s="286">
        <f t="shared" ref="F156:O156" si="134">SUM(F157:F158)</f>
        <v>3935500</v>
      </c>
      <c r="G156" s="286">
        <f t="shared" si="134"/>
        <v>2850700</v>
      </c>
      <c r="H156" s="286">
        <f t="shared" si="134"/>
        <v>107000</v>
      </c>
      <c r="I156" s="286">
        <f t="shared" si="134"/>
        <v>0</v>
      </c>
      <c r="J156" s="286">
        <f>L156+O156</f>
        <v>500000</v>
      </c>
      <c r="K156" s="286">
        <f t="shared" si="134"/>
        <v>500000</v>
      </c>
      <c r="L156" s="286">
        <f t="shared" si="134"/>
        <v>0</v>
      </c>
      <c r="M156" s="286">
        <f t="shared" si="134"/>
        <v>0</v>
      </c>
      <c r="N156" s="286">
        <f t="shared" si="134"/>
        <v>0</v>
      </c>
      <c r="O156" s="286">
        <f t="shared" si="134"/>
        <v>500000</v>
      </c>
      <c r="P156" s="286">
        <f>E156+J156</f>
        <v>4435500</v>
      </c>
      <c r="Q156" s="152" t="b">
        <f>P156=P158+P157</f>
        <v>1</v>
      </c>
      <c r="R156" s="154" t="b">
        <f>K156='dod5'!I149</f>
        <v>1</v>
      </c>
    </row>
    <row r="157" spans="1:18" ht="228.75" x14ac:dyDescent="0.2">
      <c r="A157" s="255" t="s">
        <v>736</v>
      </c>
      <c r="B157" s="255" t="s">
        <v>341</v>
      </c>
      <c r="C157" s="255" t="s">
        <v>339</v>
      </c>
      <c r="D157" s="255" t="s">
        <v>340</v>
      </c>
      <c r="E157" s="256">
        <f>F157</f>
        <v>3935500</v>
      </c>
      <c r="F157" s="218">
        <f>(3880500)+55000</f>
        <v>3935500</v>
      </c>
      <c r="G157" s="218">
        <v>2850700</v>
      </c>
      <c r="H157" s="218">
        <v>107000</v>
      </c>
      <c r="I157" s="218"/>
      <c r="J157" s="256">
        <f>L157+O157</f>
        <v>0</v>
      </c>
      <c r="K157" s="218"/>
      <c r="L157" s="218"/>
      <c r="M157" s="218"/>
      <c r="N157" s="218"/>
      <c r="O157" s="229">
        <f>K157</f>
        <v>0</v>
      </c>
      <c r="P157" s="256">
        <f>E157+J157</f>
        <v>3935500</v>
      </c>
      <c r="Q157" s="152"/>
      <c r="R157" s="154"/>
    </row>
    <row r="158" spans="1:18" ht="137.25" x14ac:dyDescent="0.2">
      <c r="A158" s="255" t="s">
        <v>460</v>
      </c>
      <c r="B158" s="255" t="s">
        <v>461</v>
      </c>
      <c r="C158" s="255" t="s">
        <v>450</v>
      </c>
      <c r="D158" s="255" t="s">
        <v>462</v>
      </c>
      <c r="E158" s="256">
        <f>F158</f>
        <v>0</v>
      </c>
      <c r="F158" s="218">
        <v>0</v>
      </c>
      <c r="G158" s="218"/>
      <c r="H158" s="218"/>
      <c r="I158" s="218"/>
      <c r="J158" s="256">
        <f>L158+O158</f>
        <v>500000</v>
      </c>
      <c r="K158" s="218">
        <f>(2000000)-1500000</f>
        <v>500000</v>
      </c>
      <c r="L158" s="218"/>
      <c r="M158" s="218"/>
      <c r="N158" s="218"/>
      <c r="O158" s="229">
        <f>K158</f>
        <v>500000</v>
      </c>
      <c r="P158" s="256">
        <f>E158+J158</f>
        <v>500000</v>
      </c>
    </row>
    <row r="159" spans="1:18" ht="135" x14ac:dyDescent="0.2">
      <c r="A159" s="281" t="s">
        <v>252</v>
      </c>
      <c r="B159" s="281"/>
      <c r="C159" s="281"/>
      <c r="D159" s="281" t="s">
        <v>574</v>
      </c>
      <c r="E159" s="283">
        <f>E160</f>
        <v>5969845</v>
      </c>
      <c r="F159" s="283">
        <f t="shared" ref="F159" si="135">F160</f>
        <v>5969845</v>
      </c>
      <c r="G159" s="283">
        <f t="shared" ref="G159" si="136">G160</f>
        <v>0</v>
      </c>
      <c r="H159" s="283">
        <f>H160</f>
        <v>0</v>
      </c>
      <c r="I159" s="283">
        <f t="shared" ref="I159" si="137">I160</f>
        <v>0</v>
      </c>
      <c r="J159" s="283">
        <f>J160</f>
        <v>2370000</v>
      </c>
      <c r="K159" s="283">
        <f>K160</f>
        <v>2370000</v>
      </c>
      <c r="L159" s="283">
        <f>L160</f>
        <v>0</v>
      </c>
      <c r="M159" s="283">
        <f t="shared" ref="M159" si="138">M160</f>
        <v>0</v>
      </c>
      <c r="N159" s="283">
        <f>N160</f>
        <v>0</v>
      </c>
      <c r="O159" s="283">
        <f>O160</f>
        <v>2370000</v>
      </c>
      <c r="P159" s="287">
        <f t="shared" ref="P159" si="139">P160</f>
        <v>8339845</v>
      </c>
    </row>
    <row r="160" spans="1:18" ht="135" x14ac:dyDescent="0.2">
      <c r="A160" s="284" t="s">
        <v>253</v>
      </c>
      <c r="B160" s="284"/>
      <c r="C160" s="284"/>
      <c r="D160" s="284" t="s">
        <v>575</v>
      </c>
      <c r="E160" s="286">
        <f>SUM(E161:E165)</f>
        <v>5969845</v>
      </c>
      <c r="F160" s="286">
        <f t="shared" ref="F160:K160" si="140">SUM(F161:F165)</f>
        <v>5969845</v>
      </c>
      <c r="G160" s="286">
        <f t="shared" si="140"/>
        <v>0</v>
      </c>
      <c r="H160" s="286">
        <f t="shared" si="140"/>
        <v>0</v>
      </c>
      <c r="I160" s="286">
        <f t="shared" si="140"/>
        <v>0</v>
      </c>
      <c r="J160" s="286">
        <f t="shared" ref="J160:J165" si="141">L160+O160</f>
        <v>2370000</v>
      </c>
      <c r="K160" s="286">
        <f t="shared" si="140"/>
        <v>2370000</v>
      </c>
      <c r="L160" s="286">
        <f t="shared" ref="L160" si="142">SUM(L161:L165)</f>
        <v>0</v>
      </c>
      <c r="M160" s="286">
        <f t="shared" ref="M160" si="143">SUM(M161:M165)</f>
        <v>0</v>
      </c>
      <c r="N160" s="286">
        <f t="shared" ref="N160:O160" si="144">SUM(N161:N165)</f>
        <v>0</v>
      </c>
      <c r="O160" s="286">
        <f t="shared" si="144"/>
        <v>2370000</v>
      </c>
      <c r="P160" s="286">
        <f t="shared" ref="P160:P165" si="145">E160+J160</f>
        <v>8339845</v>
      </c>
      <c r="Q160" s="152" t="b">
        <f>P160=P161+P162+P163+P164+P165</f>
        <v>1</v>
      </c>
      <c r="R160" s="154" t="b">
        <f>K160='dod5'!I155</f>
        <v>1</v>
      </c>
    </row>
    <row r="161" spans="1:18" ht="137.25" hidden="1" x14ac:dyDescent="0.2">
      <c r="A161" s="255" t="s">
        <v>568</v>
      </c>
      <c r="B161" s="255" t="s">
        <v>569</v>
      </c>
      <c r="C161" s="255" t="s">
        <v>256</v>
      </c>
      <c r="D161" s="255" t="s">
        <v>398</v>
      </c>
      <c r="E161" s="256">
        <f>F161</f>
        <v>0</v>
      </c>
      <c r="F161" s="218"/>
      <c r="G161" s="218"/>
      <c r="H161" s="218"/>
      <c r="I161" s="218"/>
      <c r="J161" s="256">
        <f t="shared" si="141"/>
        <v>0</v>
      </c>
      <c r="K161" s="218">
        <f>(2000000)-2000000</f>
        <v>0</v>
      </c>
      <c r="L161" s="218"/>
      <c r="M161" s="218"/>
      <c r="N161" s="218"/>
      <c r="O161" s="229">
        <f>K161</f>
        <v>0</v>
      </c>
      <c r="P161" s="256">
        <f t="shared" si="145"/>
        <v>0</v>
      </c>
      <c r="R161" s="154"/>
    </row>
    <row r="162" spans="1:18" ht="91.5" x14ac:dyDescent="0.2">
      <c r="A162" s="255" t="s">
        <v>396</v>
      </c>
      <c r="B162" s="255" t="s">
        <v>397</v>
      </c>
      <c r="C162" s="255" t="s">
        <v>395</v>
      </c>
      <c r="D162" s="255" t="s">
        <v>394</v>
      </c>
      <c r="E162" s="256">
        <f t="shared" ref="E162:E165" si="146">F162</f>
        <v>3147649.48</v>
      </c>
      <c r="F162" s="218">
        <f>((2656650)+828350-240000+40000)-37350.52-100000</f>
        <v>3147649.48</v>
      </c>
      <c r="G162" s="218"/>
      <c r="H162" s="218"/>
      <c r="I162" s="218"/>
      <c r="J162" s="256">
        <f t="shared" si="141"/>
        <v>870000</v>
      </c>
      <c r="K162" s="218">
        <f>((570000)+200000)+100000</f>
        <v>870000</v>
      </c>
      <c r="L162" s="218"/>
      <c r="M162" s="218"/>
      <c r="N162" s="218"/>
      <c r="O162" s="229">
        <f>K162</f>
        <v>870000</v>
      </c>
      <c r="P162" s="256">
        <f t="shared" si="145"/>
        <v>4017649.48</v>
      </c>
      <c r="R162" s="154" t="b">
        <f>K162='dod5'!I157</f>
        <v>1</v>
      </c>
    </row>
    <row r="163" spans="1:18" ht="137.25" x14ac:dyDescent="0.2">
      <c r="A163" s="255" t="s">
        <v>388</v>
      </c>
      <c r="B163" s="255" t="s">
        <v>390</v>
      </c>
      <c r="C163" s="255" t="s">
        <v>318</v>
      </c>
      <c r="D163" s="255" t="s">
        <v>389</v>
      </c>
      <c r="E163" s="256">
        <f t="shared" si="146"/>
        <v>420000</v>
      </c>
      <c r="F163" s="218">
        <v>420000</v>
      </c>
      <c r="G163" s="218"/>
      <c r="H163" s="218"/>
      <c r="I163" s="218"/>
      <c r="J163" s="256">
        <f t="shared" si="141"/>
        <v>0</v>
      </c>
      <c r="K163" s="218"/>
      <c r="L163" s="218"/>
      <c r="M163" s="218"/>
      <c r="N163" s="218"/>
      <c r="O163" s="229">
        <f>K163</f>
        <v>0</v>
      </c>
      <c r="P163" s="256">
        <f t="shared" si="145"/>
        <v>420000</v>
      </c>
      <c r="R163" s="154"/>
    </row>
    <row r="164" spans="1:18" ht="91.5" x14ac:dyDescent="0.2">
      <c r="A164" s="255" t="s">
        <v>392</v>
      </c>
      <c r="B164" s="255" t="s">
        <v>393</v>
      </c>
      <c r="C164" s="255" t="s">
        <v>256</v>
      </c>
      <c r="D164" s="255" t="s">
        <v>391</v>
      </c>
      <c r="E164" s="256">
        <f t="shared" si="146"/>
        <v>2402195.52</v>
      </c>
      <c r="F164" s="218">
        <f>((1794000)+800000-100000)+37350.52-129155</f>
        <v>2402195.52</v>
      </c>
      <c r="G164" s="218"/>
      <c r="H164" s="218"/>
      <c r="I164" s="218"/>
      <c r="J164" s="256">
        <f t="shared" si="141"/>
        <v>200000</v>
      </c>
      <c r="K164" s="218">
        <f>200000+1000000-1000000</f>
        <v>200000</v>
      </c>
      <c r="L164" s="218"/>
      <c r="M164" s="218"/>
      <c r="N164" s="218"/>
      <c r="O164" s="229">
        <f>K164</f>
        <v>200000</v>
      </c>
      <c r="P164" s="256">
        <f t="shared" si="145"/>
        <v>2602195.52</v>
      </c>
      <c r="R164" s="154" t="b">
        <f>K164='dod5'!I158</f>
        <v>1</v>
      </c>
    </row>
    <row r="165" spans="1:18" ht="91.5" x14ac:dyDescent="0.2">
      <c r="A165" s="255" t="s">
        <v>919</v>
      </c>
      <c r="B165" s="255" t="s">
        <v>598</v>
      </c>
      <c r="C165" s="255" t="s">
        <v>71</v>
      </c>
      <c r="D165" s="255" t="s">
        <v>599</v>
      </c>
      <c r="E165" s="256">
        <f t="shared" si="146"/>
        <v>0</v>
      </c>
      <c r="F165" s="218"/>
      <c r="G165" s="218"/>
      <c r="H165" s="218"/>
      <c r="I165" s="218"/>
      <c r="J165" s="256">
        <f t="shared" si="141"/>
        <v>1300000</v>
      </c>
      <c r="K165" s="218">
        <f>500000+1000000-1000000+800000</f>
        <v>1300000</v>
      </c>
      <c r="L165" s="218"/>
      <c r="M165" s="218"/>
      <c r="N165" s="218"/>
      <c r="O165" s="229">
        <f>K165</f>
        <v>1300000</v>
      </c>
      <c r="P165" s="256">
        <f t="shared" si="145"/>
        <v>1300000</v>
      </c>
      <c r="R165" s="154" t="b">
        <f>K165='dod5'!I160+'dod5'!I159</f>
        <v>1</v>
      </c>
    </row>
    <row r="166" spans="1:18" ht="135" x14ac:dyDescent="0.2">
      <c r="A166" s="281" t="s">
        <v>250</v>
      </c>
      <c r="B166" s="281"/>
      <c r="C166" s="281"/>
      <c r="D166" s="281" t="s">
        <v>47</v>
      </c>
      <c r="E166" s="283">
        <f>E167</f>
        <v>4258100</v>
      </c>
      <c r="F166" s="283">
        <f t="shared" ref="F166" si="147">F167</f>
        <v>4258100</v>
      </c>
      <c r="G166" s="283">
        <f t="shared" ref="G166" si="148">G167</f>
        <v>3166500</v>
      </c>
      <c r="H166" s="283">
        <f>H167</f>
        <v>119916</v>
      </c>
      <c r="I166" s="283">
        <f t="shared" ref="I166" si="149">I167</f>
        <v>0</v>
      </c>
      <c r="J166" s="283">
        <f>J167</f>
        <v>990905.96</v>
      </c>
      <c r="K166" s="283">
        <f>K167</f>
        <v>0</v>
      </c>
      <c r="L166" s="283">
        <f>L167</f>
        <v>408505.96</v>
      </c>
      <c r="M166" s="283">
        <f t="shared" ref="M166" si="150">M167</f>
        <v>0</v>
      </c>
      <c r="N166" s="283">
        <f>N167</f>
        <v>0</v>
      </c>
      <c r="O166" s="283">
        <f>O167</f>
        <v>582400</v>
      </c>
      <c r="P166" s="287">
        <f t="shared" ref="P166" si="151">P167</f>
        <v>5249005.96</v>
      </c>
    </row>
    <row r="167" spans="1:18" ht="180" x14ac:dyDescent="0.2">
      <c r="A167" s="284" t="s">
        <v>251</v>
      </c>
      <c r="B167" s="284"/>
      <c r="C167" s="284"/>
      <c r="D167" s="284" t="s">
        <v>65</v>
      </c>
      <c r="E167" s="286">
        <f t="shared" ref="E167:N167" si="152">SUM(E168:E171)</f>
        <v>4258100</v>
      </c>
      <c r="F167" s="286">
        <f t="shared" si="152"/>
        <v>4258100</v>
      </c>
      <c r="G167" s="286">
        <f t="shared" si="152"/>
        <v>3166500</v>
      </c>
      <c r="H167" s="286">
        <f t="shared" si="152"/>
        <v>119916</v>
      </c>
      <c r="I167" s="286">
        <f t="shared" si="152"/>
        <v>0</v>
      </c>
      <c r="J167" s="286">
        <f>L167+O167</f>
        <v>990905.96</v>
      </c>
      <c r="K167" s="286">
        <f t="shared" si="152"/>
        <v>0</v>
      </c>
      <c r="L167" s="286">
        <f t="shared" si="152"/>
        <v>408505.96</v>
      </c>
      <c r="M167" s="286">
        <f t="shared" si="152"/>
        <v>0</v>
      </c>
      <c r="N167" s="286">
        <f t="shared" si="152"/>
        <v>0</v>
      </c>
      <c r="O167" s="286">
        <f>SUM(O168:O171)</f>
        <v>582400</v>
      </c>
      <c r="P167" s="286">
        <f>E167+J167</f>
        <v>5249005.96</v>
      </c>
      <c r="Q167" s="152" t="b">
        <f>P167=P169+P171+P168+P170</f>
        <v>1</v>
      </c>
      <c r="R167" s="154" t="b">
        <f>J167='dod7'!F16</f>
        <v>1</v>
      </c>
    </row>
    <row r="168" spans="1:18" ht="228.75" x14ac:dyDescent="0.2">
      <c r="A168" s="255" t="s">
        <v>739</v>
      </c>
      <c r="B168" s="255" t="s">
        <v>341</v>
      </c>
      <c r="C168" s="255" t="s">
        <v>339</v>
      </c>
      <c r="D168" s="255" t="s">
        <v>340</v>
      </c>
      <c r="E168" s="256">
        <f>F168</f>
        <v>4258100</v>
      </c>
      <c r="F168" s="218">
        <f>(4223100)+35000</f>
        <v>4258100</v>
      </c>
      <c r="G168" s="218">
        <v>3166500</v>
      </c>
      <c r="H168" s="218">
        <v>119916</v>
      </c>
      <c r="I168" s="218"/>
      <c r="J168" s="256">
        <f>L168+O168</f>
        <v>0</v>
      </c>
      <c r="K168" s="218"/>
      <c r="L168" s="218"/>
      <c r="M168" s="218"/>
      <c r="N168" s="218"/>
      <c r="O168" s="229">
        <f>K168</f>
        <v>0</v>
      </c>
      <c r="P168" s="256">
        <f>E168+J168</f>
        <v>4258100</v>
      </c>
      <c r="Q168" s="152"/>
      <c r="R168" s="154"/>
    </row>
    <row r="169" spans="1:18" ht="91.5" x14ac:dyDescent="0.2">
      <c r="A169" s="255" t="s">
        <v>463</v>
      </c>
      <c r="B169" s="255" t="s">
        <v>464</v>
      </c>
      <c r="C169" s="255" t="s">
        <v>81</v>
      </c>
      <c r="D169" s="255" t="s">
        <v>82</v>
      </c>
      <c r="E169" s="256">
        <f t="shared" ref="E169:E170" si="153">F169</f>
        <v>0</v>
      </c>
      <c r="F169" s="218"/>
      <c r="G169" s="218"/>
      <c r="H169" s="218"/>
      <c r="I169" s="218"/>
      <c r="J169" s="256">
        <f>L169+O169</f>
        <v>834616</v>
      </c>
      <c r="K169" s="218"/>
      <c r="L169" s="218">
        <f>(116000)+90000+46216</f>
        <v>252216</v>
      </c>
      <c r="M169" s="218"/>
      <c r="N169" s="218"/>
      <c r="O169" s="229">
        <f>(K169+284000)+344616-130000+130000-46216</f>
        <v>582400</v>
      </c>
      <c r="P169" s="256">
        <f>E169+J169</f>
        <v>834616</v>
      </c>
    </row>
    <row r="170" spans="1:18" ht="91.5" x14ac:dyDescent="0.2">
      <c r="A170" s="255" t="s">
        <v>821</v>
      </c>
      <c r="B170" s="255" t="s">
        <v>822</v>
      </c>
      <c r="C170" s="255" t="s">
        <v>845</v>
      </c>
      <c r="D170" s="255" t="s">
        <v>844</v>
      </c>
      <c r="E170" s="256">
        <f t="shared" si="153"/>
        <v>0</v>
      </c>
      <c r="F170" s="218"/>
      <c r="G170" s="218"/>
      <c r="H170" s="218"/>
      <c r="I170" s="218"/>
      <c r="J170" s="256">
        <f>L170+O170</f>
        <v>56289.96</v>
      </c>
      <c r="K170" s="218"/>
      <c r="L170" s="218">
        <v>56289.96</v>
      </c>
      <c r="M170" s="218"/>
      <c r="N170" s="218"/>
      <c r="O170" s="229">
        <f>K170</f>
        <v>0</v>
      </c>
      <c r="P170" s="256">
        <f>E170+J170</f>
        <v>56289.96</v>
      </c>
    </row>
    <row r="171" spans="1:18" ht="91.5" x14ac:dyDescent="0.2">
      <c r="A171" s="255" t="s">
        <v>465</v>
      </c>
      <c r="B171" s="255" t="s">
        <v>466</v>
      </c>
      <c r="C171" s="255" t="s">
        <v>83</v>
      </c>
      <c r="D171" s="255" t="s">
        <v>467</v>
      </c>
      <c r="E171" s="256">
        <v>0</v>
      </c>
      <c r="F171" s="218"/>
      <c r="G171" s="218"/>
      <c r="H171" s="218"/>
      <c r="I171" s="218"/>
      <c r="J171" s="256">
        <f>L171+O171</f>
        <v>100000</v>
      </c>
      <c r="K171" s="256"/>
      <c r="L171" s="218">
        <v>100000</v>
      </c>
      <c r="M171" s="218"/>
      <c r="N171" s="218"/>
      <c r="O171" s="229">
        <f>K171</f>
        <v>0</v>
      </c>
      <c r="P171" s="256">
        <f>E171+J171</f>
        <v>100000</v>
      </c>
    </row>
    <row r="172" spans="1:18" ht="225" x14ac:dyDescent="0.2">
      <c r="A172" s="281" t="s">
        <v>248</v>
      </c>
      <c r="B172" s="281"/>
      <c r="C172" s="281"/>
      <c r="D172" s="281" t="s">
        <v>576</v>
      </c>
      <c r="E172" s="283">
        <f>E173</f>
        <v>3524300</v>
      </c>
      <c r="F172" s="283">
        <f t="shared" ref="F172" si="154">F173</f>
        <v>3524300</v>
      </c>
      <c r="G172" s="283">
        <f t="shared" ref="G172" si="155">G173</f>
        <v>2641000</v>
      </c>
      <c r="H172" s="283">
        <f>H173</f>
        <v>60000</v>
      </c>
      <c r="I172" s="283">
        <f t="shared" ref="I172" si="156">I173</f>
        <v>0</v>
      </c>
      <c r="J172" s="283">
        <f>J173</f>
        <v>500000</v>
      </c>
      <c r="K172" s="283">
        <f>K173</f>
        <v>500000</v>
      </c>
      <c r="L172" s="283">
        <f>L173</f>
        <v>0</v>
      </c>
      <c r="M172" s="283">
        <f t="shared" ref="M172" si="157">M173</f>
        <v>0</v>
      </c>
      <c r="N172" s="283">
        <f>N173</f>
        <v>0</v>
      </c>
      <c r="O172" s="283">
        <f>O173</f>
        <v>500000</v>
      </c>
      <c r="P172" s="287">
        <f t="shared" ref="P172" si="158">P173</f>
        <v>4024300</v>
      </c>
    </row>
    <row r="173" spans="1:18" ht="270" x14ac:dyDescent="0.2">
      <c r="A173" s="284" t="s">
        <v>249</v>
      </c>
      <c r="B173" s="284"/>
      <c r="C173" s="284"/>
      <c r="D173" s="284" t="s">
        <v>577</v>
      </c>
      <c r="E173" s="286">
        <f>SUM(E174:E176)</f>
        <v>3524300</v>
      </c>
      <c r="F173" s="286">
        <f t="shared" ref="F173:N173" si="159">SUM(F174:F176)</f>
        <v>3524300</v>
      </c>
      <c r="G173" s="286">
        <f t="shared" si="159"/>
        <v>2641000</v>
      </c>
      <c r="H173" s="286">
        <f t="shared" si="159"/>
        <v>60000</v>
      </c>
      <c r="I173" s="286">
        <f t="shared" si="159"/>
        <v>0</v>
      </c>
      <c r="J173" s="286">
        <f>L173+O173</f>
        <v>500000</v>
      </c>
      <c r="K173" s="286">
        <f t="shared" si="159"/>
        <v>500000</v>
      </c>
      <c r="L173" s="286">
        <f t="shared" si="159"/>
        <v>0</v>
      </c>
      <c r="M173" s="286">
        <f t="shared" si="159"/>
        <v>0</v>
      </c>
      <c r="N173" s="286">
        <f t="shared" si="159"/>
        <v>0</v>
      </c>
      <c r="O173" s="286">
        <f>SUM(O174:O176)</f>
        <v>500000</v>
      </c>
      <c r="P173" s="286">
        <f>E173+J173</f>
        <v>4024300</v>
      </c>
      <c r="Q173" s="152" t="b">
        <f>P173=P175+P176+P174</f>
        <v>1</v>
      </c>
      <c r="R173" s="154" t="b">
        <f>K173='dod5'!I161</f>
        <v>1</v>
      </c>
    </row>
    <row r="174" spans="1:18" ht="228.75" x14ac:dyDescent="0.2">
      <c r="A174" s="255" t="s">
        <v>735</v>
      </c>
      <c r="B174" s="255" t="s">
        <v>341</v>
      </c>
      <c r="C174" s="255" t="s">
        <v>339</v>
      </c>
      <c r="D174" s="255" t="s">
        <v>340</v>
      </c>
      <c r="E174" s="256">
        <f>F174</f>
        <v>3524300</v>
      </c>
      <c r="F174" s="218">
        <f>(3469300)+55000</f>
        <v>3524300</v>
      </c>
      <c r="G174" s="218">
        <v>2641000</v>
      </c>
      <c r="H174" s="218">
        <v>60000</v>
      </c>
      <c r="I174" s="218"/>
      <c r="J174" s="256">
        <f>L174+O174</f>
        <v>0</v>
      </c>
      <c r="K174" s="218"/>
      <c r="L174" s="218"/>
      <c r="M174" s="218"/>
      <c r="N174" s="218"/>
      <c r="O174" s="229">
        <f>K174</f>
        <v>0</v>
      </c>
      <c r="P174" s="256">
        <f>E174+J174</f>
        <v>3524300</v>
      </c>
      <c r="Q174" s="152"/>
      <c r="R174" s="154"/>
    </row>
    <row r="175" spans="1:18" ht="91.5" x14ac:dyDescent="0.2">
      <c r="A175" s="255" t="s">
        <v>457</v>
      </c>
      <c r="B175" s="255" t="s">
        <v>458</v>
      </c>
      <c r="C175" s="255" t="s">
        <v>459</v>
      </c>
      <c r="D175" s="255" t="s">
        <v>456</v>
      </c>
      <c r="E175" s="256">
        <f>F175</f>
        <v>0</v>
      </c>
      <c r="F175" s="218">
        <v>0</v>
      </c>
      <c r="G175" s="218"/>
      <c r="H175" s="218"/>
      <c r="I175" s="218"/>
      <c r="J175" s="256">
        <f>L175+O175</f>
        <v>410000</v>
      </c>
      <c r="K175" s="218">
        <v>410000</v>
      </c>
      <c r="L175" s="218"/>
      <c r="M175" s="218"/>
      <c r="N175" s="218"/>
      <c r="O175" s="229">
        <f>K175</f>
        <v>410000</v>
      </c>
      <c r="P175" s="256">
        <f>E175+J175</f>
        <v>410000</v>
      </c>
    </row>
    <row r="176" spans="1:18" ht="137.25" x14ac:dyDescent="0.2">
      <c r="A176" s="255" t="s">
        <v>607</v>
      </c>
      <c r="B176" s="255" t="s">
        <v>608</v>
      </c>
      <c r="C176" s="255" t="s">
        <v>256</v>
      </c>
      <c r="D176" s="255" t="s">
        <v>609</v>
      </c>
      <c r="E176" s="256">
        <f>F176</f>
        <v>0</v>
      </c>
      <c r="F176" s="218">
        <v>0</v>
      </c>
      <c r="G176" s="218"/>
      <c r="H176" s="218"/>
      <c r="I176" s="218"/>
      <c r="J176" s="256">
        <f>L176+O176</f>
        <v>90000</v>
      </c>
      <c r="K176" s="218">
        <v>90000</v>
      </c>
      <c r="L176" s="218"/>
      <c r="M176" s="218"/>
      <c r="N176" s="218"/>
      <c r="O176" s="229">
        <f>K176</f>
        <v>90000</v>
      </c>
      <c r="P176" s="256">
        <f>E176+J176</f>
        <v>90000</v>
      </c>
    </row>
    <row r="177" spans="1:18" ht="135" x14ac:dyDescent="0.2">
      <c r="A177" s="281" t="s">
        <v>254</v>
      </c>
      <c r="B177" s="281"/>
      <c r="C177" s="281"/>
      <c r="D177" s="281" t="s">
        <v>48</v>
      </c>
      <c r="E177" s="283">
        <f>E178</f>
        <v>63265500</v>
      </c>
      <c r="F177" s="283">
        <f t="shared" ref="F177" si="160">F178</f>
        <v>63265500</v>
      </c>
      <c r="G177" s="283">
        <f t="shared" ref="G177" si="161">G178</f>
        <v>5254100</v>
      </c>
      <c r="H177" s="283">
        <f>H178</f>
        <v>142362</v>
      </c>
      <c r="I177" s="283">
        <f t="shared" ref="I177" si="162">I178</f>
        <v>0</v>
      </c>
      <c r="J177" s="283">
        <f>J178</f>
        <v>50000</v>
      </c>
      <c r="K177" s="283">
        <f>K178</f>
        <v>50000</v>
      </c>
      <c r="L177" s="283">
        <f>L178</f>
        <v>0</v>
      </c>
      <c r="M177" s="283">
        <f t="shared" ref="M177" si="163">M178</f>
        <v>0</v>
      </c>
      <c r="N177" s="283">
        <f>N178</f>
        <v>0</v>
      </c>
      <c r="O177" s="283">
        <f>O178</f>
        <v>50000</v>
      </c>
      <c r="P177" s="287">
        <f t="shared" ref="P177" si="164">P178</f>
        <v>63315500</v>
      </c>
    </row>
    <row r="178" spans="1:18" ht="135" x14ac:dyDescent="0.2">
      <c r="A178" s="284" t="s">
        <v>255</v>
      </c>
      <c r="B178" s="284"/>
      <c r="C178" s="284"/>
      <c r="D178" s="284" t="s">
        <v>66</v>
      </c>
      <c r="E178" s="286">
        <f>SUM(E179:E182)</f>
        <v>63265500</v>
      </c>
      <c r="F178" s="286">
        <f t="shared" ref="F178:N178" si="165">SUM(F179:F182)</f>
        <v>63265500</v>
      </c>
      <c r="G178" s="286">
        <f t="shared" si="165"/>
        <v>5254100</v>
      </c>
      <c r="H178" s="286">
        <f t="shared" si="165"/>
        <v>142362</v>
      </c>
      <c r="I178" s="286">
        <f t="shared" si="165"/>
        <v>0</v>
      </c>
      <c r="J178" s="286">
        <f>L178+O178</f>
        <v>50000</v>
      </c>
      <c r="K178" s="286">
        <f>SUM(K179:K182)</f>
        <v>50000</v>
      </c>
      <c r="L178" s="286">
        <f t="shared" si="165"/>
        <v>0</v>
      </c>
      <c r="M178" s="286">
        <f t="shared" si="165"/>
        <v>0</v>
      </c>
      <c r="N178" s="286">
        <f t="shared" si="165"/>
        <v>0</v>
      </c>
      <c r="O178" s="286">
        <f>SUM(O179:O182)</f>
        <v>50000</v>
      </c>
      <c r="P178" s="286">
        <f>E178+J178</f>
        <v>63315500</v>
      </c>
      <c r="Q178" s="152" t="b">
        <f>P178=P180+P181+P182+P179</f>
        <v>1</v>
      </c>
      <c r="R178" s="154" t="b">
        <f>K178='dod5'!I169</f>
        <v>1</v>
      </c>
    </row>
    <row r="179" spans="1:18" ht="228.75" x14ac:dyDescent="0.2">
      <c r="A179" s="255" t="s">
        <v>737</v>
      </c>
      <c r="B179" s="255" t="s">
        <v>341</v>
      </c>
      <c r="C179" s="255" t="s">
        <v>339</v>
      </c>
      <c r="D179" s="255" t="s">
        <v>340</v>
      </c>
      <c r="E179" s="256">
        <f>F179</f>
        <v>6927800</v>
      </c>
      <c r="F179" s="218">
        <f>(6887800)+40000</f>
        <v>6927800</v>
      </c>
      <c r="G179" s="218">
        <v>5254100</v>
      </c>
      <c r="H179" s="218">
        <v>142362</v>
      </c>
      <c r="I179" s="218"/>
      <c r="J179" s="256">
        <f>L179+O179</f>
        <v>50000</v>
      </c>
      <c r="K179" s="218">
        <v>50000</v>
      </c>
      <c r="L179" s="218"/>
      <c r="M179" s="218"/>
      <c r="N179" s="218"/>
      <c r="O179" s="229">
        <f>K179</f>
        <v>50000</v>
      </c>
      <c r="P179" s="256">
        <f>E179+J179</f>
        <v>6977800</v>
      </c>
      <c r="Q179" s="152"/>
      <c r="R179" s="154"/>
    </row>
    <row r="180" spans="1:18" ht="46.5" x14ac:dyDescent="0.2">
      <c r="A180" s="212">
        <v>3718600</v>
      </c>
      <c r="B180" s="212">
        <v>8600</v>
      </c>
      <c r="C180" s="255" t="s">
        <v>586</v>
      </c>
      <c r="D180" s="212" t="s">
        <v>587</v>
      </c>
      <c r="E180" s="256">
        <f>F180</f>
        <v>1282700</v>
      </c>
      <c r="F180" s="218">
        <v>1282700</v>
      </c>
      <c r="G180" s="218"/>
      <c r="H180" s="218"/>
      <c r="I180" s="218"/>
      <c r="J180" s="256">
        <f>L180+O180</f>
        <v>0</v>
      </c>
      <c r="K180" s="218"/>
      <c r="L180" s="218"/>
      <c r="M180" s="218"/>
      <c r="N180" s="218"/>
      <c r="O180" s="229">
        <f>K180</f>
        <v>0</v>
      </c>
      <c r="P180" s="256">
        <f>E180+J180</f>
        <v>1282700</v>
      </c>
    </row>
    <row r="181" spans="1:18" ht="69" customHeight="1" x14ac:dyDescent="0.2">
      <c r="A181" s="212">
        <v>3718700</v>
      </c>
      <c r="B181" s="212">
        <v>8700</v>
      </c>
      <c r="C181" s="255" t="s">
        <v>70</v>
      </c>
      <c r="D181" s="208" t="s">
        <v>68</v>
      </c>
      <c r="E181" s="256">
        <f>F181</f>
        <v>669000</v>
      </c>
      <c r="F181" s="218">
        <f>((5000000-655000)-3000000+1000000-800000-576000)-300000</f>
        <v>669000</v>
      </c>
      <c r="G181" s="218"/>
      <c r="H181" s="218"/>
      <c r="I181" s="218"/>
      <c r="J181" s="256">
        <f>L181+O181</f>
        <v>0</v>
      </c>
      <c r="K181" s="218"/>
      <c r="L181" s="218"/>
      <c r="M181" s="218"/>
      <c r="N181" s="218"/>
      <c r="O181" s="229">
        <f>K181</f>
        <v>0</v>
      </c>
      <c r="P181" s="256">
        <f>E181+J181</f>
        <v>669000</v>
      </c>
    </row>
    <row r="182" spans="1:18" ht="65.25" customHeight="1" x14ac:dyDescent="0.2">
      <c r="A182" s="212">
        <v>3719110</v>
      </c>
      <c r="B182" s="212">
        <v>9110</v>
      </c>
      <c r="C182" s="255" t="s">
        <v>71</v>
      </c>
      <c r="D182" s="208" t="s">
        <v>69</v>
      </c>
      <c r="E182" s="256">
        <f>F182</f>
        <v>54386000</v>
      </c>
      <c r="F182" s="218">
        <v>54386000</v>
      </c>
      <c r="G182" s="218"/>
      <c r="H182" s="218"/>
      <c r="I182" s="218"/>
      <c r="J182" s="256">
        <f>L182+O182</f>
        <v>0</v>
      </c>
      <c r="K182" s="218"/>
      <c r="L182" s="218"/>
      <c r="M182" s="218"/>
      <c r="N182" s="218"/>
      <c r="O182" s="229">
        <f>K182</f>
        <v>0</v>
      </c>
      <c r="P182" s="256">
        <f>E182+J182</f>
        <v>54386000</v>
      </c>
    </row>
    <row r="183" spans="1:18" ht="81.75" customHeight="1" x14ac:dyDescent="0.55000000000000004">
      <c r="A183" s="187" t="s">
        <v>647</v>
      </c>
      <c r="B183" s="187" t="s">
        <v>647</v>
      </c>
      <c r="C183" s="187" t="s">
        <v>647</v>
      </c>
      <c r="D183" s="188" t="s">
        <v>665</v>
      </c>
      <c r="E183" s="142">
        <f>E14+E26+E110+E39+E53+E100+E126+E147+E156+E178+E160+E167+E173</f>
        <v>2723829373.7800002</v>
      </c>
      <c r="F183" s="142">
        <f>F14+F26+F110+F39+F52+F100+F126+F147+F156+F178+F160+F167+F173</f>
        <v>2723829373.7800002</v>
      </c>
      <c r="G183" s="142">
        <f t="shared" ref="G183:O183" si="166">G14+G26+G110+G39+G53+G100+G126+G147+G156+G178+G160+G167+G173</f>
        <v>856994773.39999998</v>
      </c>
      <c r="H183" s="142">
        <f t="shared" si="166"/>
        <v>97282826</v>
      </c>
      <c r="I183" s="142">
        <f t="shared" si="166"/>
        <v>0</v>
      </c>
      <c r="J183" s="142">
        <f t="shared" si="166"/>
        <v>514479118.82999998</v>
      </c>
      <c r="K183" s="142">
        <f t="shared" si="166"/>
        <v>389377461.35000002</v>
      </c>
      <c r="L183" s="142">
        <f t="shared" si="166"/>
        <v>122256044</v>
      </c>
      <c r="M183" s="142">
        <f t="shared" si="166"/>
        <v>33009405</v>
      </c>
      <c r="N183" s="142">
        <f t="shared" si="166"/>
        <v>8774975</v>
      </c>
      <c r="O183" s="142">
        <f t="shared" si="166"/>
        <v>392223074.83000004</v>
      </c>
      <c r="P183" s="142">
        <f>P14+P26+P110+P39+P52+P100+P126+P147+P156+P178+P160+P167+P173</f>
        <v>3238308492.6100001</v>
      </c>
      <c r="Q183" s="14" t="b">
        <f>K183='dod5'!I172</f>
        <v>1</v>
      </c>
    </row>
    <row r="184" spans="1:18" ht="45.75" x14ac:dyDescent="0.2">
      <c r="A184" s="427" t="s">
        <v>454</v>
      </c>
      <c r="B184" s="428"/>
      <c r="C184" s="428"/>
      <c r="D184" s="428"/>
      <c r="E184" s="428"/>
      <c r="F184" s="428"/>
      <c r="G184" s="428"/>
      <c r="H184" s="428"/>
      <c r="I184" s="428"/>
      <c r="J184" s="428"/>
      <c r="K184" s="428"/>
      <c r="L184" s="428"/>
      <c r="M184" s="428"/>
      <c r="N184" s="428"/>
      <c r="O184" s="428"/>
      <c r="P184" s="428"/>
      <c r="Q184" s="12"/>
    </row>
    <row r="185" spans="1:18" ht="45.75" hidden="1" x14ac:dyDescent="0.2">
      <c r="A185" s="120"/>
      <c r="B185" s="121"/>
      <c r="C185" s="121"/>
      <c r="D185" s="121"/>
      <c r="E185" s="219">
        <f>F185</f>
        <v>2723829373.7800002</v>
      </c>
      <c r="F185" s="219">
        <f>(2630608432+94420941.78-800000)-100000-300000</f>
        <v>2723829373.7800002</v>
      </c>
      <c r="G185" s="219">
        <f>849422587+143550+5928000+86028.4+389900+20400+13948+160000+82000+748360</f>
        <v>856994773.39999998</v>
      </c>
      <c r="H185" s="219">
        <f>96770291+4000+2000+5000+427000+69535+5000</f>
        <v>97282826</v>
      </c>
      <c r="I185" s="219">
        <v>0</v>
      </c>
      <c r="J185" s="219">
        <f>L185+O185</f>
        <v>514479118.82999998</v>
      </c>
      <c r="K185" s="219">
        <f>(254272789+115783217.83-31243.48-696803.04-490905.96+10077680+800000+500000+475727)+100000+300000+5787000+2500000</f>
        <v>389377461.34999996</v>
      </c>
      <c r="L185" s="219">
        <f>131537535-24983+643666.04+146289.96-10077680+46216-15000</f>
        <v>122256044</v>
      </c>
      <c r="M185" s="219">
        <f>33043505-34100</f>
        <v>33009405</v>
      </c>
      <c r="N185" s="219">
        <v>8774975</v>
      </c>
      <c r="O185" s="219">
        <f>(256695639+115783217.83+24983-643666.04-146289.96+10077680-46216+800000+15000+500000+475727)+100000+300000+5787000+2500000</f>
        <v>392223074.82999998</v>
      </c>
      <c r="P185" s="219">
        <f>E185+J185</f>
        <v>3238308492.6100001</v>
      </c>
      <c r="Q185" s="12"/>
      <c r="R185" s="12"/>
    </row>
    <row r="186" spans="1:18" ht="45.75" x14ac:dyDescent="0.2">
      <c r="A186" s="120"/>
      <c r="B186" s="121"/>
      <c r="C186" s="121"/>
      <c r="D186" s="121"/>
      <c r="E186" s="121"/>
      <c r="F186" s="121"/>
      <c r="G186" s="121"/>
      <c r="H186" s="121"/>
      <c r="I186" s="121"/>
      <c r="J186" s="121"/>
      <c r="K186" s="121"/>
      <c r="L186" s="121"/>
      <c r="M186" s="121"/>
      <c r="N186" s="121"/>
      <c r="O186" s="121"/>
      <c r="P186" s="121"/>
      <c r="Q186" s="12"/>
    </row>
    <row r="187" spans="1:18" ht="45.75" x14ac:dyDescent="0.65">
      <c r="A187" s="7"/>
      <c r="B187" s="7"/>
      <c r="C187" s="7"/>
      <c r="D187" s="426" t="s">
        <v>943</v>
      </c>
      <c r="E187" s="426"/>
      <c r="F187" s="426"/>
      <c r="G187" s="426"/>
      <c r="H187" s="426"/>
      <c r="I187" s="426"/>
      <c r="J187" s="426"/>
      <c r="K187" s="426"/>
      <c r="L187" s="426"/>
      <c r="M187" s="426"/>
      <c r="N187" s="426"/>
      <c r="O187" s="426"/>
      <c r="P187" s="426"/>
      <c r="Q187" s="13"/>
    </row>
    <row r="188" spans="1:18" ht="45.75" x14ac:dyDescent="0.2">
      <c r="E188" s="24"/>
      <c r="F188" s="3"/>
      <c r="J188" s="215"/>
      <c r="K188" s="215"/>
      <c r="O188" s="132"/>
      <c r="P188" s="19"/>
    </row>
    <row r="189" spans="1:18" ht="45.75" x14ac:dyDescent="0.65">
      <c r="D189" s="426" t="s">
        <v>231</v>
      </c>
      <c r="E189" s="426"/>
      <c r="F189" s="426"/>
      <c r="G189" s="426"/>
      <c r="H189" s="426"/>
      <c r="I189" s="426"/>
      <c r="J189" s="426"/>
      <c r="K189" s="426"/>
      <c r="L189" s="426"/>
      <c r="M189" s="426"/>
      <c r="N189" s="426"/>
      <c r="O189" s="426"/>
      <c r="P189" s="426"/>
      <c r="Q189" s="14"/>
    </row>
    <row r="190" spans="1:18" x14ac:dyDescent="0.2">
      <c r="E190" s="4"/>
      <c r="F190" s="3"/>
      <c r="J190" s="4"/>
      <c r="K190" s="4"/>
    </row>
    <row r="191" spans="1:18" x14ac:dyDescent="0.2">
      <c r="E191" s="4"/>
      <c r="F191" s="3"/>
      <c r="J191" s="4"/>
      <c r="K191" s="4"/>
    </row>
    <row r="192" spans="1:18" ht="99.75" customHeight="1" x14ac:dyDescent="0.2">
      <c r="E192" s="118" t="b">
        <f>E185=E183</f>
        <v>1</v>
      </c>
      <c r="F192" s="118" t="b">
        <f>F185=F183</f>
        <v>1</v>
      </c>
      <c r="G192" s="118" t="b">
        <f>G185=G183</f>
        <v>1</v>
      </c>
      <c r="H192" s="118" t="b">
        <f t="shared" ref="H192:O192" si="167">H185=H183</f>
        <v>1</v>
      </c>
      <c r="I192" s="118" t="b">
        <f>I185=I183</f>
        <v>1</v>
      </c>
      <c r="J192" s="118" t="b">
        <f>J185=J183</f>
        <v>1</v>
      </c>
      <c r="K192" s="118" t="b">
        <f>K185=K183</f>
        <v>1</v>
      </c>
      <c r="L192" s="118" t="b">
        <f t="shared" si="167"/>
        <v>1</v>
      </c>
      <c r="M192" s="118" t="b">
        <f t="shared" si="167"/>
        <v>1</v>
      </c>
      <c r="N192" s="118" t="b">
        <f t="shared" si="167"/>
        <v>1</v>
      </c>
      <c r="O192" s="118" t="b">
        <f t="shared" si="167"/>
        <v>1</v>
      </c>
      <c r="P192" s="118" t="b">
        <f>P185=P183</f>
        <v>1</v>
      </c>
    </row>
    <row r="193" spans="1:18" ht="60.75" x14ac:dyDescent="0.55000000000000004">
      <c r="E193" s="19"/>
      <c r="F193" s="376">
        <f>F181/E183*100</f>
        <v>2.4561009820949019E-2</v>
      </c>
      <c r="G193" s="132" t="s">
        <v>495</v>
      </c>
      <c r="I193" s="115"/>
      <c r="J193" s="216"/>
      <c r="K193" s="216"/>
      <c r="L193" s="118">
        <f>L183-L185</f>
        <v>0</v>
      </c>
      <c r="M193" s="115"/>
      <c r="N193" s="115"/>
      <c r="O193" s="118">
        <f>O183-O185</f>
        <v>0</v>
      </c>
      <c r="P193" s="14" t="b">
        <f>E183+J183=P183</f>
        <v>1</v>
      </c>
    </row>
    <row r="194" spans="1:18" x14ac:dyDescent="0.2">
      <c r="E194" s="6"/>
      <c r="F194" s="183"/>
      <c r="G194" s="6"/>
      <c r="H194" s="6"/>
      <c r="I194" s="6"/>
      <c r="J194" s="4"/>
      <c r="K194" s="4"/>
    </row>
    <row r="195" spans="1:18" ht="45.75" x14ac:dyDescent="0.2">
      <c r="A195"/>
      <c r="B195"/>
      <c r="C195"/>
      <c r="D195" s="10"/>
      <c r="E195" s="151" t="b">
        <f>E183=F183</f>
        <v>1</v>
      </c>
      <c r="F195" s="132">
        <f>F181/P183*100</f>
        <v>2.0658933561354492E-2</v>
      </c>
      <c r="G195" s="132" t="s">
        <v>495</v>
      </c>
      <c r="I195" s="10"/>
      <c r="J195" s="151"/>
      <c r="K195" s="151"/>
      <c r="L195"/>
      <c r="M195"/>
      <c r="N195"/>
      <c r="O195"/>
      <c r="P195"/>
    </row>
    <row r="196" spans="1:18" ht="60.75" x14ac:dyDescent="0.2">
      <c r="D196" s="10"/>
      <c r="E196" s="151"/>
      <c r="F196" s="375">
        <f>F185-F183</f>
        <v>0</v>
      </c>
      <c r="G196" s="23"/>
      <c r="I196" s="10"/>
      <c r="J196" s="151"/>
      <c r="K196" s="151"/>
      <c r="P196" s="118"/>
      <c r="Q196" s="119"/>
      <c r="R196" s="118"/>
    </row>
    <row r="197" spans="1:18" ht="60.75" x14ac:dyDescent="0.2">
      <c r="A197"/>
      <c r="B197"/>
      <c r="C197"/>
      <c r="D197" s="10"/>
      <c r="E197" s="151"/>
      <c r="F197" s="132"/>
      <c r="G197" s="3"/>
      <c r="I197" s="10"/>
      <c r="J197" s="151"/>
      <c r="K197" s="151"/>
      <c r="L197"/>
      <c r="M197"/>
      <c r="N197"/>
      <c r="O197"/>
      <c r="P197" s="118"/>
      <c r="Q197" s="119"/>
      <c r="R197" s="118"/>
    </row>
    <row r="198" spans="1:18" ht="60.75" x14ac:dyDescent="0.2">
      <c r="D198" s="10"/>
      <c r="E198" s="151"/>
      <c r="F198" s="184"/>
      <c r="P198" s="118"/>
    </row>
    <row r="199" spans="1:18" ht="60.75" x14ac:dyDescent="0.2">
      <c r="A199"/>
      <c r="B199"/>
      <c r="C199"/>
      <c r="D199" s="10"/>
      <c r="E199" s="151"/>
      <c r="F199" s="132"/>
      <c r="G199" s="3"/>
      <c r="J199" s="4"/>
      <c r="K199" s="4"/>
      <c r="L199"/>
      <c r="M199"/>
      <c r="N199"/>
      <c r="O199"/>
      <c r="P199" s="118"/>
    </row>
    <row r="200" spans="1:18" ht="62.25" x14ac:dyDescent="0.8">
      <c r="A200"/>
      <c r="B200"/>
      <c r="C200"/>
      <c r="D200"/>
      <c r="E200" s="21"/>
      <c r="F200" s="132"/>
      <c r="J200" s="4"/>
      <c r="K200" s="4"/>
      <c r="L200"/>
      <c r="M200"/>
      <c r="N200"/>
      <c r="O200"/>
      <c r="P200" s="158"/>
    </row>
    <row r="201" spans="1:18" ht="45.75" x14ac:dyDescent="0.2">
      <c r="E201" s="22"/>
      <c r="F201" s="184"/>
    </row>
    <row r="202" spans="1:18" ht="45.75" x14ac:dyDescent="0.2">
      <c r="A202"/>
      <c r="B202"/>
      <c r="C202"/>
      <c r="D202"/>
      <c r="E202" s="21"/>
      <c r="F202" s="132"/>
      <c r="L202"/>
      <c r="M202"/>
      <c r="N202"/>
      <c r="O202"/>
      <c r="P202"/>
    </row>
    <row r="203" spans="1:18" ht="45.75" x14ac:dyDescent="0.2">
      <c r="E203" s="22"/>
      <c r="F203" s="184"/>
    </row>
    <row r="204" spans="1:18" ht="45.75" x14ac:dyDescent="0.2">
      <c r="E204" s="22"/>
      <c r="F204" s="184"/>
    </row>
    <row r="205" spans="1:18" ht="45.75" x14ac:dyDescent="0.2">
      <c r="E205" s="22"/>
      <c r="F205" s="184"/>
    </row>
    <row r="206" spans="1:18" ht="45.75" x14ac:dyDescent="0.2">
      <c r="A206"/>
      <c r="B206"/>
      <c r="C206"/>
      <c r="D206"/>
      <c r="E206" s="22"/>
      <c r="F206" s="184"/>
      <c r="G206"/>
      <c r="H206"/>
      <c r="I206"/>
      <c r="J206"/>
      <c r="K206"/>
      <c r="L206"/>
      <c r="M206"/>
      <c r="N206"/>
      <c r="O206"/>
      <c r="P206"/>
    </row>
    <row r="207" spans="1:18" ht="45.75" x14ac:dyDescent="0.2">
      <c r="A207"/>
      <c r="B207"/>
      <c r="C207"/>
      <c r="D207"/>
      <c r="E207" s="22"/>
      <c r="F207" s="184"/>
      <c r="G207"/>
      <c r="H207"/>
      <c r="I207"/>
      <c r="J207"/>
      <c r="K207"/>
      <c r="L207"/>
      <c r="M207"/>
      <c r="N207"/>
      <c r="O207"/>
      <c r="P207"/>
    </row>
    <row r="208" spans="1:18" ht="45.75" x14ac:dyDescent="0.2">
      <c r="A208"/>
      <c r="B208"/>
      <c r="C208"/>
      <c r="D208"/>
      <c r="E208" s="22"/>
      <c r="F208" s="184"/>
      <c r="G208"/>
      <c r="H208"/>
      <c r="I208"/>
      <c r="J208"/>
      <c r="K208"/>
      <c r="L208"/>
      <c r="M208"/>
      <c r="N208"/>
      <c r="O208"/>
      <c r="P208"/>
    </row>
    <row r="209" spans="1:16" ht="45.75" x14ac:dyDescent="0.2">
      <c r="A209"/>
      <c r="B209"/>
      <c r="C209"/>
      <c r="D209"/>
      <c r="E209" s="22"/>
      <c r="F209" s="184"/>
      <c r="G209"/>
      <c r="H209"/>
      <c r="I209"/>
      <c r="J209"/>
      <c r="K209"/>
      <c r="L209"/>
      <c r="M209"/>
      <c r="N209"/>
      <c r="O209"/>
      <c r="P209"/>
    </row>
  </sheetData>
  <mergeCells count="99">
    <mergeCell ref="K97:K98"/>
    <mergeCell ref="E78:E79"/>
    <mergeCell ref="F78:F79"/>
    <mergeCell ref="G78:G79"/>
    <mergeCell ref="H78:H79"/>
    <mergeCell ref="I78:I79"/>
    <mergeCell ref="E90:E92"/>
    <mergeCell ref="F90:F92"/>
    <mergeCell ref="J90:J92"/>
    <mergeCell ref="K90:K92"/>
    <mergeCell ref="P90:P92"/>
    <mergeCell ref="L19:L20"/>
    <mergeCell ref="P19:P20"/>
    <mergeCell ref="M19:M20"/>
    <mergeCell ref="N19:N20"/>
    <mergeCell ref="M90:M92"/>
    <mergeCell ref="N90:N92"/>
    <mergeCell ref="O78:O79"/>
    <mergeCell ref="P78:P79"/>
    <mergeCell ref="L78:L79"/>
    <mergeCell ref="L90:L92"/>
    <mergeCell ref="O90:O92"/>
    <mergeCell ref="O19:O20"/>
    <mergeCell ref="N78:N79"/>
    <mergeCell ref="A9:A11"/>
    <mergeCell ref="A7:P7"/>
    <mergeCell ref="M10:N10"/>
    <mergeCell ref="B9:B11"/>
    <mergeCell ref="C9:C11"/>
    <mergeCell ref="E9:I9"/>
    <mergeCell ref="G10:H10"/>
    <mergeCell ref="F10:F11"/>
    <mergeCell ref="D9:D11"/>
    <mergeCell ref="K10:K11"/>
    <mergeCell ref="J10:J11"/>
    <mergeCell ref="O10:O11"/>
    <mergeCell ref="I10:I11"/>
    <mergeCell ref="J9:O9"/>
    <mergeCell ref="L10:L11"/>
    <mergeCell ref="D189:P189"/>
    <mergeCell ref="D187:P187"/>
    <mergeCell ref="A184:P184"/>
    <mergeCell ref="E97:E98"/>
    <mergeCell ref="F97:F98"/>
    <mergeCell ref="M97:M98"/>
    <mergeCell ref="N97:N98"/>
    <mergeCell ref="P97:P98"/>
    <mergeCell ref="G97:G98"/>
    <mergeCell ref="O97:O98"/>
    <mergeCell ref="P143:P144"/>
    <mergeCell ref="A143:A144"/>
    <mergeCell ref="B143:B144"/>
    <mergeCell ref="C143:C144"/>
    <mergeCell ref="E143:E144"/>
    <mergeCell ref="F143:F144"/>
    <mergeCell ref="A19:A20"/>
    <mergeCell ref="B19:B20"/>
    <mergeCell ref="C19:C20"/>
    <mergeCell ref="A97:A98"/>
    <mergeCell ref="B97:B98"/>
    <mergeCell ref="C97:C98"/>
    <mergeCell ref="A90:A92"/>
    <mergeCell ref="B90:B92"/>
    <mergeCell ref="C90:C92"/>
    <mergeCell ref="A78:A79"/>
    <mergeCell ref="B78:B79"/>
    <mergeCell ref="C78:C79"/>
    <mergeCell ref="E19:E20"/>
    <mergeCell ref="L143:L144"/>
    <mergeCell ref="M143:M144"/>
    <mergeCell ref="I90:I92"/>
    <mergeCell ref="F19:F20"/>
    <mergeCell ref="G19:G20"/>
    <mergeCell ref="H19:H20"/>
    <mergeCell ref="I19:I20"/>
    <mergeCell ref="J78:J79"/>
    <mergeCell ref="K78:K79"/>
    <mergeCell ref="H97:H98"/>
    <mergeCell ref="I97:I98"/>
    <mergeCell ref="J97:J98"/>
    <mergeCell ref="L97:L98"/>
    <mergeCell ref="J19:J20"/>
    <mergeCell ref="M78:M79"/>
    <mergeCell ref="N143:N144"/>
    <mergeCell ref="O143:O144"/>
    <mergeCell ref="N2:Q2"/>
    <mergeCell ref="N3:Q3"/>
    <mergeCell ref="O4:P4"/>
    <mergeCell ref="P9:P11"/>
    <mergeCell ref="A6:P6"/>
    <mergeCell ref="E10:E11"/>
    <mergeCell ref="G143:G144"/>
    <mergeCell ref="H143:H144"/>
    <mergeCell ref="I143:I144"/>
    <mergeCell ref="J143:J144"/>
    <mergeCell ref="K143:K144"/>
    <mergeCell ref="K19:K20"/>
    <mergeCell ref="G90:G92"/>
    <mergeCell ref="H90:H92"/>
  </mergeCells>
  <phoneticPr fontId="0" type="noConversion"/>
  <conditionalFormatting sqref="Q156:R157">
    <cfRule type="iconSet" priority="8">
      <iconSet iconSet="3Arrows">
        <cfvo type="percent" val="0"/>
        <cfvo type="percent" val="33"/>
        <cfvo type="percent" val="67"/>
      </iconSet>
    </cfRule>
  </conditionalFormatting>
  <conditionalFormatting sqref="Q167:R168">
    <cfRule type="iconSet" priority="6">
      <iconSet iconSet="3Arrows">
        <cfvo type="percent" val="0"/>
        <cfvo type="percent" val="33"/>
        <cfvo type="percent" val="67"/>
      </iconSet>
    </cfRule>
  </conditionalFormatting>
  <conditionalFormatting sqref="Q179:R179 Q178">
    <cfRule type="iconSet" priority="4">
      <iconSet iconSet="3Arrows">
        <cfvo type="percent" val="0"/>
        <cfvo type="percent" val="33"/>
        <cfvo type="percent" val="67"/>
      </iconSet>
    </cfRule>
  </conditionalFormatting>
  <conditionalFormatting sqref="Q173:R174">
    <cfRule type="iconSet" priority="3">
      <iconSet iconSet="3Arrows">
        <cfvo type="percent" val="0"/>
        <cfvo type="percent" val="33"/>
        <cfvo type="percent" val="67"/>
      </iconSet>
    </cfRule>
  </conditionalFormatting>
  <conditionalFormatting sqref="R178">
    <cfRule type="iconSet" priority="2">
      <iconSet iconSet="3Arrows">
        <cfvo type="percent" val="0"/>
        <cfvo type="percent" val="33"/>
        <cfvo type="percent" val="67"/>
      </iconSet>
    </cfRule>
  </conditionalFormatting>
  <conditionalFormatting sqref="Q160:R160">
    <cfRule type="iconSet" priority="9">
      <iconSet iconSet="3Arrows">
        <cfvo type="percent" val="0"/>
        <cfvo type="percent" val="33"/>
        <cfvo type="percent" val="67"/>
      </iconSet>
    </cfRule>
  </conditionalFormatting>
  <conditionalFormatting sqref="R161:R165">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3" manualBreakCount="3">
    <brk id="28" max="15" man="1"/>
    <brk id="49" max="15" man="1"/>
    <brk id="7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2:Q158"/>
  <sheetViews>
    <sheetView showGridLines="0" showZeros="0" view="pageBreakPreview" topLeftCell="B3" zoomScale="85" zoomScaleNormal="85" zoomScaleSheetLayoutView="85" workbookViewId="0">
      <selection activeCell="R11" sqref="R11"/>
    </sheetView>
  </sheetViews>
  <sheetFormatPr defaultColWidth="7.85546875" defaultRowHeight="12.75" x14ac:dyDescent="0.2"/>
  <cols>
    <col min="1" max="1" width="0" style="16" hidden="1" customWidth="1"/>
    <col min="2" max="2" width="13" style="86" customWidth="1"/>
    <col min="3" max="3" width="12.42578125" style="86" customWidth="1"/>
    <col min="4" max="4" width="15.28515625" style="86" customWidth="1"/>
    <col min="5" max="5" width="37" style="86" customWidth="1"/>
    <col min="6" max="6" width="10.5703125" style="86" customWidth="1"/>
    <col min="7" max="7" width="11.85546875" style="86" customWidth="1"/>
    <col min="8" max="8" width="13.28515625" style="86" customWidth="1"/>
    <col min="9" max="9" width="12.5703125" style="86" customWidth="1"/>
    <col min="10" max="10" width="12.140625" style="86" customWidth="1"/>
    <col min="11" max="11" width="18.140625" style="86" customWidth="1"/>
    <col min="12" max="12" width="13.5703125" style="86" customWidth="1"/>
    <col min="13" max="13" width="13" style="86" customWidth="1"/>
    <col min="14" max="14" width="11.42578125" style="86" customWidth="1"/>
    <col min="15" max="15" width="12.7109375" style="86" customWidth="1"/>
    <col min="16" max="16" width="12.5703125" style="86" customWidth="1"/>
    <col min="17" max="17" width="12.7109375" style="86" customWidth="1"/>
    <col min="18" max="16384" width="7.85546875" style="86"/>
  </cols>
  <sheetData>
    <row r="2" spans="1:17" ht="64.5" customHeight="1" x14ac:dyDescent="0.2">
      <c r="B2" s="16"/>
      <c r="C2" s="16"/>
      <c r="D2" s="16"/>
      <c r="M2" s="444" t="s">
        <v>929</v>
      </c>
      <c r="N2" s="444"/>
      <c r="O2" s="444"/>
      <c r="P2" s="444"/>
      <c r="Q2" s="444"/>
    </row>
    <row r="3" spans="1:17" ht="32.450000000000003" customHeight="1" x14ac:dyDescent="0.2">
      <c r="B3" s="16"/>
      <c r="C3" s="16"/>
      <c r="D3" s="16"/>
      <c r="E3" s="445" t="s">
        <v>659</v>
      </c>
      <c r="F3" s="445"/>
      <c r="G3" s="445"/>
      <c r="H3" s="445"/>
      <c r="I3" s="445"/>
      <c r="J3" s="445"/>
      <c r="K3" s="445"/>
      <c r="L3" s="445"/>
      <c r="M3" s="445"/>
      <c r="N3" s="88"/>
      <c r="O3" s="88"/>
      <c r="P3" s="88"/>
      <c r="Q3" s="88"/>
    </row>
    <row r="4" spans="1:17" ht="12" customHeight="1" x14ac:dyDescent="0.3">
      <c r="B4" s="89"/>
      <c r="C4" s="89"/>
      <c r="D4" s="90"/>
      <c r="E4" s="445"/>
      <c r="F4" s="445"/>
      <c r="G4" s="445"/>
      <c r="H4" s="445"/>
      <c r="I4" s="445"/>
      <c r="J4" s="445"/>
      <c r="K4" s="445"/>
      <c r="L4" s="445"/>
      <c r="M4" s="445"/>
      <c r="N4" s="16"/>
      <c r="O4" s="16"/>
      <c r="P4" s="16"/>
      <c r="Q4" s="91"/>
    </row>
    <row r="5" spans="1:17" ht="21" customHeight="1" x14ac:dyDescent="0.3">
      <c r="B5" s="89"/>
      <c r="C5" s="89"/>
      <c r="D5" s="90"/>
      <c r="E5" s="87"/>
      <c r="F5" s="87"/>
      <c r="G5" s="87"/>
      <c r="H5" s="87"/>
      <c r="I5" s="87"/>
      <c r="J5" s="87"/>
      <c r="K5" s="87"/>
      <c r="L5" s="87"/>
      <c r="M5" s="87"/>
      <c r="N5" s="16"/>
      <c r="O5" s="16"/>
      <c r="P5" s="16"/>
      <c r="Q5" s="185" t="s">
        <v>654</v>
      </c>
    </row>
    <row r="6" spans="1:17" ht="30.75" customHeight="1" x14ac:dyDescent="0.2">
      <c r="A6" s="92"/>
      <c r="B6" s="448" t="s">
        <v>29</v>
      </c>
      <c r="C6" s="449" t="s">
        <v>657</v>
      </c>
      <c r="D6" s="449" t="s">
        <v>664</v>
      </c>
      <c r="E6" s="449" t="s">
        <v>658</v>
      </c>
      <c r="F6" s="446" t="s">
        <v>187</v>
      </c>
      <c r="G6" s="446"/>
      <c r="H6" s="446"/>
      <c r="I6" s="446"/>
      <c r="J6" s="446" t="s">
        <v>188</v>
      </c>
      <c r="K6" s="446"/>
      <c r="L6" s="446"/>
      <c r="M6" s="446"/>
      <c r="N6" s="446" t="s">
        <v>663</v>
      </c>
      <c r="O6" s="446"/>
      <c r="P6" s="446"/>
      <c r="Q6" s="446"/>
    </row>
    <row r="7" spans="1:17" ht="28.5" customHeight="1" x14ac:dyDescent="0.2">
      <c r="A7" s="93"/>
      <c r="B7" s="448"/>
      <c r="C7" s="450"/>
      <c r="D7" s="450"/>
      <c r="E7" s="451"/>
      <c r="F7" s="441" t="s">
        <v>660</v>
      </c>
      <c r="G7" s="441" t="s">
        <v>661</v>
      </c>
      <c r="H7" s="442"/>
      <c r="I7" s="441" t="s">
        <v>662</v>
      </c>
      <c r="J7" s="441" t="s">
        <v>660</v>
      </c>
      <c r="K7" s="441" t="s">
        <v>661</v>
      </c>
      <c r="L7" s="442"/>
      <c r="M7" s="441" t="s">
        <v>662</v>
      </c>
      <c r="N7" s="441" t="s">
        <v>660</v>
      </c>
      <c r="O7" s="441" t="s">
        <v>661</v>
      </c>
      <c r="P7" s="442"/>
      <c r="Q7" s="441" t="s">
        <v>662</v>
      </c>
    </row>
    <row r="8" spans="1:17" ht="50.25" customHeight="1" x14ac:dyDescent="0.2">
      <c r="A8" s="86"/>
      <c r="B8" s="448"/>
      <c r="C8" s="450"/>
      <c r="D8" s="450"/>
      <c r="E8" s="450"/>
      <c r="F8" s="441"/>
      <c r="G8" s="190" t="s">
        <v>650</v>
      </c>
      <c r="H8" s="190" t="s">
        <v>651</v>
      </c>
      <c r="I8" s="441"/>
      <c r="J8" s="441"/>
      <c r="K8" s="190" t="s">
        <v>650</v>
      </c>
      <c r="L8" s="190" t="s">
        <v>651</v>
      </c>
      <c r="M8" s="441"/>
      <c r="N8" s="441"/>
      <c r="O8" s="190" t="s">
        <v>650</v>
      </c>
      <c r="P8" s="190" t="s">
        <v>651</v>
      </c>
      <c r="Q8" s="441"/>
    </row>
    <row r="9" spans="1:17" ht="15" customHeight="1" x14ac:dyDescent="0.2">
      <c r="A9" s="86"/>
      <c r="B9" s="17">
        <v>1</v>
      </c>
      <c r="C9" s="191">
        <v>2</v>
      </c>
      <c r="D9" s="17">
        <v>3</v>
      </c>
      <c r="E9" s="191">
        <v>4</v>
      </c>
      <c r="F9" s="17">
        <v>5</v>
      </c>
      <c r="G9" s="191">
        <v>6</v>
      </c>
      <c r="H9" s="17">
        <v>7</v>
      </c>
      <c r="I9" s="191">
        <v>8</v>
      </c>
      <c r="J9" s="17">
        <v>9</v>
      </c>
      <c r="K9" s="191">
        <v>10</v>
      </c>
      <c r="L9" s="17">
        <v>11</v>
      </c>
      <c r="M9" s="191">
        <v>12</v>
      </c>
      <c r="N9" s="17">
        <v>13</v>
      </c>
      <c r="O9" s="191">
        <v>14</v>
      </c>
      <c r="P9" s="17">
        <v>15</v>
      </c>
      <c r="Q9" s="191">
        <v>16</v>
      </c>
    </row>
    <row r="10" spans="1:17" s="95" customFormat="1" ht="45" x14ac:dyDescent="0.2">
      <c r="A10" s="94"/>
      <c r="B10" s="204" t="s">
        <v>40</v>
      </c>
      <c r="C10" s="204"/>
      <c r="D10" s="204"/>
      <c r="E10" s="205" t="s">
        <v>41</v>
      </c>
      <c r="F10" s="206">
        <f>F11</f>
        <v>260000</v>
      </c>
      <c r="G10" s="206">
        <f t="shared" ref="G10:Q10" si="0">G11</f>
        <v>90000</v>
      </c>
      <c r="H10" s="206">
        <f t="shared" si="0"/>
        <v>0</v>
      </c>
      <c r="I10" s="206">
        <f t="shared" si="0"/>
        <v>350000</v>
      </c>
      <c r="J10" s="206">
        <f t="shared" si="0"/>
        <v>0</v>
      </c>
      <c r="K10" s="206">
        <f t="shared" si="0"/>
        <v>-90000</v>
      </c>
      <c r="L10" s="206">
        <f t="shared" si="0"/>
        <v>0</v>
      </c>
      <c r="M10" s="206">
        <f t="shared" si="0"/>
        <v>-90000</v>
      </c>
      <c r="N10" s="206">
        <f t="shared" si="0"/>
        <v>260000</v>
      </c>
      <c r="O10" s="206">
        <f t="shared" si="0"/>
        <v>0</v>
      </c>
      <c r="P10" s="206">
        <f t="shared" si="0"/>
        <v>0</v>
      </c>
      <c r="Q10" s="206">
        <f t="shared" si="0"/>
        <v>260000</v>
      </c>
    </row>
    <row r="11" spans="1:17" ht="42.75" x14ac:dyDescent="0.2">
      <c r="B11" s="201" t="s">
        <v>39</v>
      </c>
      <c r="C11" s="201"/>
      <c r="D11" s="201"/>
      <c r="E11" s="202" t="s">
        <v>58</v>
      </c>
      <c r="F11" s="203">
        <f>F12</f>
        <v>260000</v>
      </c>
      <c r="G11" s="203">
        <f t="shared" ref="G11:I11" si="1">G12</f>
        <v>90000</v>
      </c>
      <c r="H11" s="203">
        <f t="shared" si="1"/>
        <v>0</v>
      </c>
      <c r="I11" s="203">
        <f t="shared" si="1"/>
        <v>350000</v>
      </c>
      <c r="J11" s="203">
        <f>J13</f>
        <v>0</v>
      </c>
      <c r="K11" s="203">
        <f t="shared" ref="K11:M11" si="2">K13</f>
        <v>-90000</v>
      </c>
      <c r="L11" s="203">
        <f t="shared" si="2"/>
        <v>0</v>
      </c>
      <c r="M11" s="203">
        <f t="shared" si="2"/>
        <v>-90000</v>
      </c>
      <c r="N11" s="203">
        <f>F11+J11</f>
        <v>260000</v>
      </c>
      <c r="O11" s="203">
        <f t="shared" ref="O11:Q11" si="3">G11+K11</f>
        <v>0</v>
      </c>
      <c r="P11" s="203">
        <f t="shared" si="3"/>
        <v>0</v>
      </c>
      <c r="Q11" s="203">
        <f t="shared" si="3"/>
        <v>260000</v>
      </c>
    </row>
    <row r="12" spans="1:17" ht="60" x14ac:dyDescent="0.2">
      <c r="B12" s="198" t="s">
        <v>594</v>
      </c>
      <c r="C12" s="198" t="s">
        <v>596</v>
      </c>
      <c r="D12" s="198" t="s">
        <v>79</v>
      </c>
      <c r="E12" s="199" t="s">
        <v>805</v>
      </c>
      <c r="F12" s="200">
        <v>260000</v>
      </c>
      <c r="G12" s="200">
        <v>90000</v>
      </c>
      <c r="H12" s="200">
        <v>0</v>
      </c>
      <c r="I12" s="200">
        <f>F12+G12</f>
        <v>350000</v>
      </c>
      <c r="J12" s="200">
        <v>0</v>
      </c>
      <c r="K12" s="200">
        <v>0</v>
      </c>
      <c r="L12" s="200"/>
      <c r="M12" s="200">
        <f>J12+K12</f>
        <v>0</v>
      </c>
      <c r="N12" s="200">
        <f>F12+J12</f>
        <v>260000</v>
      </c>
      <c r="O12" s="200">
        <f>G12+K12</f>
        <v>90000</v>
      </c>
      <c r="P12" s="200" t="s">
        <v>189</v>
      </c>
      <c r="Q12" s="200">
        <f>I12+M12</f>
        <v>350000</v>
      </c>
    </row>
    <row r="13" spans="1:17" ht="60" x14ac:dyDescent="0.2">
      <c r="B13" s="198" t="s">
        <v>595</v>
      </c>
      <c r="C13" s="198" t="s">
        <v>597</v>
      </c>
      <c r="D13" s="198" t="s">
        <v>79</v>
      </c>
      <c r="E13" s="199" t="s">
        <v>806</v>
      </c>
      <c r="F13" s="200"/>
      <c r="G13" s="200">
        <f>H13+I13</f>
        <v>0</v>
      </c>
      <c r="H13" s="200"/>
      <c r="I13" s="200"/>
      <c r="J13" s="200"/>
      <c r="K13" s="200">
        <v>-90000</v>
      </c>
      <c r="L13" s="200"/>
      <c r="M13" s="200">
        <f>J13+K13</f>
        <v>-90000</v>
      </c>
      <c r="N13" s="200">
        <f>F13+J13</f>
        <v>0</v>
      </c>
      <c r="O13" s="200">
        <f>G13+K13</f>
        <v>-90000</v>
      </c>
      <c r="P13" s="200" t="s">
        <v>189</v>
      </c>
      <c r="Q13" s="200">
        <f>I13+M13</f>
        <v>-90000</v>
      </c>
    </row>
    <row r="14" spans="1:17" ht="27.75" customHeight="1" x14ac:dyDescent="0.2">
      <c r="B14" s="143" t="s">
        <v>647</v>
      </c>
      <c r="C14" s="143" t="s">
        <v>647</v>
      </c>
      <c r="D14" s="189" t="s">
        <v>647</v>
      </c>
      <c r="E14" s="186" t="s">
        <v>665</v>
      </c>
      <c r="F14" s="144">
        <f>F10</f>
        <v>260000</v>
      </c>
      <c r="G14" s="144">
        <f>H14+I14</f>
        <v>350000</v>
      </c>
      <c r="H14" s="144">
        <f t="shared" ref="H14:I14" si="4">H10</f>
        <v>0</v>
      </c>
      <c r="I14" s="144">
        <f t="shared" si="4"/>
        <v>350000</v>
      </c>
      <c r="J14" s="144">
        <f>J10</f>
        <v>0</v>
      </c>
      <c r="K14" s="144">
        <f>K10</f>
        <v>-90000</v>
      </c>
      <c r="L14" s="144">
        <f>L10</f>
        <v>0</v>
      </c>
      <c r="M14" s="144">
        <f t="shared" ref="M14:Q14" si="5">M10</f>
        <v>-90000</v>
      </c>
      <c r="N14" s="144">
        <f t="shared" si="5"/>
        <v>260000</v>
      </c>
      <c r="O14" s="144">
        <f t="shared" si="5"/>
        <v>0</v>
      </c>
      <c r="P14" s="144">
        <f t="shared" si="5"/>
        <v>0</v>
      </c>
      <c r="Q14" s="144">
        <f t="shared" si="5"/>
        <v>260000</v>
      </c>
    </row>
    <row r="15" spans="1:17" ht="27.75" customHeight="1" x14ac:dyDescent="0.25">
      <c r="B15" s="165"/>
      <c r="C15" s="165"/>
      <c r="D15" s="443" t="s">
        <v>943</v>
      </c>
      <c r="E15" s="443"/>
      <c r="F15" s="443"/>
      <c r="G15" s="443"/>
      <c r="H15" s="443"/>
      <c r="I15" s="443"/>
      <c r="J15" s="443"/>
      <c r="K15" s="443"/>
      <c r="L15" s="443"/>
      <c r="M15" s="443"/>
      <c r="N15" s="443"/>
      <c r="O15" s="443"/>
      <c r="P15" s="443"/>
      <c r="Q15" s="166"/>
    </row>
    <row r="16" spans="1:17" ht="15.75" customHeight="1" x14ac:dyDescent="0.25">
      <c r="B16" s="165"/>
      <c r="C16" s="165"/>
      <c r="D16" s="443"/>
      <c r="E16" s="443"/>
      <c r="F16" s="443"/>
      <c r="G16" s="443"/>
      <c r="H16" s="443"/>
      <c r="I16" s="443"/>
      <c r="J16" s="443"/>
      <c r="K16" s="443"/>
      <c r="L16" s="443"/>
      <c r="M16" s="443"/>
      <c r="N16" s="443"/>
      <c r="O16" s="443"/>
      <c r="P16" s="443"/>
      <c r="Q16" s="166"/>
    </row>
    <row r="17" spans="4:16" ht="15" x14ac:dyDescent="0.25">
      <c r="D17" s="443" t="s">
        <v>231</v>
      </c>
      <c r="E17" s="443"/>
      <c r="F17" s="443"/>
      <c r="G17" s="443"/>
      <c r="H17" s="443"/>
      <c r="I17" s="443"/>
      <c r="J17" s="443"/>
      <c r="K17" s="443"/>
      <c r="L17" s="443"/>
      <c r="M17" s="443"/>
      <c r="N17" s="443"/>
      <c r="O17" s="443"/>
      <c r="P17" s="443"/>
    </row>
    <row r="18" spans="4:16" ht="15" x14ac:dyDescent="0.25">
      <c r="D18" s="443"/>
      <c r="E18" s="443"/>
      <c r="F18" s="443"/>
      <c r="G18" s="443"/>
      <c r="H18" s="443"/>
      <c r="I18" s="443"/>
      <c r="J18" s="443"/>
      <c r="K18" s="443"/>
      <c r="L18" s="443"/>
      <c r="M18" s="443"/>
      <c r="N18" s="443"/>
      <c r="O18" s="443"/>
      <c r="P18" s="443"/>
    </row>
    <row r="19" spans="4:16" ht="15" x14ac:dyDescent="0.2">
      <c r="D19" s="167"/>
      <c r="E19" s="168"/>
      <c r="F19" s="169"/>
      <c r="G19" s="167">
        <f>H19+I19</f>
        <v>0</v>
      </c>
      <c r="H19" s="167"/>
      <c r="I19" s="170"/>
      <c r="J19" s="168"/>
      <c r="K19" s="170"/>
      <c r="L19" s="167"/>
      <c r="M19" s="167"/>
      <c r="N19" s="170"/>
      <c r="O19" s="171"/>
      <c r="P19" s="172"/>
    </row>
    <row r="20" spans="4:16" ht="15" x14ac:dyDescent="0.25">
      <c r="D20" s="173"/>
      <c r="E20" s="173"/>
      <c r="F20" s="173"/>
      <c r="G20" s="173">
        <f>H20+I20</f>
        <v>0</v>
      </c>
      <c r="H20" s="173"/>
      <c r="I20" s="173"/>
      <c r="J20" s="173"/>
      <c r="K20" s="173"/>
      <c r="L20" s="173"/>
      <c r="M20" s="173"/>
      <c r="N20" s="173"/>
      <c r="O20" s="173"/>
      <c r="P20" s="173"/>
    </row>
    <row r="21" spans="4:16" x14ac:dyDescent="0.2">
      <c r="G21" s="86">
        <f>H21+I21</f>
        <v>0</v>
      </c>
    </row>
    <row r="22" spans="4:16" x14ac:dyDescent="0.2">
      <c r="G22" s="86">
        <f>H22+I22</f>
        <v>0</v>
      </c>
    </row>
    <row r="23" spans="4:16" x14ac:dyDescent="0.2">
      <c r="G23" s="86">
        <f>H23+I23</f>
        <v>0</v>
      </c>
    </row>
    <row r="45" spans="7:7" x14ac:dyDescent="0.2">
      <c r="G45" s="86">
        <f>H45+I45</f>
        <v>0</v>
      </c>
    </row>
    <row r="47" spans="7:7" x14ac:dyDescent="0.2">
      <c r="G47" s="86">
        <f t="shared" ref="G47:G65" si="6">H47+I47</f>
        <v>0</v>
      </c>
    </row>
    <row r="48" spans="7:7" x14ac:dyDescent="0.2">
      <c r="G48" s="86">
        <f t="shared" si="6"/>
        <v>0</v>
      </c>
    </row>
    <row r="49" spans="7:7" x14ac:dyDescent="0.2">
      <c r="G49" s="86">
        <f t="shared" si="6"/>
        <v>0</v>
      </c>
    </row>
    <row r="50" spans="7:7" x14ac:dyDescent="0.2">
      <c r="G50" s="86">
        <f t="shared" si="6"/>
        <v>0</v>
      </c>
    </row>
    <row r="51" spans="7:7" x14ac:dyDescent="0.2">
      <c r="G51" s="86">
        <f t="shared" si="6"/>
        <v>0</v>
      </c>
    </row>
    <row r="52" spans="7:7" x14ac:dyDescent="0.2">
      <c r="G52" s="86">
        <f t="shared" si="6"/>
        <v>0</v>
      </c>
    </row>
    <row r="53" spans="7:7" x14ac:dyDescent="0.2">
      <c r="G53" s="86">
        <f t="shared" si="6"/>
        <v>0</v>
      </c>
    </row>
    <row r="54" spans="7:7" x14ac:dyDescent="0.2">
      <c r="G54" s="86">
        <f t="shared" si="6"/>
        <v>0</v>
      </c>
    </row>
    <row r="55" spans="7:7" x14ac:dyDescent="0.2">
      <c r="G55" s="86">
        <f t="shared" si="6"/>
        <v>0</v>
      </c>
    </row>
    <row r="56" spans="7:7" x14ac:dyDescent="0.2">
      <c r="G56" s="86">
        <f t="shared" si="6"/>
        <v>0</v>
      </c>
    </row>
    <row r="57" spans="7:7" x14ac:dyDescent="0.2">
      <c r="G57" s="86">
        <f t="shared" si="6"/>
        <v>0</v>
      </c>
    </row>
    <row r="58" spans="7:7" x14ac:dyDescent="0.2">
      <c r="G58" s="86">
        <f t="shared" si="6"/>
        <v>0</v>
      </c>
    </row>
    <row r="59" spans="7:7" x14ac:dyDescent="0.2">
      <c r="G59" s="86">
        <f t="shared" si="6"/>
        <v>0</v>
      </c>
    </row>
    <row r="60" spans="7:7" x14ac:dyDescent="0.2">
      <c r="G60" s="86">
        <f t="shared" si="6"/>
        <v>0</v>
      </c>
    </row>
    <row r="61" spans="7:7" x14ac:dyDescent="0.2">
      <c r="G61" s="86">
        <f t="shared" si="6"/>
        <v>0</v>
      </c>
    </row>
    <row r="62" spans="7:7" x14ac:dyDescent="0.2">
      <c r="G62" s="86">
        <f t="shared" si="6"/>
        <v>0</v>
      </c>
    </row>
    <row r="63" spans="7:7" x14ac:dyDescent="0.2">
      <c r="G63" s="86">
        <f t="shared" si="6"/>
        <v>0</v>
      </c>
    </row>
    <row r="64" spans="7:7" x14ac:dyDescent="0.2">
      <c r="G64" s="86">
        <f t="shared" si="6"/>
        <v>0</v>
      </c>
    </row>
    <row r="65" spans="7:7" x14ac:dyDescent="0.2">
      <c r="G65" s="86">
        <f t="shared" si="6"/>
        <v>0</v>
      </c>
    </row>
    <row r="67" spans="7:7" x14ac:dyDescent="0.2">
      <c r="G67" s="86">
        <f>H67+I67</f>
        <v>0</v>
      </c>
    </row>
    <row r="68" spans="7:7" x14ac:dyDescent="0.2">
      <c r="G68" s="86">
        <f>H68+I68</f>
        <v>0</v>
      </c>
    </row>
    <row r="69" spans="7:7" x14ac:dyDescent="0.2">
      <c r="G69" s="86">
        <f>H69+I69</f>
        <v>0</v>
      </c>
    </row>
    <row r="70" spans="7:7" x14ac:dyDescent="0.2">
      <c r="G70" s="86">
        <f>H70+I70</f>
        <v>0</v>
      </c>
    </row>
    <row r="72" spans="7:7" x14ac:dyDescent="0.2">
      <c r="G72" s="86">
        <f>H72+I72</f>
        <v>0</v>
      </c>
    </row>
    <row r="75" spans="7:7" x14ac:dyDescent="0.2">
      <c r="G75" s="447"/>
    </row>
    <row r="76" spans="7:7" x14ac:dyDescent="0.2">
      <c r="G76" s="394"/>
    </row>
    <row r="112" spans="7:7" x14ac:dyDescent="0.2">
      <c r="G112" s="86">
        <f>H112+I112</f>
        <v>0</v>
      </c>
    </row>
    <row r="114" spans="7:7" x14ac:dyDescent="0.2">
      <c r="G114" s="86">
        <f t="shared" ref="G114:G124" si="7">H114+I114</f>
        <v>0</v>
      </c>
    </row>
    <row r="115" spans="7:7" x14ac:dyDescent="0.2">
      <c r="G115" s="86">
        <f t="shared" si="7"/>
        <v>0</v>
      </c>
    </row>
    <row r="116" spans="7:7" x14ac:dyDescent="0.2">
      <c r="G116" s="86">
        <f t="shared" si="7"/>
        <v>0</v>
      </c>
    </row>
    <row r="117" spans="7:7" x14ac:dyDescent="0.2">
      <c r="G117" s="86">
        <f t="shared" si="7"/>
        <v>0</v>
      </c>
    </row>
    <row r="118" spans="7:7" x14ac:dyDescent="0.2">
      <c r="G118" s="86">
        <f t="shared" si="7"/>
        <v>0</v>
      </c>
    </row>
    <row r="119" spans="7:7" x14ac:dyDescent="0.2">
      <c r="G119" s="86">
        <f t="shared" si="7"/>
        <v>0</v>
      </c>
    </row>
    <row r="120" spans="7:7" x14ac:dyDescent="0.2">
      <c r="G120" s="86">
        <f t="shared" si="7"/>
        <v>0</v>
      </c>
    </row>
    <row r="121" spans="7:7" x14ac:dyDescent="0.2">
      <c r="G121" s="86">
        <f t="shared" si="7"/>
        <v>0</v>
      </c>
    </row>
    <row r="122" spans="7:7" x14ac:dyDescent="0.2">
      <c r="G122" s="86">
        <f t="shared" si="7"/>
        <v>0</v>
      </c>
    </row>
    <row r="123" spans="7:7" x14ac:dyDescent="0.2">
      <c r="G123" s="86">
        <f t="shared" si="7"/>
        <v>0</v>
      </c>
    </row>
    <row r="124" spans="7:7" x14ac:dyDescent="0.2">
      <c r="G124" s="86">
        <f t="shared" si="7"/>
        <v>0</v>
      </c>
    </row>
    <row r="126" spans="7:7" x14ac:dyDescent="0.2">
      <c r="G126" s="86">
        <f>H127+I127</f>
        <v>0</v>
      </c>
    </row>
    <row r="127" spans="7:7" x14ac:dyDescent="0.2">
      <c r="G127" s="86">
        <f t="shared" ref="G127" si="8">H127+I127</f>
        <v>0</v>
      </c>
    </row>
    <row r="128" spans="7:7" x14ac:dyDescent="0.2">
      <c r="G128" s="86">
        <f>H128+I128</f>
        <v>0</v>
      </c>
    </row>
    <row r="129" spans="7:10" x14ac:dyDescent="0.2">
      <c r="G129" s="86">
        <f>H129+I129</f>
        <v>0</v>
      </c>
    </row>
    <row r="130" spans="7:10" x14ac:dyDescent="0.2">
      <c r="G130" s="86">
        <f>H130+I130</f>
        <v>0</v>
      </c>
    </row>
    <row r="131" spans="7:10" x14ac:dyDescent="0.2">
      <c r="G131" s="86">
        <f>H131+I131</f>
        <v>0</v>
      </c>
    </row>
    <row r="136" spans="7:10" ht="46.5" x14ac:dyDescent="0.65">
      <c r="J136" s="238"/>
    </row>
    <row r="139" spans="7:10" ht="46.5" x14ac:dyDescent="0.65">
      <c r="G139" s="238">
        <f>H139+I139</f>
        <v>0</v>
      </c>
      <c r="J139" s="238"/>
    </row>
    <row r="158" spans="11:11" ht="90" x14ac:dyDescent="1.1499999999999999">
      <c r="K158" s="235" t="b">
        <f>G158=H158+I158</f>
        <v>1</v>
      </c>
    </row>
  </sheetData>
  <mergeCells count="23">
    <mergeCell ref="G75:G76"/>
    <mergeCell ref="B6:B8"/>
    <mergeCell ref="C6:C8"/>
    <mergeCell ref="D6:D8"/>
    <mergeCell ref="E6:E8"/>
    <mergeCell ref="F6:I6"/>
    <mergeCell ref="F7:F8"/>
    <mergeCell ref="I7:I8"/>
    <mergeCell ref="O7:P7"/>
    <mergeCell ref="D18:P18"/>
    <mergeCell ref="D15:P15"/>
    <mergeCell ref="D17:P17"/>
    <mergeCell ref="M2:Q2"/>
    <mergeCell ref="E3:M4"/>
    <mergeCell ref="J6:M6"/>
    <mergeCell ref="N6:Q6"/>
    <mergeCell ref="Q7:Q8"/>
    <mergeCell ref="M7:M8"/>
    <mergeCell ref="N7:N8"/>
    <mergeCell ref="J7:J8"/>
    <mergeCell ref="D16:P16"/>
    <mergeCell ref="G7:H7"/>
    <mergeCell ref="K7:L7"/>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pageSetUpPr fitToPage="1"/>
  </sheetPr>
  <dimension ref="A1:Q216"/>
  <sheetViews>
    <sheetView view="pageBreakPreview" topLeftCell="B1" zoomScale="90" zoomScaleNormal="40" zoomScaleSheetLayoutView="90" workbookViewId="0">
      <pane ySplit="5" topLeftCell="A100" activePane="bottomLeft" state="frozen"/>
      <selection activeCell="K153" sqref="K153"/>
      <selection pane="bottomLeft" activeCell="F102" sqref="F102"/>
    </sheetView>
  </sheetViews>
  <sheetFormatPr defaultColWidth="7.85546875" defaultRowHeight="12.75" x14ac:dyDescent="0.2"/>
  <cols>
    <col min="1" max="1" width="3.28515625" style="16" hidden="1" customWidth="1"/>
    <col min="2" max="2" width="14.28515625" style="138" customWidth="1"/>
    <col min="3" max="3" width="14" style="138" customWidth="1"/>
    <col min="4" max="4" width="16.85546875" style="138" customWidth="1"/>
    <col min="5" max="5" width="41.5703125" style="138" customWidth="1"/>
    <col min="6" max="6" width="38.5703125" style="138" customWidth="1"/>
    <col min="7" max="10" width="18.140625" style="138" customWidth="1"/>
    <col min="11" max="11" width="52.5703125" style="16" customWidth="1"/>
    <col min="12" max="12" width="16.5703125" style="16" customWidth="1"/>
    <col min="13" max="13" width="13.7109375" style="16" customWidth="1"/>
    <col min="14" max="14" width="12.7109375" style="16" customWidth="1"/>
    <col min="15" max="16384" width="7.85546875" style="16"/>
  </cols>
  <sheetData>
    <row r="1" spans="1:10" s="15" customFormat="1" ht="22.7" customHeight="1" x14ac:dyDescent="0.25">
      <c r="B1" s="455"/>
      <c r="C1" s="455"/>
      <c r="D1" s="455"/>
      <c r="E1" s="455"/>
      <c r="F1" s="455"/>
      <c r="G1" s="455"/>
      <c r="H1" s="455"/>
      <c r="I1" s="455"/>
      <c r="J1" s="455"/>
    </row>
    <row r="2" spans="1:10" ht="41.25" customHeight="1" x14ac:dyDescent="0.2">
      <c r="G2" s="444" t="s">
        <v>922</v>
      </c>
      <c r="H2" s="444"/>
      <c r="I2" s="444"/>
      <c r="J2" s="444"/>
    </row>
    <row r="3" spans="1:10" ht="34.5" customHeight="1" x14ac:dyDescent="0.2">
      <c r="B3" s="456" t="s">
        <v>666</v>
      </c>
      <c r="C3" s="445"/>
      <c r="D3" s="445"/>
      <c r="E3" s="445"/>
      <c r="F3" s="445"/>
      <c r="G3" s="445"/>
      <c r="H3" s="445"/>
      <c r="I3" s="445"/>
      <c r="J3" s="445"/>
    </row>
    <row r="4" spans="1:10" ht="173.25" customHeight="1" x14ac:dyDescent="0.2">
      <c r="B4" s="192" t="s">
        <v>29</v>
      </c>
      <c r="C4" s="192" t="s">
        <v>657</v>
      </c>
      <c r="D4" s="192" t="s">
        <v>664</v>
      </c>
      <c r="E4" s="192" t="s">
        <v>658</v>
      </c>
      <c r="F4" s="18" t="s">
        <v>679</v>
      </c>
      <c r="G4" s="18" t="s">
        <v>680</v>
      </c>
      <c r="H4" s="18" t="s">
        <v>681</v>
      </c>
      <c r="I4" s="18" t="s">
        <v>682</v>
      </c>
      <c r="J4" s="18" t="s">
        <v>683</v>
      </c>
    </row>
    <row r="5" spans="1:10" ht="20.25" customHeight="1" x14ac:dyDescent="0.2">
      <c r="B5" s="192">
        <v>1</v>
      </c>
      <c r="C5" s="192">
        <v>2</v>
      </c>
      <c r="D5" s="192">
        <v>3</v>
      </c>
      <c r="E5" s="192">
        <v>4</v>
      </c>
      <c r="F5" s="192">
        <v>5</v>
      </c>
      <c r="G5" s="192">
        <v>6</v>
      </c>
      <c r="H5" s="192">
        <v>7</v>
      </c>
      <c r="I5" s="192">
        <v>8</v>
      </c>
      <c r="J5" s="192">
        <v>9</v>
      </c>
    </row>
    <row r="6" spans="1:10" ht="39.75" customHeight="1" x14ac:dyDescent="0.2">
      <c r="B6" s="293" t="s">
        <v>234</v>
      </c>
      <c r="C6" s="293"/>
      <c r="D6" s="293"/>
      <c r="E6" s="295" t="s">
        <v>236</v>
      </c>
      <c r="F6" s="300"/>
      <c r="G6" s="300"/>
      <c r="H6" s="300"/>
      <c r="I6" s="357">
        <f>I7</f>
        <v>8372679</v>
      </c>
      <c r="J6" s="357"/>
    </row>
    <row r="7" spans="1:10" ht="47.25" customHeight="1" x14ac:dyDescent="0.2">
      <c r="B7" s="299" t="s">
        <v>235</v>
      </c>
      <c r="C7" s="299"/>
      <c r="D7" s="299"/>
      <c r="E7" s="302" t="s">
        <v>237</v>
      </c>
      <c r="F7" s="300"/>
      <c r="G7" s="300"/>
      <c r="H7" s="300"/>
      <c r="I7" s="358">
        <f>SUM(I8:I13)</f>
        <v>8372679</v>
      </c>
      <c r="J7" s="358"/>
    </row>
    <row r="8" spans="1:10" ht="93.75" customHeight="1" x14ac:dyDescent="0.2">
      <c r="B8" s="274" t="s">
        <v>337</v>
      </c>
      <c r="C8" s="274" t="s">
        <v>338</v>
      </c>
      <c r="D8" s="274" t="s">
        <v>339</v>
      </c>
      <c r="E8" s="274" t="s">
        <v>336</v>
      </c>
      <c r="F8" s="275" t="s">
        <v>90</v>
      </c>
      <c r="G8" s="18"/>
      <c r="H8" s="18"/>
      <c r="I8" s="277">
        <f>(210000)+568500</f>
        <v>778500</v>
      </c>
      <c r="J8" s="277"/>
    </row>
    <row r="9" spans="1:10" ht="30" x14ac:dyDescent="0.2">
      <c r="B9" s="274" t="s">
        <v>353</v>
      </c>
      <c r="C9" s="274" t="s">
        <v>71</v>
      </c>
      <c r="D9" s="274" t="s">
        <v>70</v>
      </c>
      <c r="E9" s="274" t="s">
        <v>354</v>
      </c>
      <c r="F9" s="275" t="s">
        <v>90</v>
      </c>
      <c r="G9" s="18"/>
      <c r="H9" s="18"/>
      <c r="I9" s="277">
        <v>475727</v>
      </c>
      <c r="J9" s="277"/>
    </row>
    <row r="10" spans="1:10" ht="30" x14ac:dyDescent="0.2">
      <c r="B10" s="274" t="s">
        <v>343</v>
      </c>
      <c r="C10" s="274" t="s">
        <v>344</v>
      </c>
      <c r="D10" s="274" t="s">
        <v>345</v>
      </c>
      <c r="E10" s="274" t="s">
        <v>342</v>
      </c>
      <c r="F10" s="275" t="s">
        <v>90</v>
      </c>
      <c r="G10" s="18"/>
      <c r="H10" s="18"/>
      <c r="I10" s="277">
        <f>(1500000)+2000000</f>
        <v>3500000</v>
      </c>
      <c r="J10" s="277"/>
    </row>
    <row r="11" spans="1:10" ht="60" x14ac:dyDescent="0.2">
      <c r="B11" s="274" t="s">
        <v>868</v>
      </c>
      <c r="C11" s="274" t="s">
        <v>598</v>
      </c>
      <c r="D11" s="274" t="s">
        <v>71</v>
      </c>
      <c r="E11" s="274" t="s">
        <v>599</v>
      </c>
      <c r="F11" s="159" t="s">
        <v>872</v>
      </c>
      <c r="G11" s="18"/>
      <c r="H11" s="18"/>
      <c r="I11" s="277">
        <v>100000</v>
      </c>
      <c r="J11" s="277"/>
    </row>
    <row r="12" spans="1:10" ht="60" x14ac:dyDescent="0.2">
      <c r="B12" s="274" t="s">
        <v>870</v>
      </c>
      <c r="C12" s="274" t="s">
        <v>871</v>
      </c>
      <c r="D12" s="274" t="s">
        <v>71</v>
      </c>
      <c r="E12" s="274" t="s">
        <v>869</v>
      </c>
      <c r="F12" s="275" t="s">
        <v>90</v>
      </c>
      <c r="G12" s="18"/>
      <c r="H12" s="18"/>
      <c r="I12" s="277">
        <f>58170+30300+400000+500000+25000+37182+15000+74000+84800+1200000+94000</f>
        <v>2518452</v>
      </c>
      <c r="J12" s="277"/>
    </row>
    <row r="13" spans="1:10" ht="90" x14ac:dyDescent="0.2">
      <c r="B13" s="274" t="s">
        <v>870</v>
      </c>
      <c r="C13" s="274" t="s">
        <v>871</v>
      </c>
      <c r="D13" s="274" t="s">
        <v>71</v>
      </c>
      <c r="E13" s="274" t="s">
        <v>869</v>
      </c>
      <c r="F13" s="159" t="s">
        <v>876</v>
      </c>
      <c r="G13" s="18"/>
      <c r="H13" s="18"/>
      <c r="I13" s="277">
        <v>1000000</v>
      </c>
      <c r="J13" s="277"/>
    </row>
    <row r="14" spans="1:10" ht="45" x14ac:dyDescent="0.2">
      <c r="A14" s="20"/>
      <c r="B14" s="293" t="s">
        <v>238</v>
      </c>
      <c r="C14" s="294"/>
      <c r="D14" s="294"/>
      <c r="E14" s="295" t="s">
        <v>0</v>
      </c>
      <c r="F14" s="296"/>
      <c r="G14" s="297"/>
      <c r="H14" s="297"/>
      <c r="I14" s="298">
        <f>I15</f>
        <v>33292593.039999999</v>
      </c>
      <c r="J14" s="298"/>
    </row>
    <row r="15" spans="1:10" ht="42.75" x14ac:dyDescent="0.2">
      <c r="A15" s="20"/>
      <c r="B15" s="299" t="s">
        <v>239</v>
      </c>
      <c r="C15" s="300"/>
      <c r="D15" s="301"/>
      <c r="E15" s="302" t="s">
        <v>1</v>
      </c>
      <c r="F15" s="303"/>
      <c r="G15" s="304"/>
      <c r="H15" s="304"/>
      <c r="I15" s="305">
        <f>SUM(I16:I28)</f>
        <v>33292593.039999999</v>
      </c>
      <c r="J15" s="305"/>
    </row>
    <row r="16" spans="1:10" ht="15" x14ac:dyDescent="0.2">
      <c r="B16" s="274" t="s">
        <v>294</v>
      </c>
      <c r="C16" s="274" t="s">
        <v>295</v>
      </c>
      <c r="D16" s="274" t="s">
        <v>297</v>
      </c>
      <c r="E16" s="274" t="s">
        <v>298</v>
      </c>
      <c r="F16" s="275" t="s">
        <v>90</v>
      </c>
      <c r="G16" s="275"/>
      <c r="H16" s="276"/>
      <c r="I16" s="277">
        <f>(252000+2500000)+85050+3024412+498000</f>
        <v>6359462</v>
      </c>
      <c r="J16" s="277"/>
    </row>
    <row r="17" spans="2:11" ht="89.45" customHeight="1" x14ac:dyDescent="0.2">
      <c r="B17" s="274" t="s">
        <v>300</v>
      </c>
      <c r="C17" s="274" t="s">
        <v>296</v>
      </c>
      <c r="D17" s="274" t="s">
        <v>301</v>
      </c>
      <c r="E17" s="274" t="s">
        <v>625</v>
      </c>
      <c r="F17" s="275" t="s">
        <v>90</v>
      </c>
      <c r="G17" s="275"/>
      <c r="H17" s="276"/>
      <c r="I17" s="277">
        <f>((171000+2450000-200000)-200000)+3289000+2395200+3800000+1755405+209983.74+832762.3+69030+130614+70500+771570+507746</f>
        <v>16052811.040000001</v>
      </c>
      <c r="J17" s="277"/>
    </row>
    <row r="18" spans="2:11" ht="89.45" customHeight="1" x14ac:dyDescent="0.2">
      <c r="B18" s="274" t="s">
        <v>300</v>
      </c>
      <c r="C18" s="274" t="s">
        <v>296</v>
      </c>
      <c r="D18" s="274" t="s">
        <v>301</v>
      </c>
      <c r="E18" s="274" t="s">
        <v>625</v>
      </c>
      <c r="F18" s="159" t="s">
        <v>715</v>
      </c>
      <c r="G18" s="275" t="s">
        <v>762</v>
      </c>
      <c r="H18" s="276">
        <v>305362</v>
      </c>
      <c r="I18" s="277">
        <v>100000</v>
      </c>
      <c r="J18" s="278">
        <f>I18/H18</f>
        <v>0.32748017107564137</v>
      </c>
    </row>
    <row r="19" spans="2:11" ht="105" x14ac:dyDescent="0.2">
      <c r="B19" s="274" t="s">
        <v>300</v>
      </c>
      <c r="C19" s="274" t="s">
        <v>296</v>
      </c>
      <c r="D19" s="274" t="s">
        <v>301</v>
      </c>
      <c r="E19" s="274" t="s">
        <v>625</v>
      </c>
      <c r="F19" s="159" t="s">
        <v>797</v>
      </c>
      <c r="G19" s="275" t="s">
        <v>790</v>
      </c>
      <c r="H19" s="276">
        <v>1601181</v>
      </c>
      <c r="I19" s="277">
        <f>200000+655000</f>
        <v>855000</v>
      </c>
      <c r="J19" s="278">
        <v>1</v>
      </c>
    </row>
    <row r="20" spans="2:11" ht="75" x14ac:dyDescent="0.2">
      <c r="B20" s="274" t="s">
        <v>300</v>
      </c>
      <c r="C20" s="274" t="s">
        <v>296</v>
      </c>
      <c r="D20" s="274" t="s">
        <v>301</v>
      </c>
      <c r="E20" s="274" t="s">
        <v>625</v>
      </c>
      <c r="F20" s="159" t="s">
        <v>830</v>
      </c>
      <c r="G20" s="275" t="s">
        <v>762</v>
      </c>
      <c r="H20" s="276">
        <v>1482763</v>
      </c>
      <c r="I20" s="277">
        <f>200000+1282763</f>
        <v>1482763</v>
      </c>
      <c r="J20" s="278">
        <f>I20/H20</f>
        <v>1</v>
      </c>
    </row>
    <row r="21" spans="2:11" ht="89.45" customHeight="1" x14ac:dyDescent="0.2">
      <c r="B21" s="274" t="s">
        <v>300</v>
      </c>
      <c r="C21" s="274" t="s">
        <v>296</v>
      </c>
      <c r="D21" s="274" t="s">
        <v>301</v>
      </c>
      <c r="E21" s="274" t="s">
        <v>625</v>
      </c>
      <c r="F21" s="159" t="s">
        <v>848</v>
      </c>
      <c r="G21" s="275" t="s">
        <v>832</v>
      </c>
      <c r="H21" s="276">
        <v>1497539</v>
      </c>
      <c r="I21" s="277">
        <v>300000</v>
      </c>
      <c r="J21" s="278">
        <f>I21/H21</f>
        <v>0.20032867257547216</v>
      </c>
      <c r="K21" s="16" t="s">
        <v>835</v>
      </c>
    </row>
    <row r="22" spans="2:11" ht="90" x14ac:dyDescent="0.2">
      <c r="B22" s="274" t="s">
        <v>304</v>
      </c>
      <c r="C22" s="274" t="s">
        <v>303</v>
      </c>
      <c r="D22" s="274" t="s">
        <v>305</v>
      </c>
      <c r="E22" s="274" t="s">
        <v>32</v>
      </c>
      <c r="F22" s="275" t="s">
        <v>90</v>
      </c>
      <c r="G22" s="275"/>
      <c r="H22" s="276"/>
      <c r="I22" s="277">
        <f>9000+30000</f>
        <v>39000</v>
      </c>
      <c r="J22" s="277"/>
    </row>
    <row r="23" spans="2:11" ht="45" x14ac:dyDescent="0.2">
      <c r="B23" s="274" t="s">
        <v>306</v>
      </c>
      <c r="C23" s="274" t="s">
        <v>287</v>
      </c>
      <c r="D23" s="274" t="s">
        <v>275</v>
      </c>
      <c r="E23" s="274" t="s">
        <v>33</v>
      </c>
      <c r="F23" s="275" t="s">
        <v>90</v>
      </c>
      <c r="G23" s="275"/>
      <c r="H23" s="276"/>
      <c r="I23" s="277">
        <f>18000+2000000+60000</f>
        <v>2078000</v>
      </c>
      <c r="J23" s="277"/>
    </row>
    <row r="24" spans="2:11" ht="45" x14ac:dyDescent="0.2">
      <c r="B24" s="274" t="s">
        <v>306</v>
      </c>
      <c r="C24" s="274" t="s">
        <v>287</v>
      </c>
      <c r="D24" s="274" t="s">
        <v>275</v>
      </c>
      <c r="E24" s="274" t="s">
        <v>33</v>
      </c>
      <c r="F24" s="159" t="s">
        <v>621</v>
      </c>
      <c r="G24" s="275" t="s">
        <v>790</v>
      </c>
      <c r="H24" s="276">
        <v>1064162</v>
      </c>
      <c r="I24" s="277">
        <f>300000+300000</f>
        <v>600000</v>
      </c>
      <c r="J24" s="278">
        <v>1</v>
      </c>
    </row>
    <row r="25" spans="2:11" ht="30" x14ac:dyDescent="0.2">
      <c r="B25" s="274" t="s">
        <v>307</v>
      </c>
      <c r="C25" s="274" t="s">
        <v>308</v>
      </c>
      <c r="D25" s="274" t="s">
        <v>309</v>
      </c>
      <c r="E25" s="274" t="s">
        <v>310</v>
      </c>
      <c r="F25" s="275" t="s">
        <v>90</v>
      </c>
      <c r="G25" s="275"/>
      <c r="H25" s="276"/>
      <c r="I25" s="277">
        <v>216557</v>
      </c>
      <c r="J25" s="278"/>
    </row>
    <row r="26" spans="2:11" ht="30" x14ac:dyDescent="0.2">
      <c r="B26" s="274" t="s">
        <v>501</v>
      </c>
      <c r="C26" s="274" t="s">
        <v>502</v>
      </c>
      <c r="D26" s="274" t="s">
        <v>314</v>
      </c>
      <c r="E26" s="274" t="s">
        <v>500</v>
      </c>
      <c r="F26" s="275" t="s">
        <v>90</v>
      </c>
      <c r="G26" s="275"/>
      <c r="H26" s="276"/>
      <c r="I26" s="277">
        <v>9000</v>
      </c>
      <c r="J26" s="277"/>
    </row>
    <row r="27" spans="2:11" ht="30" x14ac:dyDescent="0.2">
      <c r="B27" s="351" t="s">
        <v>824</v>
      </c>
      <c r="C27" s="351" t="s">
        <v>825</v>
      </c>
      <c r="D27" s="351" t="s">
        <v>314</v>
      </c>
      <c r="E27" s="274" t="s">
        <v>826</v>
      </c>
      <c r="F27" s="275" t="s">
        <v>90</v>
      </c>
      <c r="G27" s="275"/>
      <c r="H27" s="276"/>
      <c r="I27" s="277">
        <v>200000</v>
      </c>
      <c r="J27" s="277"/>
    </row>
    <row r="28" spans="2:11" ht="19.5" customHeight="1" x14ac:dyDescent="0.2">
      <c r="B28" s="274" t="s">
        <v>316</v>
      </c>
      <c r="C28" s="274" t="s">
        <v>317</v>
      </c>
      <c r="D28" s="274" t="s">
        <v>318</v>
      </c>
      <c r="E28" s="274" t="s">
        <v>67</v>
      </c>
      <c r="F28" s="275" t="s">
        <v>90</v>
      </c>
      <c r="G28" s="275"/>
      <c r="H28" s="276"/>
      <c r="I28" s="277">
        <v>5000000</v>
      </c>
      <c r="J28" s="277"/>
    </row>
    <row r="29" spans="2:11" ht="45" x14ac:dyDescent="0.2">
      <c r="B29" s="362" t="s">
        <v>240</v>
      </c>
      <c r="C29" s="363"/>
      <c r="D29" s="363"/>
      <c r="E29" s="295" t="s">
        <v>36</v>
      </c>
      <c r="F29" s="303"/>
      <c r="G29" s="304"/>
      <c r="H29" s="304"/>
      <c r="I29" s="298">
        <f>I30</f>
        <v>21406367</v>
      </c>
      <c r="J29" s="298"/>
    </row>
    <row r="30" spans="2:11" ht="42.75" x14ac:dyDescent="0.2">
      <c r="B30" s="293" t="s">
        <v>241</v>
      </c>
      <c r="C30" s="293"/>
      <c r="D30" s="293"/>
      <c r="E30" s="302" t="s">
        <v>59</v>
      </c>
      <c r="F30" s="303"/>
      <c r="G30" s="304"/>
      <c r="H30" s="304"/>
      <c r="I30" s="305">
        <f>SUM(I31:I41)</f>
        <v>21406367</v>
      </c>
      <c r="J30" s="305"/>
    </row>
    <row r="31" spans="2:11" ht="30" x14ac:dyDescent="0.2">
      <c r="B31" s="274" t="s">
        <v>319</v>
      </c>
      <c r="C31" s="274" t="s">
        <v>315</v>
      </c>
      <c r="D31" s="274" t="s">
        <v>320</v>
      </c>
      <c r="E31" s="274" t="s">
        <v>37</v>
      </c>
      <c r="F31" s="275" t="s">
        <v>90</v>
      </c>
      <c r="G31" s="275"/>
      <c r="H31" s="275"/>
      <c r="I31" s="277">
        <f>(3342900)-208200-167638+907400+500000+200000+1000000+574630+1500000+208200+167638-130216</f>
        <v>7894714</v>
      </c>
      <c r="J31" s="277"/>
    </row>
    <row r="32" spans="2:11" ht="135" x14ac:dyDescent="0.2">
      <c r="B32" s="274" t="s">
        <v>319</v>
      </c>
      <c r="C32" s="274" t="s">
        <v>315</v>
      </c>
      <c r="D32" s="274" t="s">
        <v>320</v>
      </c>
      <c r="E32" s="274" t="s">
        <v>37</v>
      </c>
      <c r="F32" s="274" t="s">
        <v>896</v>
      </c>
      <c r="G32" s="275"/>
      <c r="H32" s="275"/>
      <c r="I32" s="277">
        <v>350000</v>
      </c>
      <c r="J32" s="277"/>
    </row>
    <row r="33" spans="1:10" ht="90" x14ac:dyDescent="0.2">
      <c r="B33" s="274" t="s">
        <v>319</v>
      </c>
      <c r="C33" s="274" t="s">
        <v>315</v>
      </c>
      <c r="D33" s="274" t="s">
        <v>320</v>
      </c>
      <c r="E33" s="274" t="s">
        <v>37</v>
      </c>
      <c r="F33" s="159" t="s">
        <v>895</v>
      </c>
      <c r="G33" s="275"/>
      <c r="H33" s="275"/>
      <c r="I33" s="277">
        <f>390000+2000000</f>
        <v>2390000</v>
      </c>
      <c r="J33" s="277"/>
    </row>
    <row r="34" spans="1:10" ht="30" x14ac:dyDescent="0.2">
      <c r="A34" s="137"/>
      <c r="B34" s="274" t="s">
        <v>321</v>
      </c>
      <c r="C34" s="274" t="s">
        <v>322</v>
      </c>
      <c r="D34" s="274" t="s">
        <v>323</v>
      </c>
      <c r="E34" s="274" t="s">
        <v>324</v>
      </c>
      <c r="F34" s="275" t="s">
        <v>90</v>
      </c>
      <c r="G34" s="277"/>
      <c r="H34" s="277"/>
      <c r="I34" s="277">
        <v>126000</v>
      </c>
      <c r="J34" s="277"/>
    </row>
    <row r="35" spans="1:10" ht="52.5" customHeight="1" x14ac:dyDescent="0.2">
      <c r="B35" s="274" t="s">
        <v>325</v>
      </c>
      <c r="C35" s="274" t="s">
        <v>326</v>
      </c>
      <c r="D35" s="274" t="s">
        <v>327</v>
      </c>
      <c r="E35" s="274" t="s">
        <v>548</v>
      </c>
      <c r="F35" s="275" t="s">
        <v>90</v>
      </c>
      <c r="G35" s="275"/>
      <c r="H35" s="275"/>
      <c r="I35" s="277">
        <f>939600-99000</f>
        <v>840600</v>
      </c>
      <c r="J35" s="277"/>
    </row>
    <row r="36" spans="1:10" ht="52.5" customHeight="1" x14ac:dyDescent="0.2">
      <c r="B36" s="274" t="s">
        <v>328</v>
      </c>
      <c r="C36" s="274" t="s">
        <v>329</v>
      </c>
      <c r="D36" s="274" t="s">
        <v>330</v>
      </c>
      <c r="E36" s="274" t="s">
        <v>331</v>
      </c>
      <c r="F36" s="275" t="s">
        <v>90</v>
      </c>
      <c r="G36" s="275"/>
      <c r="H36" s="275"/>
      <c r="I36" s="277">
        <v>1600000</v>
      </c>
      <c r="J36" s="277"/>
    </row>
    <row r="37" spans="1:10" ht="100.5" customHeight="1" x14ac:dyDescent="0.2">
      <c r="B37" s="274" t="s">
        <v>505</v>
      </c>
      <c r="C37" s="274" t="s">
        <v>507</v>
      </c>
      <c r="D37" s="351" t="s">
        <v>335</v>
      </c>
      <c r="E37" s="340" t="s">
        <v>503</v>
      </c>
      <c r="F37" s="340" t="s">
        <v>897</v>
      </c>
      <c r="G37" s="275"/>
      <c r="H37" s="275"/>
      <c r="I37" s="277">
        <f>167704-60000</f>
        <v>107704</v>
      </c>
      <c r="J37" s="277"/>
    </row>
    <row r="38" spans="1:10" ht="30" x14ac:dyDescent="0.2">
      <c r="B38" s="274" t="s">
        <v>892</v>
      </c>
      <c r="C38" s="274" t="s">
        <v>293</v>
      </c>
      <c r="D38" s="274" t="s">
        <v>256</v>
      </c>
      <c r="E38" s="274" t="s">
        <v>57</v>
      </c>
      <c r="F38" s="275" t="s">
        <v>90</v>
      </c>
      <c r="G38" s="275"/>
      <c r="H38" s="275"/>
      <c r="I38" s="277">
        <f>215650+500000+1300000+32670+2270000+99100+189000+89000+137600+27500+18340+16016+45000+47500+1600000+208200+167638+25000-208200-167638-1600000+130216</f>
        <v>5142592</v>
      </c>
      <c r="J38" s="277"/>
    </row>
    <row r="39" spans="1:10" ht="90" x14ac:dyDescent="0.2">
      <c r="B39" s="274" t="s">
        <v>892</v>
      </c>
      <c r="C39" s="274" t="s">
        <v>293</v>
      </c>
      <c r="D39" s="274" t="s">
        <v>256</v>
      </c>
      <c r="E39" s="274" t="s">
        <v>57</v>
      </c>
      <c r="F39" s="159" t="s">
        <v>923</v>
      </c>
      <c r="G39" s="275"/>
      <c r="H39" s="275"/>
      <c r="I39" s="277">
        <v>600000</v>
      </c>
      <c r="J39" s="277"/>
    </row>
    <row r="40" spans="1:10" ht="105" x14ac:dyDescent="0.2">
      <c r="B40" s="274" t="s">
        <v>892</v>
      </c>
      <c r="C40" s="274" t="s">
        <v>293</v>
      </c>
      <c r="D40" s="274" t="s">
        <v>256</v>
      </c>
      <c r="E40" s="274" t="s">
        <v>57</v>
      </c>
      <c r="F40" s="159" t="s">
        <v>920</v>
      </c>
      <c r="G40" s="275"/>
      <c r="H40" s="275"/>
      <c r="I40" s="277">
        <f>(200000)+1000000</f>
        <v>1200000</v>
      </c>
      <c r="J40" s="277"/>
    </row>
    <row r="41" spans="1:10" ht="15" x14ac:dyDescent="0.2">
      <c r="B41" s="274" t="s">
        <v>894</v>
      </c>
      <c r="C41" s="274" t="s">
        <v>598</v>
      </c>
      <c r="D41" s="274" t="s">
        <v>71</v>
      </c>
      <c r="E41" s="274" t="s">
        <v>599</v>
      </c>
      <c r="F41" s="275" t="s">
        <v>90</v>
      </c>
      <c r="G41" s="275"/>
      <c r="H41" s="275"/>
      <c r="I41" s="277">
        <f>750692+35300+150000+218765</f>
        <v>1154757</v>
      </c>
      <c r="J41" s="277"/>
    </row>
    <row r="42" spans="1:10" ht="45" x14ac:dyDescent="0.2">
      <c r="B42" s="293" t="s">
        <v>242</v>
      </c>
      <c r="C42" s="293"/>
      <c r="D42" s="293"/>
      <c r="E42" s="295" t="s">
        <v>60</v>
      </c>
      <c r="F42" s="303"/>
      <c r="G42" s="304"/>
      <c r="H42" s="304"/>
      <c r="I42" s="298">
        <f>I43</f>
        <v>9852580</v>
      </c>
      <c r="J42" s="298"/>
    </row>
    <row r="43" spans="1:10" ht="57" x14ac:dyDescent="0.2">
      <c r="B43" s="299" t="s">
        <v>243</v>
      </c>
      <c r="C43" s="299"/>
      <c r="D43" s="299"/>
      <c r="E43" s="302" t="s">
        <v>61</v>
      </c>
      <c r="F43" s="303"/>
      <c r="G43" s="304"/>
      <c r="H43" s="304"/>
      <c r="I43" s="305">
        <f>SUM(I44:I53)</f>
        <v>9852580</v>
      </c>
      <c r="J43" s="305"/>
    </row>
    <row r="44" spans="1:10" ht="45" x14ac:dyDescent="0.2">
      <c r="B44" s="274" t="s">
        <v>721</v>
      </c>
      <c r="C44" s="274" t="s">
        <v>341</v>
      </c>
      <c r="D44" s="274" t="s">
        <v>339</v>
      </c>
      <c r="E44" s="274" t="s">
        <v>340</v>
      </c>
      <c r="F44" s="275" t="s">
        <v>90</v>
      </c>
      <c r="G44" s="275"/>
      <c r="H44" s="275"/>
      <c r="I44" s="276">
        <v>450000</v>
      </c>
      <c r="J44" s="276"/>
    </row>
    <row r="45" spans="1:10" ht="30" x14ac:dyDescent="0.2">
      <c r="B45" s="274" t="s">
        <v>406</v>
      </c>
      <c r="C45" s="274" t="s">
        <v>407</v>
      </c>
      <c r="D45" s="274" t="s">
        <v>302</v>
      </c>
      <c r="E45" s="326" t="s">
        <v>408</v>
      </c>
      <c r="F45" s="275" t="s">
        <v>90</v>
      </c>
      <c r="G45" s="352"/>
      <c r="H45" s="352"/>
      <c r="I45" s="277">
        <v>100000</v>
      </c>
      <c r="J45" s="277"/>
    </row>
    <row r="46" spans="1:10" ht="75" customHeight="1" x14ac:dyDescent="0.2">
      <c r="B46" s="274" t="s">
        <v>404</v>
      </c>
      <c r="C46" s="274" t="s">
        <v>402</v>
      </c>
      <c r="D46" s="274" t="s">
        <v>296</v>
      </c>
      <c r="E46" s="274" t="s">
        <v>35</v>
      </c>
      <c r="F46" s="275" t="s">
        <v>90</v>
      </c>
      <c r="G46" s="275"/>
      <c r="H46" s="275"/>
      <c r="I46" s="276">
        <f>(175000)+20000+10000</f>
        <v>205000</v>
      </c>
      <c r="J46" s="276"/>
    </row>
    <row r="47" spans="1:10" ht="75" customHeight="1" x14ac:dyDescent="0.2">
      <c r="B47" s="274" t="s">
        <v>405</v>
      </c>
      <c r="C47" s="274" t="s">
        <v>403</v>
      </c>
      <c r="D47" s="274" t="s">
        <v>295</v>
      </c>
      <c r="E47" s="274" t="s">
        <v>511</v>
      </c>
      <c r="F47" s="275" t="s">
        <v>90</v>
      </c>
      <c r="G47" s="275"/>
      <c r="H47" s="275"/>
      <c r="I47" s="276">
        <f>3000+226250+45000</f>
        <v>274250</v>
      </c>
      <c r="J47" s="276"/>
    </row>
    <row r="48" spans="1:10" ht="45" x14ac:dyDescent="0.2">
      <c r="B48" s="274" t="s">
        <v>520</v>
      </c>
      <c r="C48" s="274" t="s">
        <v>522</v>
      </c>
      <c r="D48" s="274" t="s">
        <v>287</v>
      </c>
      <c r="E48" s="340" t="s">
        <v>524</v>
      </c>
      <c r="F48" s="275" t="s">
        <v>90</v>
      </c>
      <c r="G48" s="277"/>
      <c r="H48" s="339"/>
      <c r="I48" s="276">
        <f>(300000+900000+650000)+10000+10000+379343+16000+28650+213910-10400</f>
        <v>2497503</v>
      </c>
      <c r="J48" s="276"/>
    </row>
    <row r="49" spans="1:11" ht="105" x14ac:dyDescent="0.2">
      <c r="B49" s="274" t="s">
        <v>520</v>
      </c>
      <c r="C49" s="274" t="s">
        <v>522</v>
      </c>
      <c r="D49" s="274" t="s">
        <v>287</v>
      </c>
      <c r="E49" s="340" t="s">
        <v>524</v>
      </c>
      <c r="F49" s="159" t="s">
        <v>796</v>
      </c>
      <c r="G49" s="275" t="s">
        <v>762</v>
      </c>
      <c r="H49" s="339">
        <v>406827</v>
      </c>
      <c r="I49" s="276">
        <f>180000+226827</f>
        <v>406827</v>
      </c>
      <c r="J49" s="338">
        <f>I49/H49</f>
        <v>1</v>
      </c>
      <c r="K49" s="159" t="s">
        <v>702</v>
      </c>
    </row>
    <row r="50" spans="1:11" ht="30" x14ac:dyDescent="0.2">
      <c r="B50" s="274" t="s">
        <v>521</v>
      </c>
      <c r="C50" s="274" t="s">
        <v>523</v>
      </c>
      <c r="D50" s="274" t="s">
        <v>287</v>
      </c>
      <c r="E50" s="340" t="s">
        <v>525</v>
      </c>
      <c r="F50" s="275" t="s">
        <v>90</v>
      </c>
      <c r="G50" s="275"/>
      <c r="H50" s="339"/>
      <c r="I50" s="276">
        <v>199000</v>
      </c>
      <c r="J50" s="338"/>
      <c r="K50" s="341"/>
    </row>
    <row r="51" spans="1:11" ht="30" x14ac:dyDescent="0.2">
      <c r="B51" s="274" t="s">
        <v>521</v>
      </c>
      <c r="C51" s="274" t="s">
        <v>523</v>
      </c>
      <c r="D51" s="274" t="s">
        <v>287</v>
      </c>
      <c r="E51" s="340" t="s">
        <v>525</v>
      </c>
      <c r="F51" s="159" t="s">
        <v>570</v>
      </c>
      <c r="G51" s="277"/>
      <c r="H51" s="277"/>
      <c r="I51" s="276">
        <v>220000</v>
      </c>
      <c r="J51" s="276"/>
    </row>
    <row r="52" spans="1:11" ht="30" x14ac:dyDescent="0.2">
      <c r="B52" s="274" t="s">
        <v>605</v>
      </c>
      <c r="C52" s="274" t="s">
        <v>603</v>
      </c>
      <c r="D52" s="274" t="s">
        <v>539</v>
      </c>
      <c r="E52" s="340" t="s">
        <v>604</v>
      </c>
      <c r="F52" s="275" t="s">
        <v>90</v>
      </c>
      <c r="G52" s="277"/>
      <c r="H52" s="339"/>
      <c r="I52" s="276">
        <v>3500000</v>
      </c>
      <c r="J52" s="276"/>
    </row>
    <row r="53" spans="1:11" ht="105" x14ac:dyDescent="0.2">
      <c r="B53" s="274" t="s">
        <v>703</v>
      </c>
      <c r="C53" s="274" t="s">
        <v>704</v>
      </c>
      <c r="D53" s="274" t="s">
        <v>450</v>
      </c>
      <c r="E53" s="340" t="s">
        <v>705</v>
      </c>
      <c r="F53" s="159" t="s">
        <v>706</v>
      </c>
      <c r="G53" s="276" t="s">
        <v>832</v>
      </c>
      <c r="H53" s="339">
        <v>8638500</v>
      </c>
      <c r="I53" s="276">
        <f>(1000000)+1000000</f>
        <v>2000000</v>
      </c>
      <c r="J53" s="315">
        <f>I53/H53</f>
        <v>0.23152167621693581</v>
      </c>
    </row>
    <row r="54" spans="1:11" ht="45" x14ac:dyDescent="0.2">
      <c r="A54" s="348"/>
      <c r="B54" s="349">
        <v>1000000</v>
      </c>
      <c r="C54" s="349"/>
      <c r="D54" s="349"/>
      <c r="E54" s="293" t="s">
        <v>43</v>
      </c>
      <c r="F54" s="303"/>
      <c r="G54" s="304"/>
      <c r="H54" s="304"/>
      <c r="I54" s="298">
        <f>I55</f>
        <v>8279954</v>
      </c>
      <c r="J54" s="298"/>
    </row>
    <row r="55" spans="1:11" ht="42.75" x14ac:dyDescent="0.2">
      <c r="A55" s="348"/>
      <c r="B55" s="350">
        <v>1010000</v>
      </c>
      <c r="C55" s="350"/>
      <c r="D55" s="350"/>
      <c r="E55" s="299" t="s">
        <v>62</v>
      </c>
      <c r="F55" s="303"/>
      <c r="G55" s="304"/>
      <c r="H55" s="304"/>
      <c r="I55" s="305">
        <f>SUM(I56:I62)</f>
        <v>8279954</v>
      </c>
      <c r="J55" s="305"/>
    </row>
    <row r="56" spans="1:11" ht="60" x14ac:dyDescent="0.2">
      <c r="B56" s="274" t="s">
        <v>34</v>
      </c>
      <c r="C56" s="274" t="s">
        <v>274</v>
      </c>
      <c r="D56" s="274" t="s">
        <v>275</v>
      </c>
      <c r="E56" s="274" t="s">
        <v>273</v>
      </c>
      <c r="F56" s="275" t="s">
        <v>90</v>
      </c>
      <c r="G56" s="275"/>
      <c r="H56" s="275"/>
      <c r="I56" s="276">
        <f>(386442)+67100+547508</f>
        <v>1001050</v>
      </c>
      <c r="J56" s="276"/>
    </row>
    <row r="57" spans="1:11" ht="60" x14ac:dyDescent="0.2">
      <c r="B57" s="274" t="s">
        <v>34</v>
      </c>
      <c r="C57" s="274" t="s">
        <v>274</v>
      </c>
      <c r="D57" s="274" t="s">
        <v>275</v>
      </c>
      <c r="E57" s="274" t="s">
        <v>273</v>
      </c>
      <c r="F57" s="159" t="s">
        <v>857</v>
      </c>
      <c r="G57" s="276" t="s">
        <v>790</v>
      </c>
      <c r="H57" s="275">
        <v>431954</v>
      </c>
      <c r="I57" s="276">
        <v>431954</v>
      </c>
      <c r="J57" s="315">
        <v>1</v>
      </c>
    </row>
    <row r="58" spans="1:11" ht="15" x14ac:dyDescent="0.2">
      <c r="B58" s="274" t="s">
        <v>263</v>
      </c>
      <c r="C58" s="274" t="s">
        <v>264</v>
      </c>
      <c r="D58" s="274" t="s">
        <v>265</v>
      </c>
      <c r="E58" s="274" t="s">
        <v>266</v>
      </c>
      <c r="F58" s="275" t="s">
        <v>90</v>
      </c>
      <c r="G58" s="275"/>
      <c r="H58" s="275"/>
      <c r="I58" s="276">
        <f>400000+87250+46500+98200</f>
        <v>631950</v>
      </c>
      <c r="J58" s="276"/>
    </row>
    <row r="59" spans="1:11" ht="15" x14ac:dyDescent="0.2">
      <c r="B59" s="274" t="s">
        <v>267</v>
      </c>
      <c r="C59" s="274" t="s">
        <v>268</v>
      </c>
      <c r="D59" s="274" t="s">
        <v>265</v>
      </c>
      <c r="E59" s="274" t="s">
        <v>269</v>
      </c>
      <c r="F59" s="275" t="s">
        <v>90</v>
      </c>
      <c r="G59" s="275"/>
      <c r="H59" s="275"/>
      <c r="I59" s="276">
        <v>70000</v>
      </c>
      <c r="J59" s="276"/>
    </row>
    <row r="60" spans="1:11" ht="60" x14ac:dyDescent="0.2">
      <c r="B60" s="274" t="s">
        <v>267</v>
      </c>
      <c r="C60" s="274" t="s">
        <v>268</v>
      </c>
      <c r="D60" s="274" t="s">
        <v>265</v>
      </c>
      <c r="E60" s="274" t="s">
        <v>269</v>
      </c>
      <c r="F60" s="159" t="s">
        <v>31</v>
      </c>
      <c r="G60" s="276" t="s">
        <v>698</v>
      </c>
      <c r="H60" s="276">
        <v>26997397.190000001</v>
      </c>
      <c r="I60" s="276">
        <f>(2930000)+2000000</f>
        <v>4930000</v>
      </c>
      <c r="J60" s="338">
        <f>1-((18158597.19-2000000)/H60)</f>
        <v>0.40147573944701442</v>
      </c>
    </row>
    <row r="61" spans="1:11" ht="45" x14ac:dyDescent="0.2">
      <c r="B61" s="274" t="s">
        <v>270</v>
      </c>
      <c r="C61" s="274" t="s">
        <v>259</v>
      </c>
      <c r="D61" s="274" t="s">
        <v>271</v>
      </c>
      <c r="E61" s="274" t="s">
        <v>272</v>
      </c>
      <c r="F61" s="275" t="s">
        <v>90</v>
      </c>
      <c r="G61" s="276"/>
      <c r="H61" s="339"/>
      <c r="I61" s="276">
        <f>(500000)+630000+60000</f>
        <v>1190000</v>
      </c>
      <c r="J61" s="276"/>
    </row>
    <row r="62" spans="1:11" ht="30" x14ac:dyDescent="0.2">
      <c r="B62" s="274" t="s">
        <v>856</v>
      </c>
      <c r="C62" s="274" t="s">
        <v>293</v>
      </c>
      <c r="D62" s="274" t="s">
        <v>256</v>
      </c>
      <c r="E62" s="274" t="s">
        <v>57</v>
      </c>
      <c r="F62" s="275" t="s">
        <v>90</v>
      </c>
      <c r="G62" s="276"/>
      <c r="H62" s="339"/>
      <c r="I62" s="276">
        <v>25000</v>
      </c>
      <c r="J62" s="276"/>
    </row>
    <row r="63" spans="1:11" ht="45" x14ac:dyDescent="0.2">
      <c r="B63" s="349" t="s">
        <v>40</v>
      </c>
      <c r="C63" s="349"/>
      <c r="D63" s="349"/>
      <c r="E63" s="293" t="s">
        <v>41</v>
      </c>
      <c r="F63" s="303"/>
      <c r="G63" s="304"/>
      <c r="H63" s="304"/>
      <c r="I63" s="298">
        <f>I64</f>
        <v>3183421</v>
      </c>
      <c r="J63" s="298"/>
    </row>
    <row r="64" spans="1:11" ht="42.75" x14ac:dyDescent="0.2">
      <c r="B64" s="350" t="s">
        <v>39</v>
      </c>
      <c r="C64" s="350"/>
      <c r="D64" s="350"/>
      <c r="E64" s="299" t="s">
        <v>58</v>
      </c>
      <c r="F64" s="303"/>
      <c r="G64" s="304"/>
      <c r="H64" s="304"/>
      <c r="I64" s="305">
        <f>SUM(I65:I71)</f>
        <v>3183421</v>
      </c>
      <c r="J64" s="305"/>
    </row>
    <row r="65" spans="2:10" ht="45" x14ac:dyDescent="0.2">
      <c r="B65" s="274" t="s">
        <v>277</v>
      </c>
      <c r="C65" s="274" t="s">
        <v>278</v>
      </c>
      <c r="D65" s="274" t="s">
        <v>279</v>
      </c>
      <c r="E65" s="274" t="s">
        <v>280</v>
      </c>
      <c r="F65" s="275" t="s">
        <v>90</v>
      </c>
      <c r="G65" s="275"/>
      <c r="H65" s="275"/>
      <c r="I65" s="277">
        <v>53278</v>
      </c>
      <c r="J65" s="369"/>
    </row>
    <row r="66" spans="2:10" s="139" customFormat="1" ht="30" x14ac:dyDescent="0.2">
      <c r="B66" s="274" t="s">
        <v>284</v>
      </c>
      <c r="C66" s="274" t="s">
        <v>285</v>
      </c>
      <c r="D66" s="274" t="s">
        <v>279</v>
      </c>
      <c r="E66" s="274" t="s">
        <v>23</v>
      </c>
      <c r="F66" s="275" t="s">
        <v>90</v>
      </c>
      <c r="G66" s="366"/>
      <c r="H66" s="366"/>
      <c r="I66" s="277">
        <f>(592430)+199000+285686</f>
        <v>1077116</v>
      </c>
      <c r="J66" s="277"/>
    </row>
    <row r="67" spans="2:10" s="139" customFormat="1" ht="60" x14ac:dyDescent="0.2">
      <c r="B67" s="274" t="s">
        <v>284</v>
      </c>
      <c r="C67" s="274" t="s">
        <v>285</v>
      </c>
      <c r="D67" s="274" t="s">
        <v>279</v>
      </c>
      <c r="E67" s="274" t="s">
        <v>23</v>
      </c>
      <c r="F67" s="274" t="s">
        <v>915</v>
      </c>
      <c r="G67" s="366"/>
      <c r="H67" s="366"/>
      <c r="I67" s="277">
        <v>66820</v>
      </c>
      <c r="J67" s="277"/>
    </row>
    <row r="68" spans="2:10" s="139" customFormat="1" ht="15" x14ac:dyDescent="0.2">
      <c r="B68" s="274" t="s">
        <v>571</v>
      </c>
      <c r="C68" s="274" t="s">
        <v>572</v>
      </c>
      <c r="D68" s="274" t="s">
        <v>279</v>
      </c>
      <c r="E68" s="274" t="s">
        <v>573</v>
      </c>
      <c r="F68" s="275" t="s">
        <v>90</v>
      </c>
      <c r="G68" s="366"/>
      <c r="H68" s="366"/>
      <c r="I68" s="277">
        <f>(816103)+45000+6600+100000+280000+119000</f>
        <v>1366703</v>
      </c>
      <c r="J68" s="277"/>
    </row>
    <row r="69" spans="2:10" s="139" customFormat="1" ht="45" x14ac:dyDescent="0.2">
      <c r="B69" s="274" t="s">
        <v>49</v>
      </c>
      <c r="C69" s="274" t="s">
        <v>288</v>
      </c>
      <c r="D69" s="274" t="s">
        <v>291</v>
      </c>
      <c r="E69" s="274" t="s">
        <v>77</v>
      </c>
      <c r="F69" s="275" t="s">
        <v>90</v>
      </c>
      <c r="G69" s="366"/>
      <c r="H69" s="366"/>
      <c r="I69" s="277">
        <f>140000+199800</f>
        <v>339800</v>
      </c>
      <c r="J69" s="277"/>
    </row>
    <row r="70" spans="2:10" s="139" customFormat="1" ht="90" x14ac:dyDescent="0.2">
      <c r="B70" s="274" t="s">
        <v>49</v>
      </c>
      <c r="C70" s="274" t="s">
        <v>288</v>
      </c>
      <c r="D70" s="274" t="s">
        <v>291</v>
      </c>
      <c r="E70" s="274" t="s">
        <v>77</v>
      </c>
      <c r="F70" s="159" t="s">
        <v>909</v>
      </c>
      <c r="G70" s="276" t="s">
        <v>793</v>
      </c>
      <c r="H70" s="366">
        <v>5311662</v>
      </c>
      <c r="I70" s="277">
        <v>180000</v>
      </c>
      <c r="J70" s="278">
        <f>(1000300+I70)/H70</f>
        <v>0.22220916918282826</v>
      </c>
    </row>
    <row r="71" spans="2:10" s="139" customFormat="1" ht="30" x14ac:dyDescent="0.2">
      <c r="B71" s="274" t="s">
        <v>908</v>
      </c>
      <c r="C71" s="274" t="s">
        <v>293</v>
      </c>
      <c r="D71" s="274" t="s">
        <v>256</v>
      </c>
      <c r="E71" s="274" t="s">
        <v>57</v>
      </c>
      <c r="F71" s="275" t="s">
        <v>90</v>
      </c>
      <c r="G71" s="276"/>
      <c r="H71" s="366"/>
      <c r="I71" s="277">
        <v>99704</v>
      </c>
      <c r="J71" s="278"/>
    </row>
    <row r="72" spans="2:10" ht="45" x14ac:dyDescent="0.2">
      <c r="B72" s="293" t="s">
        <v>244</v>
      </c>
      <c r="C72" s="293"/>
      <c r="D72" s="293"/>
      <c r="E72" s="293" t="s">
        <v>42</v>
      </c>
      <c r="F72" s="303"/>
      <c r="G72" s="304"/>
      <c r="H72" s="304"/>
      <c r="I72" s="298">
        <f>I73</f>
        <v>220506267.31</v>
      </c>
      <c r="J72" s="298"/>
    </row>
    <row r="73" spans="2:10" ht="45" customHeight="1" x14ac:dyDescent="0.2">
      <c r="B73" s="299" t="s">
        <v>245</v>
      </c>
      <c r="C73" s="299"/>
      <c r="D73" s="299"/>
      <c r="E73" s="299" t="s">
        <v>63</v>
      </c>
      <c r="F73" s="303"/>
      <c r="G73" s="304"/>
      <c r="H73" s="304"/>
      <c r="I73" s="305">
        <f>SUM(I74:I77)+I78+I87+I88+I89+I86</f>
        <v>220506267.31</v>
      </c>
      <c r="J73" s="305"/>
    </row>
    <row r="74" spans="2:10" ht="37.5" customHeight="1" x14ac:dyDescent="0.2">
      <c r="B74" s="274" t="s">
        <v>417</v>
      </c>
      <c r="C74" s="274" t="s">
        <v>418</v>
      </c>
      <c r="D74" s="274" t="s">
        <v>539</v>
      </c>
      <c r="E74" s="274" t="s">
        <v>419</v>
      </c>
      <c r="F74" s="275" t="s">
        <v>90</v>
      </c>
      <c r="G74" s="275"/>
      <c r="H74" s="275"/>
      <c r="I74" s="313">
        <v>4550000</v>
      </c>
      <c r="J74" s="313"/>
    </row>
    <row r="75" spans="2:10" ht="53.45" customHeight="1" x14ac:dyDescent="0.2">
      <c r="B75" s="274" t="s">
        <v>447</v>
      </c>
      <c r="C75" s="274" t="s">
        <v>448</v>
      </c>
      <c r="D75" s="274" t="s">
        <v>420</v>
      </c>
      <c r="E75" s="274" t="s">
        <v>449</v>
      </c>
      <c r="F75" s="275" t="s">
        <v>90</v>
      </c>
      <c r="G75" s="275"/>
      <c r="H75" s="275"/>
      <c r="I75" s="313">
        <v>5000000</v>
      </c>
      <c r="J75" s="313"/>
    </row>
    <row r="76" spans="2:10" ht="37.5" customHeight="1" x14ac:dyDescent="0.2">
      <c r="B76" s="274" t="s">
        <v>421</v>
      </c>
      <c r="C76" s="274" t="s">
        <v>422</v>
      </c>
      <c r="D76" s="274" t="s">
        <v>420</v>
      </c>
      <c r="E76" s="274" t="s">
        <v>423</v>
      </c>
      <c r="F76" s="275" t="s">
        <v>90</v>
      </c>
      <c r="G76" s="275"/>
      <c r="H76" s="275"/>
      <c r="I76" s="313">
        <f>(23000000)+271028+1000000</f>
        <v>24271028</v>
      </c>
      <c r="J76" s="313"/>
    </row>
    <row r="77" spans="2:10" ht="37.5" customHeight="1" x14ac:dyDescent="0.2">
      <c r="B77" s="274" t="s">
        <v>427</v>
      </c>
      <c r="C77" s="274" t="s">
        <v>428</v>
      </c>
      <c r="D77" s="274" t="s">
        <v>420</v>
      </c>
      <c r="E77" s="274" t="s">
        <v>429</v>
      </c>
      <c r="F77" s="275" t="s">
        <v>90</v>
      </c>
      <c r="G77" s="275"/>
      <c r="H77" s="275"/>
      <c r="I77" s="313">
        <f>(19160721)+3210000+1000000-1000000</f>
        <v>22370721</v>
      </c>
      <c r="J77" s="313"/>
    </row>
    <row r="78" spans="2:10" ht="38.25" customHeight="1" x14ac:dyDescent="0.2">
      <c r="B78" s="274" t="s">
        <v>451</v>
      </c>
      <c r="C78" s="274" t="s">
        <v>452</v>
      </c>
      <c r="D78" s="274" t="s">
        <v>450</v>
      </c>
      <c r="E78" s="274" t="s">
        <v>486</v>
      </c>
      <c r="F78" s="275" t="s">
        <v>80</v>
      </c>
      <c r="G78" s="275"/>
      <c r="H78" s="275"/>
      <c r="I78" s="277">
        <f>I79+I80+I81+I82+I83+I85+I84</f>
        <v>8428600</v>
      </c>
      <c r="J78" s="277"/>
    </row>
    <row r="79" spans="2:10" ht="126.75" customHeight="1" x14ac:dyDescent="0.2">
      <c r="B79" s="327" t="s">
        <v>451</v>
      </c>
      <c r="C79" s="327" t="s">
        <v>452</v>
      </c>
      <c r="D79" s="327" t="s">
        <v>450</v>
      </c>
      <c r="E79" s="327" t="s">
        <v>486</v>
      </c>
      <c r="F79" s="330" t="s">
        <v>91</v>
      </c>
      <c r="G79" s="328"/>
      <c r="H79" s="328"/>
      <c r="I79" s="329">
        <v>100000</v>
      </c>
      <c r="J79" s="329"/>
    </row>
    <row r="80" spans="2:10" ht="55.5" customHeight="1" x14ac:dyDescent="0.2">
      <c r="B80" s="327" t="s">
        <v>451</v>
      </c>
      <c r="C80" s="327" t="s">
        <v>452</v>
      </c>
      <c r="D80" s="327" t="s">
        <v>450</v>
      </c>
      <c r="E80" s="327" t="s">
        <v>486</v>
      </c>
      <c r="F80" s="330" t="s">
        <v>232</v>
      </c>
      <c r="G80" s="328"/>
      <c r="H80" s="328"/>
      <c r="I80" s="329">
        <v>2000000</v>
      </c>
      <c r="J80" s="329"/>
    </row>
    <row r="81" spans="2:10" ht="48.75" customHeight="1" x14ac:dyDescent="0.2">
      <c r="B81" s="327" t="s">
        <v>451</v>
      </c>
      <c r="C81" s="327" t="s">
        <v>452</v>
      </c>
      <c r="D81" s="327" t="s">
        <v>450</v>
      </c>
      <c r="E81" s="327" t="s">
        <v>486</v>
      </c>
      <c r="F81" s="330" t="s">
        <v>487</v>
      </c>
      <c r="G81" s="328"/>
      <c r="H81" s="328"/>
      <c r="I81" s="329">
        <v>2000000</v>
      </c>
      <c r="J81" s="329"/>
    </row>
    <row r="82" spans="2:10" ht="60.75" customHeight="1" x14ac:dyDescent="0.2">
      <c r="B82" s="327" t="s">
        <v>451</v>
      </c>
      <c r="C82" s="327" t="s">
        <v>452</v>
      </c>
      <c r="D82" s="327" t="s">
        <v>450</v>
      </c>
      <c r="E82" s="327" t="s">
        <v>486</v>
      </c>
      <c r="F82" s="330" t="s">
        <v>488</v>
      </c>
      <c r="G82" s="275" t="s">
        <v>762</v>
      </c>
      <c r="H82" s="328">
        <v>3589039</v>
      </c>
      <c r="I82" s="329">
        <f>(1500000)+1888600</f>
        <v>3388600</v>
      </c>
      <c r="J82" s="315">
        <f>I82/H82</f>
        <v>0.94415245975315398</v>
      </c>
    </row>
    <row r="83" spans="2:10" ht="66" customHeight="1" x14ac:dyDescent="0.2">
      <c r="B83" s="327" t="s">
        <v>451</v>
      </c>
      <c r="C83" s="327" t="s">
        <v>452</v>
      </c>
      <c r="D83" s="327" t="s">
        <v>450</v>
      </c>
      <c r="E83" s="327" t="s">
        <v>486</v>
      </c>
      <c r="F83" s="330" t="s">
        <v>489</v>
      </c>
      <c r="G83" s="328"/>
      <c r="H83" s="328"/>
      <c r="I83" s="329">
        <v>100000</v>
      </c>
      <c r="J83" s="329"/>
    </row>
    <row r="84" spans="2:10" ht="66" customHeight="1" x14ac:dyDescent="0.2">
      <c r="B84" s="327" t="s">
        <v>451</v>
      </c>
      <c r="C84" s="327" t="s">
        <v>452</v>
      </c>
      <c r="D84" s="327" t="s">
        <v>450</v>
      </c>
      <c r="E84" s="327" t="s">
        <v>486</v>
      </c>
      <c r="F84" s="318" t="s">
        <v>846</v>
      </c>
      <c r="G84" s="328"/>
      <c r="H84" s="328"/>
      <c r="I84" s="329">
        <v>140000</v>
      </c>
      <c r="J84" s="329"/>
    </row>
    <row r="85" spans="2:10" ht="90" x14ac:dyDescent="0.2">
      <c r="B85" s="327" t="s">
        <v>451</v>
      </c>
      <c r="C85" s="327" t="s">
        <v>452</v>
      </c>
      <c r="D85" s="327" t="s">
        <v>450</v>
      </c>
      <c r="E85" s="327" t="s">
        <v>486</v>
      </c>
      <c r="F85" s="318" t="s">
        <v>931</v>
      </c>
      <c r="G85" s="328"/>
      <c r="H85" s="328"/>
      <c r="I85" s="329">
        <v>700000</v>
      </c>
      <c r="J85" s="321"/>
    </row>
    <row r="86" spans="2:10" ht="45" x14ac:dyDescent="0.2">
      <c r="B86" s="274" t="s">
        <v>858</v>
      </c>
      <c r="C86" s="274" t="s">
        <v>569</v>
      </c>
      <c r="D86" s="274" t="s">
        <v>256</v>
      </c>
      <c r="E86" s="274" t="s">
        <v>398</v>
      </c>
      <c r="F86" s="326" t="s">
        <v>2</v>
      </c>
      <c r="G86" s="275" t="s">
        <v>789</v>
      </c>
      <c r="H86" s="275">
        <v>181970000</v>
      </c>
      <c r="I86" s="313">
        <f>(4000000)-4000000+21460000+8818000</f>
        <v>30278000</v>
      </c>
      <c r="J86" s="319">
        <f>(96444100-4000000+21460000+8818000)/H86</f>
        <v>0.67440841897015991</v>
      </c>
    </row>
    <row r="87" spans="2:10" ht="45" x14ac:dyDescent="0.2">
      <c r="B87" s="274" t="s">
        <v>434</v>
      </c>
      <c r="C87" s="274" t="s">
        <v>435</v>
      </c>
      <c r="D87" s="274" t="s">
        <v>437</v>
      </c>
      <c r="E87" s="274" t="s">
        <v>436</v>
      </c>
      <c r="F87" s="275" t="s">
        <v>90</v>
      </c>
      <c r="G87" s="275"/>
      <c r="H87" s="275"/>
      <c r="I87" s="313">
        <f>(82763108-570000)+3345786.63-250000+31-1000000-500000-372000</f>
        <v>83416925.629999995</v>
      </c>
      <c r="J87" s="313"/>
    </row>
    <row r="88" spans="2:10" ht="15" x14ac:dyDescent="0.2">
      <c r="B88" s="274" t="s">
        <v>438</v>
      </c>
      <c r="C88" s="274" t="s">
        <v>317</v>
      </c>
      <c r="D88" s="274" t="s">
        <v>318</v>
      </c>
      <c r="E88" s="274" t="s">
        <v>67</v>
      </c>
      <c r="F88" s="275" t="s">
        <v>90</v>
      </c>
      <c r="G88" s="275"/>
      <c r="H88" s="275"/>
      <c r="I88" s="313">
        <f>1000000+250000</f>
        <v>1250000</v>
      </c>
      <c r="J88" s="313"/>
    </row>
    <row r="89" spans="2:10" ht="30" x14ac:dyDescent="0.2">
      <c r="B89" s="274" t="s">
        <v>455</v>
      </c>
      <c r="C89" s="274" t="s">
        <v>293</v>
      </c>
      <c r="D89" s="274" t="s">
        <v>256</v>
      </c>
      <c r="E89" s="274" t="s">
        <v>57</v>
      </c>
      <c r="F89" s="275" t="s">
        <v>80</v>
      </c>
      <c r="G89" s="275"/>
      <c r="H89" s="275"/>
      <c r="I89" s="313">
        <f>SUM(I90:I124)</f>
        <v>40940992.68</v>
      </c>
      <c r="J89" s="313"/>
    </row>
    <row r="90" spans="2:10" ht="90" x14ac:dyDescent="0.2">
      <c r="B90" s="327" t="s">
        <v>455</v>
      </c>
      <c r="C90" s="327" t="s">
        <v>293</v>
      </c>
      <c r="D90" s="327" t="s">
        <v>256</v>
      </c>
      <c r="E90" s="327" t="s">
        <v>57</v>
      </c>
      <c r="F90" s="331" t="s">
        <v>710</v>
      </c>
      <c r="G90" s="328"/>
      <c r="H90" s="328"/>
      <c r="I90" s="329">
        <v>1452515</v>
      </c>
      <c r="J90" s="313"/>
    </row>
    <row r="91" spans="2:10" ht="45" x14ac:dyDescent="0.2">
      <c r="B91" s="327" t="s">
        <v>455</v>
      </c>
      <c r="C91" s="327" t="s">
        <v>293</v>
      </c>
      <c r="D91" s="327" t="s">
        <v>256</v>
      </c>
      <c r="E91" s="327" t="s">
        <v>57</v>
      </c>
      <c r="F91" s="331" t="s">
        <v>751</v>
      </c>
      <c r="G91" s="328"/>
      <c r="H91" s="328"/>
      <c r="I91" s="329">
        <v>131700</v>
      </c>
      <c r="J91" s="313"/>
    </row>
    <row r="92" spans="2:10" ht="45" x14ac:dyDescent="0.2">
      <c r="B92" s="327" t="s">
        <v>455</v>
      </c>
      <c r="C92" s="327" t="s">
        <v>293</v>
      </c>
      <c r="D92" s="327" t="s">
        <v>256</v>
      </c>
      <c r="E92" s="327" t="s">
        <v>57</v>
      </c>
      <c r="F92" s="331" t="s">
        <v>620</v>
      </c>
      <c r="G92" s="328"/>
      <c r="H92" s="328"/>
      <c r="I92" s="329">
        <v>2000000</v>
      </c>
      <c r="J92" s="313"/>
    </row>
    <row r="93" spans="2:10" ht="120" x14ac:dyDescent="0.2">
      <c r="B93" s="327" t="s">
        <v>455</v>
      </c>
      <c r="C93" s="327" t="s">
        <v>293</v>
      </c>
      <c r="D93" s="327" t="s">
        <v>256</v>
      </c>
      <c r="E93" s="327" t="s">
        <v>57</v>
      </c>
      <c r="F93" s="317" t="s">
        <v>847</v>
      </c>
      <c r="G93" s="328"/>
      <c r="H93" s="328"/>
      <c r="I93" s="329">
        <v>419670</v>
      </c>
      <c r="J93" s="313"/>
    </row>
    <row r="94" spans="2:10" ht="135" x14ac:dyDescent="0.2">
      <c r="B94" s="327" t="s">
        <v>455</v>
      </c>
      <c r="C94" s="327" t="s">
        <v>293</v>
      </c>
      <c r="D94" s="327" t="s">
        <v>256</v>
      </c>
      <c r="E94" s="327" t="s">
        <v>57</v>
      </c>
      <c r="F94" s="317" t="s">
        <v>879</v>
      </c>
      <c r="G94" s="328"/>
      <c r="H94" s="328"/>
      <c r="I94" s="329">
        <v>538650</v>
      </c>
      <c r="J94" s="313"/>
    </row>
    <row r="95" spans="2:10" ht="105" x14ac:dyDescent="0.2">
      <c r="B95" s="327" t="s">
        <v>455</v>
      </c>
      <c r="C95" s="327" t="s">
        <v>293</v>
      </c>
      <c r="D95" s="327" t="s">
        <v>256</v>
      </c>
      <c r="E95" s="327" t="s">
        <v>57</v>
      </c>
      <c r="F95" s="317" t="s">
        <v>880</v>
      </c>
      <c r="G95" s="328"/>
      <c r="H95" s="328"/>
      <c r="I95" s="329">
        <v>54106</v>
      </c>
      <c r="J95" s="313"/>
    </row>
    <row r="96" spans="2:10" ht="75" x14ac:dyDescent="0.2">
      <c r="B96" s="327" t="s">
        <v>455</v>
      </c>
      <c r="C96" s="327" t="s">
        <v>293</v>
      </c>
      <c r="D96" s="327" t="s">
        <v>256</v>
      </c>
      <c r="E96" s="327" t="s">
        <v>57</v>
      </c>
      <c r="F96" s="317" t="s">
        <v>912</v>
      </c>
      <c r="G96" s="328"/>
      <c r="H96" s="328"/>
      <c r="I96" s="329">
        <v>775000</v>
      </c>
      <c r="J96" s="313"/>
    </row>
    <row r="97" spans="2:10" ht="45" x14ac:dyDescent="0.2">
      <c r="B97" s="327" t="s">
        <v>455</v>
      </c>
      <c r="C97" s="327" t="s">
        <v>293</v>
      </c>
      <c r="D97" s="327" t="s">
        <v>256</v>
      </c>
      <c r="E97" s="327" t="s">
        <v>57</v>
      </c>
      <c r="F97" s="317" t="s">
        <v>849</v>
      </c>
      <c r="G97" s="328"/>
      <c r="H97" s="328"/>
      <c r="I97" s="329">
        <v>4000000</v>
      </c>
      <c r="J97" s="313"/>
    </row>
    <row r="98" spans="2:10" ht="75" x14ac:dyDescent="0.2">
      <c r="B98" s="327" t="s">
        <v>455</v>
      </c>
      <c r="C98" s="327" t="s">
        <v>293</v>
      </c>
      <c r="D98" s="327" t="s">
        <v>256</v>
      </c>
      <c r="E98" s="327" t="s">
        <v>57</v>
      </c>
      <c r="F98" s="317" t="s">
        <v>924</v>
      </c>
      <c r="G98" s="328"/>
      <c r="H98" s="328"/>
      <c r="I98" s="329">
        <v>180000</v>
      </c>
      <c r="J98" s="313"/>
    </row>
    <row r="99" spans="2:10" ht="60" x14ac:dyDescent="0.2">
      <c r="B99" s="327" t="s">
        <v>455</v>
      </c>
      <c r="C99" s="327" t="s">
        <v>293</v>
      </c>
      <c r="D99" s="327" t="s">
        <v>256</v>
      </c>
      <c r="E99" s="327" t="s">
        <v>57</v>
      </c>
      <c r="F99" s="317" t="s">
        <v>936</v>
      </c>
      <c r="G99" s="328"/>
      <c r="H99" s="328"/>
      <c r="I99" s="329">
        <f>72000</f>
        <v>72000</v>
      </c>
      <c r="J99" s="313"/>
    </row>
    <row r="100" spans="2:10" ht="60" x14ac:dyDescent="0.2">
      <c r="B100" s="327" t="s">
        <v>455</v>
      </c>
      <c r="C100" s="327" t="s">
        <v>293</v>
      </c>
      <c r="D100" s="327" t="s">
        <v>256</v>
      </c>
      <c r="E100" s="327" t="s">
        <v>57</v>
      </c>
      <c r="F100" s="331" t="s">
        <v>852</v>
      </c>
      <c r="G100" s="328"/>
      <c r="H100" s="328"/>
      <c r="I100" s="329">
        <v>65700</v>
      </c>
      <c r="J100" s="313"/>
    </row>
    <row r="101" spans="2:10" ht="45" x14ac:dyDescent="0.2">
      <c r="B101" s="327" t="s">
        <v>455</v>
      </c>
      <c r="C101" s="327" t="s">
        <v>293</v>
      </c>
      <c r="D101" s="327" t="s">
        <v>256</v>
      </c>
      <c r="E101" s="327" t="s">
        <v>57</v>
      </c>
      <c r="F101" s="331" t="s">
        <v>853</v>
      </c>
      <c r="G101" s="328"/>
      <c r="H101" s="328"/>
      <c r="I101" s="329">
        <v>557370</v>
      </c>
      <c r="J101" s="313"/>
    </row>
    <row r="102" spans="2:10" ht="90" x14ac:dyDescent="0.2">
      <c r="B102" s="327" t="s">
        <v>455</v>
      </c>
      <c r="C102" s="327" t="s">
        <v>293</v>
      </c>
      <c r="D102" s="327" t="s">
        <v>256</v>
      </c>
      <c r="E102" s="327" t="s">
        <v>57</v>
      </c>
      <c r="F102" s="331" t="s">
        <v>914</v>
      </c>
      <c r="G102" s="328"/>
      <c r="H102" s="328"/>
      <c r="I102" s="329">
        <v>400000</v>
      </c>
      <c r="J102" s="313"/>
    </row>
    <row r="103" spans="2:10" ht="120" x14ac:dyDescent="0.2">
      <c r="B103" s="327" t="s">
        <v>455</v>
      </c>
      <c r="C103" s="327" t="s">
        <v>293</v>
      </c>
      <c r="D103" s="327" t="s">
        <v>256</v>
      </c>
      <c r="E103" s="327" t="s">
        <v>57</v>
      </c>
      <c r="F103" s="331" t="s">
        <v>925</v>
      </c>
      <c r="G103" s="328"/>
      <c r="H103" s="328"/>
      <c r="I103" s="329">
        <v>106774</v>
      </c>
      <c r="J103" s="313"/>
    </row>
    <row r="104" spans="2:10" ht="150" x14ac:dyDescent="0.2">
      <c r="B104" s="327" t="s">
        <v>455</v>
      </c>
      <c r="C104" s="327" t="s">
        <v>293</v>
      </c>
      <c r="D104" s="327" t="s">
        <v>256</v>
      </c>
      <c r="E104" s="327" t="s">
        <v>57</v>
      </c>
      <c r="F104" s="331" t="s">
        <v>855</v>
      </c>
      <c r="G104" s="328"/>
      <c r="H104" s="328"/>
      <c r="I104" s="329">
        <v>105773</v>
      </c>
      <c r="J104" s="313"/>
    </row>
    <row r="105" spans="2:10" ht="105" x14ac:dyDescent="0.2">
      <c r="B105" s="327" t="s">
        <v>455</v>
      </c>
      <c r="C105" s="327" t="s">
        <v>293</v>
      </c>
      <c r="D105" s="327" t="s">
        <v>256</v>
      </c>
      <c r="E105" s="327" t="s">
        <v>57</v>
      </c>
      <c r="F105" s="331" t="s">
        <v>935</v>
      </c>
      <c r="G105" s="328"/>
      <c r="H105" s="328"/>
      <c r="I105" s="329">
        <f>250000+300000</f>
        <v>550000</v>
      </c>
      <c r="J105" s="313"/>
    </row>
    <row r="106" spans="2:10" ht="60" x14ac:dyDescent="0.2">
      <c r="B106" s="327" t="s">
        <v>455</v>
      </c>
      <c r="C106" s="327" t="s">
        <v>293</v>
      </c>
      <c r="D106" s="327" t="s">
        <v>256</v>
      </c>
      <c r="E106" s="327" t="s">
        <v>57</v>
      </c>
      <c r="F106" s="317" t="s">
        <v>926</v>
      </c>
      <c r="G106" s="328"/>
      <c r="H106" s="328"/>
      <c r="I106" s="329">
        <v>4000000</v>
      </c>
      <c r="J106" s="313"/>
    </row>
    <row r="107" spans="2:10" ht="105" x14ac:dyDescent="0.2">
      <c r="B107" s="327" t="s">
        <v>455</v>
      </c>
      <c r="C107" s="327" t="s">
        <v>293</v>
      </c>
      <c r="D107" s="327" t="s">
        <v>256</v>
      </c>
      <c r="E107" s="327" t="s">
        <v>57</v>
      </c>
      <c r="F107" s="317" t="s">
        <v>927</v>
      </c>
      <c r="G107" s="328"/>
      <c r="H107" s="328"/>
      <c r="I107" s="329">
        <v>3200000</v>
      </c>
      <c r="J107" s="313"/>
    </row>
    <row r="108" spans="2:10" ht="75" x14ac:dyDescent="0.2">
      <c r="B108" s="327" t="s">
        <v>455</v>
      </c>
      <c r="C108" s="327" t="s">
        <v>293</v>
      </c>
      <c r="D108" s="327" t="s">
        <v>256</v>
      </c>
      <c r="E108" s="327" t="s">
        <v>57</v>
      </c>
      <c r="F108" s="317" t="s">
        <v>854</v>
      </c>
      <c r="G108" s="328"/>
      <c r="H108" s="328"/>
      <c r="I108" s="329">
        <v>2000000</v>
      </c>
      <c r="J108" s="313"/>
    </row>
    <row r="109" spans="2:10" ht="90" x14ac:dyDescent="0.2">
      <c r="B109" s="327" t="s">
        <v>455</v>
      </c>
      <c r="C109" s="327" t="s">
        <v>293</v>
      </c>
      <c r="D109" s="327" t="s">
        <v>256</v>
      </c>
      <c r="E109" s="327" t="s">
        <v>57</v>
      </c>
      <c r="F109" s="331" t="s">
        <v>933</v>
      </c>
      <c r="G109" s="328"/>
      <c r="H109" s="328"/>
      <c r="I109" s="329">
        <f>(3565000)+8475200</f>
        <v>12040200</v>
      </c>
      <c r="J109" s="313"/>
    </row>
    <row r="110" spans="2:10" ht="135" x14ac:dyDescent="0.2">
      <c r="B110" s="327" t="s">
        <v>455</v>
      </c>
      <c r="C110" s="327" t="s">
        <v>293</v>
      </c>
      <c r="D110" s="327" t="s">
        <v>256</v>
      </c>
      <c r="E110" s="327" t="s">
        <v>57</v>
      </c>
      <c r="F110" s="331" t="s">
        <v>711</v>
      </c>
      <c r="G110" s="328"/>
      <c r="H110" s="328"/>
      <c r="I110" s="329">
        <f>(300000)+388000</f>
        <v>688000</v>
      </c>
      <c r="J110" s="313"/>
    </row>
    <row r="111" spans="2:10" ht="120" x14ac:dyDescent="0.2">
      <c r="B111" s="327" t="s">
        <v>455</v>
      </c>
      <c r="C111" s="327" t="s">
        <v>293</v>
      </c>
      <c r="D111" s="327" t="s">
        <v>256</v>
      </c>
      <c r="E111" s="327" t="s">
        <v>57</v>
      </c>
      <c r="F111" s="331" t="s">
        <v>759</v>
      </c>
      <c r="G111" s="328"/>
      <c r="H111" s="328"/>
      <c r="I111" s="329">
        <v>400000</v>
      </c>
      <c r="J111" s="313"/>
    </row>
    <row r="112" spans="2:10" ht="120" x14ac:dyDescent="0.2">
      <c r="B112" s="327" t="s">
        <v>455</v>
      </c>
      <c r="C112" s="327" t="s">
        <v>293</v>
      </c>
      <c r="D112" s="327" t="s">
        <v>256</v>
      </c>
      <c r="E112" s="327" t="s">
        <v>57</v>
      </c>
      <c r="F112" s="331" t="s">
        <v>760</v>
      </c>
      <c r="G112" s="328"/>
      <c r="H112" s="328"/>
      <c r="I112" s="329">
        <v>265200</v>
      </c>
      <c r="J112" s="313"/>
    </row>
    <row r="113" spans="1:10" ht="90" x14ac:dyDescent="0.2">
      <c r="B113" s="327" t="s">
        <v>455</v>
      </c>
      <c r="C113" s="327" t="s">
        <v>293</v>
      </c>
      <c r="D113" s="327" t="s">
        <v>256</v>
      </c>
      <c r="E113" s="327" t="s">
        <v>57</v>
      </c>
      <c r="F113" s="317" t="s">
        <v>928</v>
      </c>
      <c r="G113" s="328"/>
      <c r="H113" s="328"/>
      <c r="I113" s="329">
        <v>764842</v>
      </c>
      <c r="J113" s="313"/>
    </row>
    <row r="114" spans="1:10" ht="90" x14ac:dyDescent="0.2">
      <c r="B114" s="327" t="s">
        <v>455</v>
      </c>
      <c r="C114" s="327" t="s">
        <v>293</v>
      </c>
      <c r="D114" s="327" t="s">
        <v>256</v>
      </c>
      <c r="E114" s="327" t="s">
        <v>57</v>
      </c>
      <c r="F114" s="317" t="s">
        <v>932</v>
      </c>
      <c r="G114" s="328"/>
      <c r="H114" s="328"/>
      <c r="I114" s="329">
        <v>920000</v>
      </c>
      <c r="J114" s="313"/>
    </row>
    <row r="115" spans="1:10" ht="75" x14ac:dyDescent="0.2">
      <c r="B115" s="327" t="s">
        <v>455</v>
      </c>
      <c r="C115" s="327" t="s">
        <v>293</v>
      </c>
      <c r="D115" s="327" t="s">
        <v>256</v>
      </c>
      <c r="E115" s="327" t="s">
        <v>57</v>
      </c>
      <c r="F115" s="317" t="s">
        <v>861</v>
      </c>
      <c r="G115" s="328"/>
      <c r="H115" s="328"/>
      <c r="I115" s="329">
        <v>500000</v>
      </c>
      <c r="J115" s="313"/>
    </row>
    <row r="116" spans="1:10" ht="135" x14ac:dyDescent="0.2">
      <c r="B116" s="327" t="s">
        <v>455</v>
      </c>
      <c r="C116" s="327" t="s">
        <v>293</v>
      </c>
      <c r="D116" s="327" t="s">
        <v>256</v>
      </c>
      <c r="E116" s="327" t="s">
        <v>57</v>
      </c>
      <c r="F116" s="317" t="s">
        <v>860</v>
      </c>
      <c r="G116" s="328"/>
      <c r="H116" s="328"/>
      <c r="I116" s="329">
        <v>2500000</v>
      </c>
      <c r="J116" s="313"/>
    </row>
    <row r="117" spans="1:10" ht="75" x14ac:dyDescent="0.2">
      <c r="B117" s="327" t="s">
        <v>455</v>
      </c>
      <c r="C117" s="327" t="s">
        <v>293</v>
      </c>
      <c r="D117" s="327" t="s">
        <v>256</v>
      </c>
      <c r="E117" s="327" t="s">
        <v>57</v>
      </c>
      <c r="F117" s="317" t="s">
        <v>954</v>
      </c>
      <c r="G117" s="328"/>
      <c r="H117" s="328"/>
      <c r="I117" s="329">
        <v>310000</v>
      </c>
      <c r="J117" s="313"/>
    </row>
    <row r="118" spans="1:10" ht="105" x14ac:dyDescent="0.2">
      <c r="B118" s="327" t="s">
        <v>455</v>
      </c>
      <c r="C118" s="327" t="s">
        <v>293</v>
      </c>
      <c r="D118" s="327" t="s">
        <v>256</v>
      </c>
      <c r="E118" s="327" t="s">
        <v>57</v>
      </c>
      <c r="F118" s="317" t="s">
        <v>893</v>
      </c>
      <c r="G118" s="328"/>
      <c r="H118" s="328"/>
      <c r="I118" s="329">
        <v>92967</v>
      </c>
      <c r="J118" s="313"/>
    </row>
    <row r="119" spans="1:10" ht="90" x14ac:dyDescent="0.2">
      <c r="B119" s="327" t="s">
        <v>455</v>
      </c>
      <c r="C119" s="327" t="s">
        <v>293</v>
      </c>
      <c r="D119" s="327" t="s">
        <v>256</v>
      </c>
      <c r="E119" s="327" t="s">
        <v>57</v>
      </c>
      <c r="F119" s="317" t="s">
        <v>859</v>
      </c>
      <c r="G119" s="328"/>
      <c r="H119" s="328"/>
      <c r="I119" s="329">
        <v>395000</v>
      </c>
      <c r="J119" s="313"/>
    </row>
    <row r="120" spans="1:10" ht="90" x14ac:dyDescent="0.2">
      <c r="B120" s="327" t="s">
        <v>455</v>
      </c>
      <c r="C120" s="327" t="s">
        <v>293</v>
      </c>
      <c r="D120" s="327" t="s">
        <v>256</v>
      </c>
      <c r="E120" s="327" t="s">
        <v>57</v>
      </c>
      <c r="F120" s="316" t="s">
        <v>850</v>
      </c>
      <c r="G120" s="328"/>
      <c r="H120" s="328"/>
      <c r="I120" s="329">
        <v>289003</v>
      </c>
      <c r="J120" s="313"/>
    </row>
    <row r="121" spans="1:10" ht="90" x14ac:dyDescent="0.2">
      <c r="B121" s="327" t="s">
        <v>455</v>
      </c>
      <c r="C121" s="327" t="s">
        <v>293</v>
      </c>
      <c r="D121" s="327" t="s">
        <v>256</v>
      </c>
      <c r="E121" s="327" t="s">
        <v>57</v>
      </c>
      <c r="F121" s="316" t="s">
        <v>851</v>
      </c>
      <c r="G121" s="328"/>
      <c r="H121" s="328"/>
      <c r="I121" s="329">
        <v>275194</v>
      </c>
      <c r="J121" s="313"/>
    </row>
    <row r="122" spans="1:10" ht="75" x14ac:dyDescent="0.2">
      <c r="B122" s="327" t="s">
        <v>455</v>
      </c>
      <c r="C122" s="327" t="s">
        <v>293</v>
      </c>
      <c r="D122" s="327" t="s">
        <v>256</v>
      </c>
      <c r="E122" s="327" t="s">
        <v>57</v>
      </c>
      <c r="F122" s="316" t="s">
        <v>952</v>
      </c>
      <c r="G122" s="328" t="s">
        <v>790</v>
      </c>
      <c r="H122" s="328">
        <v>4997108</v>
      </c>
      <c r="I122" s="329">
        <v>500000</v>
      </c>
      <c r="J122" s="321">
        <v>1</v>
      </c>
    </row>
    <row r="123" spans="1:10" ht="135" x14ac:dyDescent="0.2">
      <c r="A123" s="139"/>
      <c r="B123" s="327" t="s">
        <v>455</v>
      </c>
      <c r="C123" s="327" t="s">
        <v>293</v>
      </c>
      <c r="D123" s="327" t="s">
        <v>256</v>
      </c>
      <c r="E123" s="327" t="s">
        <v>57</v>
      </c>
      <c r="F123" s="330" t="s">
        <v>953</v>
      </c>
      <c r="G123" s="328" t="s">
        <v>790</v>
      </c>
      <c r="H123" s="328">
        <f>3200000+3385670</f>
        <v>6585670</v>
      </c>
      <c r="I123" s="329">
        <v>91328.68</v>
      </c>
      <c r="J123" s="321">
        <v>1</v>
      </c>
    </row>
    <row r="124" spans="1:10" ht="142.5" customHeight="1" x14ac:dyDescent="0.2">
      <c r="A124" s="139"/>
      <c r="B124" s="379" t="s">
        <v>455</v>
      </c>
      <c r="C124" s="379" t="s">
        <v>293</v>
      </c>
      <c r="D124" s="379" t="s">
        <v>256</v>
      </c>
      <c r="E124" s="379" t="s">
        <v>57</v>
      </c>
      <c r="F124" s="380" t="s">
        <v>959</v>
      </c>
      <c r="G124" s="381"/>
      <c r="H124" s="382">
        <v>1260727</v>
      </c>
      <c r="I124" s="383">
        <v>300000</v>
      </c>
      <c r="J124" s="384">
        <f>(I124)/H124</f>
        <v>0.23795794014088698</v>
      </c>
    </row>
    <row r="125" spans="1:10" ht="75" x14ac:dyDescent="0.2">
      <c r="B125" s="342" t="s">
        <v>44</v>
      </c>
      <c r="C125" s="342"/>
      <c r="D125" s="342"/>
      <c r="E125" s="342" t="s">
        <v>632</v>
      </c>
      <c r="F125" s="343"/>
      <c r="G125" s="344"/>
      <c r="H125" s="344"/>
      <c r="I125" s="345">
        <f>I126</f>
        <v>81063600</v>
      </c>
      <c r="J125" s="345"/>
    </row>
    <row r="126" spans="1:10" ht="85.7" customHeight="1" x14ac:dyDescent="0.2">
      <c r="A126" s="347"/>
      <c r="B126" s="299" t="s">
        <v>45</v>
      </c>
      <c r="C126" s="299"/>
      <c r="D126" s="299"/>
      <c r="E126" s="299" t="s">
        <v>631</v>
      </c>
      <c r="F126" s="303"/>
      <c r="G126" s="304"/>
      <c r="H126" s="304"/>
      <c r="I126" s="305">
        <f>SUM(I127:I147)</f>
        <v>81063600</v>
      </c>
      <c r="J126" s="305"/>
    </row>
    <row r="127" spans="1:10" ht="45" x14ac:dyDescent="0.2">
      <c r="A127" s="347"/>
      <c r="B127" s="274" t="s">
        <v>734</v>
      </c>
      <c r="C127" s="274" t="s">
        <v>341</v>
      </c>
      <c r="D127" s="274" t="s">
        <v>339</v>
      </c>
      <c r="E127" s="274" t="s">
        <v>340</v>
      </c>
      <c r="F127" s="347"/>
      <c r="G127" s="347"/>
      <c r="H127" s="347"/>
      <c r="I127" s="313">
        <v>10400</v>
      </c>
      <c r="J127" s="347"/>
    </row>
    <row r="128" spans="1:10" ht="75" x14ac:dyDescent="0.2">
      <c r="A128" s="347"/>
      <c r="B128" s="274" t="s">
        <v>836</v>
      </c>
      <c r="C128" s="274" t="s">
        <v>838</v>
      </c>
      <c r="D128" s="274" t="s">
        <v>291</v>
      </c>
      <c r="E128" s="274" t="s">
        <v>837</v>
      </c>
      <c r="F128" s="326" t="s">
        <v>617</v>
      </c>
      <c r="G128" s="385" t="s">
        <v>793</v>
      </c>
      <c r="H128" s="385">
        <f>282861499</f>
        <v>282861499</v>
      </c>
      <c r="I128" s="385">
        <f>(4500000)+4000000+19787000</f>
        <v>28287000</v>
      </c>
      <c r="J128" s="384">
        <f>(7688.93+54000000+1828602.38+4500000+4000000+19787000)/H128</f>
        <v>0.29740099521285507</v>
      </c>
    </row>
    <row r="129" spans="1:11" ht="60" x14ac:dyDescent="0.2">
      <c r="A129" s="347"/>
      <c r="B129" s="274" t="s">
        <v>469</v>
      </c>
      <c r="C129" s="274" t="s">
        <v>470</v>
      </c>
      <c r="D129" s="274" t="s">
        <v>450</v>
      </c>
      <c r="E129" s="274" t="s">
        <v>468</v>
      </c>
      <c r="F129" s="311" t="s">
        <v>615</v>
      </c>
      <c r="G129" s="386" t="s">
        <v>790</v>
      </c>
      <c r="H129" s="386">
        <v>30084395</v>
      </c>
      <c r="I129" s="386">
        <f>(4000000)+2000000-1000000</f>
        <v>5000000</v>
      </c>
      <c r="J129" s="387">
        <f>(391733+4041104.35+4000000+2000000-1000000)/H129</f>
        <v>0.31354585491913661</v>
      </c>
      <c r="K129" s="117"/>
    </row>
    <row r="130" spans="1:11" ht="75" customHeight="1" x14ac:dyDescent="0.2">
      <c r="B130" s="346" t="s">
        <v>469</v>
      </c>
      <c r="C130" s="346" t="s">
        <v>470</v>
      </c>
      <c r="D130" s="346" t="s">
        <v>450</v>
      </c>
      <c r="E130" s="346" t="s">
        <v>468</v>
      </c>
      <c r="F130" s="388" t="s">
        <v>3</v>
      </c>
      <c r="G130" s="389" t="s">
        <v>790</v>
      </c>
      <c r="H130" s="389">
        <v>30010059</v>
      </c>
      <c r="I130" s="389">
        <f>(3500000)+2000000-2600000</f>
        <v>2900000</v>
      </c>
      <c r="J130" s="390">
        <f>(2087700+4693311.43+3500000+2000000-2600000)/H130</f>
        <v>0.32259221583003217</v>
      </c>
    </row>
    <row r="131" spans="1:11" ht="75" x14ac:dyDescent="0.2">
      <c r="B131" s="274" t="s">
        <v>469</v>
      </c>
      <c r="C131" s="274" t="s">
        <v>470</v>
      </c>
      <c r="D131" s="274" t="s">
        <v>450</v>
      </c>
      <c r="E131" s="274" t="s">
        <v>468</v>
      </c>
      <c r="F131" s="311" t="s">
        <v>616</v>
      </c>
      <c r="G131" s="276" t="s">
        <v>792</v>
      </c>
      <c r="H131" s="276">
        <f>30737344</f>
        <v>30737344</v>
      </c>
      <c r="I131" s="312">
        <v>4000000</v>
      </c>
      <c r="J131" s="310">
        <f>(4471266+6488967.58+4000000)/H131</f>
        <v>0.48671198070984922</v>
      </c>
    </row>
    <row r="132" spans="1:11" ht="75" x14ac:dyDescent="0.2">
      <c r="B132" s="274" t="s">
        <v>469</v>
      </c>
      <c r="C132" s="274" t="s">
        <v>470</v>
      </c>
      <c r="D132" s="274" t="s">
        <v>450</v>
      </c>
      <c r="E132" s="274" t="s">
        <v>468</v>
      </c>
      <c r="F132" s="311" t="s">
        <v>633</v>
      </c>
      <c r="G132" s="313" t="s">
        <v>793</v>
      </c>
      <c r="H132" s="313">
        <f>9300000+10829899</f>
        <v>20129899</v>
      </c>
      <c r="I132" s="314">
        <f>(1500000)+1000000</f>
        <v>2500000</v>
      </c>
      <c r="J132" s="315">
        <f>(300094.58+1500000+1000000)/H132</f>
        <v>0.13910127318572241</v>
      </c>
    </row>
    <row r="133" spans="1:11" ht="90" x14ac:dyDescent="0.2">
      <c r="B133" s="274" t="s">
        <v>469</v>
      </c>
      <c r="C133" s="274" t="s">
        <v>470</v>
      </c>
      <c r="D133" s="274" t="s">
        <v>450</v>
      </c>
      <c r="E133" s="274" t="s">
        <v>468</v>
      </c>
      <c r="F133" s="311" t="s">
        <v>637</v>
      </c>
      <c r="G133" s="313" t="s">
        <v>790</v>
      </c>
      <c r="H133" s="313">
        <f>8700000+6796500</f>
        <v>15496500</v>
      </c>
      <c r="I133" s="314">
        <v>4000000</v>
      </c>
      <c r="J133" s="315">
        <f>(938042.78+4000000)/H133</f>
        <v>0.31865535959732844</v>
      </c>
    </row>
    <row r="134" spans="1:11" ht="75" x14ac:dyDescent="0.2">
      <c r="B134" s="274" t="s">
        <v>469</v>
      </c>
      <c r="C134" s="274" t="s">
        <v>470</v>
      </c>
      <c r="D134" s="274" t="s">
        <v>450</v>
      </c>
      <c r="E134" s="274" t="s">
        <v>468</v>
      </c>
      <c r="F134" s="332" t="s">
        <v>839</v>
      </c>
      <c r="G134" s="313" t="s">
        <v>790</v>
      </c>
      <c r="H134" s="276">
        <f>(6639195)+3899305-1999900</f>
        <v>8538600</v>
      </c>
      <c r="I134" s="314">
        <v>1700000</v>
      </c>
      <c r="J134" s="315">
        <v>1</v>
      </c>
    </row>
    <row r="135" spans="1:11" ht="60" x14ac:dyDescent="0.2">
      <c r="B135" s="274" t="s">
        <v>471</v>
      </c>
      <c r="C135" s="274" t="s">
        <v>472</v>
      </c>
      <c r="D135" s="274" t="s">
        <v>450</v>
      </c>
      <c r="E135" s="274" t="s">
        <v>473</v>
      </c>
      <c r="F135" s="320" t="s">
        <v>840</v>
      </c>
      <c r="G135" s="385" t="s">
        <v>910</v>
      </c>
      <c r="H135" s="386">
        <v>178488253</v>
      </c>
      <c r="I135" s="386">
        <f>900000-900000</f>
        <v>0</v>
      </c>
      <c r="J135" s="391">
        <f>(503989.26+900000-900000)/H135</f>
        <v>2.8236550670928469E-3</v>
      </c>
    </row>
    <row r="136" spans="1:11" ht="75" x14ac:dyDescent="0.2">
      <c r="B136" s="274" t="s">
        <v>471</v>
      </c>
      <c r="C136" s="274" t="s">
        <v>472</v>
      </c>
      <c r="D136" s="274" t="s">
        <v>450</v>
      </c>
      <c r="E136" s="274" t="s">
        <v>473</v>
      </c>
      <c r="F136" s="322" t="s">
        <v>841</v>
      </c>
      <c r="G136" s="313" t="s">
        <v>910</v>
      </c>
      <c r="H136" s="313">
        <v>104706686</v>
      </c>
      <c r="I136" s="314">
        <v>500000</v>
      </c>
      <c r="J136" s="315">
        <f>(730683.68+500000)/H136</f>
        <v>1.1753630326911504E-2</v>
      </c>
    </row>
    <row r="137" spans="1:11" ht="75" x14ac:dyDescent="0.2">
      <c r="B137" s="274" t="s">
        <v>474</v>
      </c>
      <c r="C137" s="274" t="s">
        <v>475</v>
      </c>
      <c r="D137" s="274" t="s">
        <v>450</v>
      </c>
      <c r="E137" s="274" t="s">
        <v>843</v>
      </c>
      <c r="F137" s="311" t="s">
        <v>623</v>
      </c>
      <c r="G137" s="276" t="s">
        <v>794</v>
      </c>
      <c r="H137" s="276">
        <f>(16874496)+1019604</f>
        <v>17894100</v>
      </c>
      <c r="I137" s="312">
        <v>2000000</v>
      </c>
      <c r="J137" s="310">
        <f>(7993500+6993235.68+2000000)/H137</f>
        <v>0.94929254223459125</v>
      </c>
    </row>
    <row r="138" spans="1:11" ht="45" x14ac:dyDescent="0.2">
      <c r="B138" s="274" t="s">
        <v>474</v>
      </c>
      <c r="C138" s="274" t="s">
        <v>475</v>
      </c>
      <c r="D138" s="274" t="s">
        <v>450</v>
      </c>
      <c r="E138" s="274" t="s">
        <v>843</v>
      </c>
      <c r="F138" s="311" t="s">
        <v>618</v>
      </c>
      <c r="G138" s="276" t="s">
        <v>790</v>
      </c>
      <c r="H138" s="276">
        <v>32296985</v>
      </c>
      <c r="I138" s="312">
        <v>5000000</v>
      </c>
      <c r="J138" s="310">
        <f>(209619.53+7983885.65+5000000)/H138</f>
        <v>0.40850578405383658</v>
      </c>
    </row>
    <row r="139" spans="1:11" ht="75" x14ac:dyDescent="0.2">
      <c r="B139" s="274" t="s">
        <v>474</v>
      </c>
      <c r="C139" s="274" t="s">
        <v>475</v>
      </c>
      <c r="D139" s="274" t="s">
        <v>450</v>
      </c>
      <c r="E139" s="274" t="s">
        <v>843</v>
      </c>
      <c r="F139" s="311" t="s">
        <v>619</v>
      </c>
      <c r="G139" s="386" t="s">
        <v>790</v>
      </c>
      <c r="H139" s="386">
        <v>10111100</v>
      </c>
      <c r="I139" s="389">
        <f>(2000000)+1467500-1000000</f>
        <v>2467500</v>
      </c>
      <c r="J139" s="390">
        <f>(2190500+2453085.2+2000000+1467500-1000000)/H139</f>
        <v>0.70329491351089402</v>
      </c>
    </row>
    <row r="140" spans="1:11" ht="45" x14ac:dyDescent="0.2">
      <c r="B140" s="274" t="s">
        <v>474</v>
      </c>
      <c r="C140" s="274" t="s">
        <v>475</v>
      </c>
      <c r="D140" s="274" t="s">
        <v>450</v>
      </c>
      <c r="E140" s="274" t="s">
        <v>843</v>
      </c>
      <c r="F140" s="334" t="s">
        <v>958</v>
      </c>
      <c r="G140" s="385" t="s">
        <v>795</v>
      </c>
      <c r="H140" s="386">
        <v>15977719</v>
      </c>
      <c r="I140" s="389">
        <f>2000000-1000000</f>
        <v>1000000</v>
      </c>
      <c r="J140" s="390">
        <f>(1286200+939873.25+2000000-1000000)/H140</f>
        <v>0.20191075146583815</v>
      </c>
    </row>
    <row r="141" spans="1:11" ht="75" x14ac:dyDescent="0.2">
      <c r="B141" s="274" t="s">
        <v>474</v>
      </c>
      <c r="C141" s="274" t="s">
        <v>475</v>
      </c>
      <c r="D141" s="274" t="s">
        <v>450</v>
      </c>
      <c r="E141" s="274" t="s">
        <v>843</v>
      </c>
      <c r="F141" s="311" t="s">
        <v>624</v>
      </c>
      <c r="G141" s="276"/>
      <c r="H141" s="328"/>
      <c r="I141" s="312">
        <v>100000</v>
      </c>
      <c r="J141" s="310"/>
    </row>
    <row r="142" spans="1:11" ht="60" x14ac:dyDescent="0.2">
      <c r="B142" s="274" t="s">
        <v>474</v>
      </c>
      <c r="C142" s="274" t="s">
        <v>475</v>
      </c>
      <c r="D142" s="274" t="s">
        <v>450</v>
      </c>
      <c r="E142" s="274" t="s">
        <v>843</v>
      </c>
      <c r="F142" s="311" t="s">
        <v>626</v>
      </c>
      <c r="G142" s="276"/>
      <c r="H142" s="328"/>
      <c r="I142" s="312">
        <v>100000</v>
      </c>
      <c r="J142" s="310"/>
    </row>
    <row r="143" spans="1:11" ht="75" x14ac:dyDescent="0.2">
      <c r="B143" s="274" t="s">
        <v>474</v>
      </c>
      <c r="C143" s="274" t="s">
        <v>475</v>
      </c>
      <c r="D143" s="274" t="s">
        <v>450</v>
      </c>
      <c r="E143" s="274" t="s">
        <v>843</v>
      </c>
      <c r="F143" s="311" t="s">
        <v>627</v>
      </c>
      <c r="G143" s="276"/>
      <c r="H143" s="328"/>
      <c r="I143" s="312">
        <v>100000</v>
      </c>
      <c r="J143" s="310"/>
    </row>
    <row r="144" spans="1:11" ht="90" x14ac:dyDescent="0.2">
      <c r="B144" s="274" t="s">
        <v>474</v>
      </c>
      <c r="C144" s="274" t="s">
        <v>475</v>
      </c>
      <c r="D144" s="274" t="s">
        <v>450</v>
      </c>
      <c r="E144" s="274" t="s">
        <v>843</v>
      </c>
      <c r="F144" s="334" t="s">
        <v>691</v>
      </c>
      <c r="G144" s="276"/>
      <c r="H144" s="276"/>
      <c r="I144" s="312">
        <v>100000</v>
      </c>
      <c r="J144" s="310"/>
    </row>
    <row r="145" spans="1:10" ht="90" x14ac:dyDescent="0.2">
      <c r="B145" s="274" t="s">
        <v>474</v>
      </c>
      <c r="C145" s="274" t="s">
        <v>475</v>
      </c>
      <c r="D145" s="274" t="s">
        <v>450</v>
      </c>
      <c r="E145" s="274" t="s">
        <v>843</v>
      </c>
      <c r="F145" s="333" t="s">
        <v>600</v>
      </c>
      <c r="G145" s="276"/>
      <c r="H145" s="328"/>
      <c r="I145" s="312">
        <v>100000</v>
      </c>
      <c r="J145" s="310"/>
    </row>
    <row r="146" spans="1:10" ht="60" x14ac:dyDescent="0.2">
      <c r="B146" s="274" t="s">
        <v>474</v>
      </c>
      <c r="C146" s="274" t="s">
        <v>475</v>
      </c>
      <c r="D146" s="274" t="s">
        <v>450</v>
      </c>
      <c r="E146" s="274" t="s">
        <v>843</v>
      </c>
      <c r="F146" s="333" t="s">
        <v>842</v>
      </c>
      <c r="G146" s="276" t="s">
        <v>790</v>
      </c>
      <c r="H146" s="275">
        <v>977031</v>
      </c>
      <c r="I146" s="312">
        <v>198700</v>
      </c>
      <c r="J146" s="310">
        <f>(778322.63+198700)/H146</f>
        <v>0.99999143322985662</v>
      </c>
    </row>
    <row r="147" spans="1:10" ht="45" x14ac:dyDescent="0.2">
      <c r="B147" s="274" t="s">
        <v>948</v>
      </c>
      <c r="C147" s="274" t="s">
        <v>569</v>
      </c>
      <c r="D147" s="274" t="s">
        <v>256</v>
      </c>
      <c r="E147" s="274" t="s">
        <v>398</v>
      </c>
      <c r="F147" s="392" t="s">
        <v>622</v>
      </c>
      <c r="G147" s="386" t="s">
        <v>791</v>
      </c>
      <c r="H147" s="386">
        <v>160515935</v>
      </c>
      <c r="I147" s="386">
        <f>20000000+5000000+1000000-5000000</f>
        <v>21000000</v>
      </c>
      <c r="J147" s="390">
        <f>(38829200+34763964.93+20000000+5000000+1000000-5000000)/H147</f>
        <v>0.58930700512693646</v>
      </c>
    </row>
    <row r="148" spans="1:10" ht="75" x14ac:dyDescent="0.2">
      <c r="B148" s="293" t="s">
        <v>246</v>
      </c>
      <c r="C148" s="293"/>
      <c r="D148" s="293"/>
      <c r="E148" s="293" t="s">
        <v>864</v>
      </c>
      <c r="F148" s="304"/>
      <c r="G148" s="304"/>
      <c r="H148" s="304"/>
      <c r="I148" s="298">
        <f>I149</f>
        <v>500000</v>
      </c>
      <c r="J148" s="298"/>
    </row>
    <row r="149" spans="1:10" ht="85.5" x14ac:dyDescent="0.2">
      <c r="B149" s="299" t="s">
        <v>247</v>
      </c>
      <c r="C149" s="299"/>
      <c r="D149" s="299"/>
      <c r="E149" s="299" t="s">
        <v>865</v>
      </c>
      <c r="F149" s="304"/>
      <c r="G149" s="304"/>
      <c r="H149" s="304"/>
      <c r="I149" s="305">
        <f>SUM(I150:I153)</f>
        <v>500000</v>
      </c>
      <c r="J149" s="305"/>
    </row>
    <row r="150" spans="1:10" ht="60" hidden="1" customHeight="1" x14ac:dyDescent="0.2">
      <c r="B150" s="266" t="s">
        <v>460</v>
      </c>
      <c r="C150" s="266" t="s">
        <v>461</v>
      </c>
      <c r="D150" s="266" t="s">
        <v>450</v>
      </c>
      <c r="E150" s="266" t="s">
        <v>462</v>
      </c>
      <c r="F150" s="269" t="s">
        <v>606</v>
      </c>
      <c r="G150" s="267"/>
      <c r="H150" s="267"/>
      <c r="I150" s="268">
        <f>(2376000)-2376000</f>
        <v>0</v>
      </c>
      <c r="J150" s="268"/>
    </row>
    <row r="151" spans="1:10" ht="30" x14ac:dyDescent="0.2">
      <c r="B151" s="274" t="s">
        <v>460</v>
      </c>
      <c r="C151" s="274" t="s">
        <v>461</v>
      </c>
      <c r="D151" s="274" t="s">
        <v>450</v>
      </c>
      <c r="E151" s="274" t="s">
        <v>462</v>
      </c>
      <c r="F151" s="159" t="s">
        <v>761</v>
      </c>
      <c r="G151" s="275"/>
      <c r="H151" s="275"/>
      <c r="I151" s="276">
        <v>500000</v>
      </c>
      <c r="J151" s="276"/>
    </row>
    <row r="152" spans="1:10" ht="75" hidden="1" x14ac:dyDescent="0.2">
      <c r="B152" s="266" t="s">
        <v>460</v>
      </c>
      <c r="C152" s="266" t="s">
        <v>461</v>
      </c>
      <c r="D152" s="266" t="s">
        <v>450</v>
      </c>
      <c r="E152" s="266" t="s">
        <v>462</v>
      </c>
      <c r="F152" s="271" t="s">
        <v>697</v>
      </c>
      <c r="G152" s="267"/>
      <c r="H152" s="267"/>
      <c r="I152" s="268">
        <f>(1500000)-1500000</f>
        <v>0</v>
      </c>
      <c r="J152" s="268"/>
    </row>
    <row r="153" spans="1:10" ht="45" hidden="1" customHeight="1" x14ac:dyDescent="0.2">
      <c r="B153" s="266" t="s">
        <v>460</v>
      </c>
      <c r="C153" s="266" t="s">
        <v>461</v>
      </c>
      <c r="D153" s="266" t="s">
        <v>450</v>
      </c>
      <c r="E153" s="266" t="s">
        <v>462</v>
      </c>
      <c r="F153" s="270" t="s">
        <v>490</v>
      </c>
      <c r="G153" s="267"/>
      <c r="H153" s="267"/>
      <c r="I153" s="268">
        <f>(780000)-780000</f>
        <v>0</v>
      </c>
      <c r="J153" s="268"/>
    </row>
    <row r="154" spans="1:10" ht="30" x14ac:dyDescent="0.2">
      <c r="A154" s="155"/>
      <c r="B154" s="293" t="s">
        <v>252</v>
      </c>
      <c r="C154" s="293"/>
      <c r="D154" s="293"/>
      <c r="E154" s="293" t="s">
        <v>574</v>
      </c>
      <c r="F154" s="304"/>
      <c r="G154" s="304"/>
      <c r="H154" s="304"/>
      <c r="I154" s="298">
        <f>I155</f>
        <v>2370000</v>
      </c>
      <c r="J154" s="298"/>
    </row>
    <row r="155" spans="1:10" ht="42.75" x14ac:dyDescent="0.2">
      <c r="A155" s="155"/>
      <c r="B155" s="299" t="s">
        <v>253</v>
      </c>
      <c r="C155" s="299"/>
      <c r="D155" s="299"/>
      <c r="E155" s="299" t="s">
        <v>575</v>
      </c>
      <c r="F155" s="303"/>
      <c r="G155" s="304"/>
      <c r="H155" s="304"/>
      <c r="I155" s="305">
        <f>SUM(I156:I160)</f>
        <v>2370000</v>
      </c>
      <c r="J155" s="305"/>
    </row>
    <row r="156" spans="1:10" ht="30" hidden="1" x14ac:dyDescent="0.2">
      <c r="B156" s="274" t="s">
        <v>568</v>
      </c>
      <c r="C156" s="274" t="s">
        <v>569</v>
      </c>
      <c r="D156" s="274" t="s">
        <v>256</v>
      </c>
      <c r="E156" s="274" t="s">
        <v>398</v>
      </c>
      <c r="F156" s="275" t="s">
        <v>90</v>
      </c>
      <c r="G156" s="366"/>
      <c r="H156" s="366"/>
      <c r="I156" s="313">
        <f>(2000000)-2000000</f>
        <v>0</v>
      </c>
      <c r="J156" s="313"/>
    </row>
    <row r="157" spans="1:10" ht="30" x14ac:dyDescent="0.2">
      <c r="B157" s="274" t="s">
        <v>396</v>
      </c>
      <c r="C157" s="274" t="s">
        <v>397</v>
      </c>
      <c r="D157" s="274" t="s">
        <v>395</v>
      </c>
      <c r="E157" s="274" t="s">
        <v>394</v>
      </c>
      <c r="F157" s="275" t="s">
        <v>90</v>
      </c>
      <c r="G157" s="366"/>
      <c r="H157" s="366"/>
      <c r="I157" s="313">
        <f>((570000)+200000)+100000</f>
        <v>870000</v>
      </c>
      <c r="J157" s="313"/>
    </row>
    <row r="158" spans="1:10" ht="30" x14ac:dyDescent="0.2">
      <c r="B158" s="274" t="s">
        <v>392</v>
      </c>
      <c r="C158" s="274" t="s">
        <v>393</v>
      </c>
      <c r="D158" s="274" t="s">
        <v>256</v>
      </c>
      <c r="E158" s="274" t="s">
        <v>391</v>
      </c>
      <c r="F158" s="275" t="s">
        <v>90</v>
      </c>
      <c r="G158" s="366"/>
      <c r="H158" s="366"/>
      <c r="I158" s="313">
        <v>200000</v>
      </c>
      <c r="J158" s="313"/>
    </row>
    <row r="159" spans="1:10" ht="15" x14ac:dyDescent="0.2">
      <c r="B159" s="274" t="s">
        <v>919</v>
      </c>
      <c r="C159" s="274" t="s">
        <v>598</v>
      </c>
      <c r="D159" s="274" t="s">
        <v>71</v>
      </c>
      <c r="E159" s="274" t="s">
        <v>599</v>
      </c>
      <c r="F159" s="275" t="s">
        <v>90</v>
      </c>
      <c r="G159" s="366"/>
      <c r="H159" s="366"/>
      <c r="I159" s="313">
        <v>800000</v>
      </c>
      <c r="J159" s="313"/>
    </row>
    <row r="160" spans="1:10" ht="60" x14ac:dyDescent="0.2">
      <c r="B160" s="274" t="s">
        <v>919</v>
      </c>
      <c r="C160" s="274" t="s">
        <v>598</v>
      </c>
      <c r="D160" s="274" t="s">
        <v>71</v>
      </c>
      <c r="E160" s="274" t="s">
        <v>599</v>
      </c>
      <c r="F160" s="159" t="s">
        <v>934</v>
      </c>
      <c r="G160" s="366"/>
      <c r="H160" s="366"/>
      <c r="I160" s="313">
        <f>(2000000)-2000000+500000+1000000-1000000</f>
        <v>500000</v>
      </c>
      <c r="J160" s="313"/>
    </row>
    <row r="161" spans="1:17" ht="75" x14ac:dyDescent="0.2">
      <c r="B161" s="293" t="s">
        <v>248</v>
      </c>
      <c r="C161" s="293"/>
      <c r="D161" s="293"/>
      <c r="E161" s="293" t="s">
        <v>866</v>
      </c>
      <c r="F161" s="304"/>
      <c r="G161" s="304"/>
      <c r="H161" s="304"/>
      <c r="I161" s="298">
        <f>I162</f>
        <v>500000</v>
      </c>
      <c r="J161" s="298"/>
    </row>
    <row r="162" spans="1:17" ht="85.5" x14ac:dyDescent="0.2">
      <c r="B162" s="299" t="s">
        <v>249</v>
      </c>
      <c r="C162" s="299"/>
      <c r="D162" s="299"/>
      <c r="E162" s="299" t="s">
        <v>867</v>
      </c>
      <c r="F162" s="303"/>
      <c r="G162" s="304"/>
      <c r="H162" s="304"/>
      <c r="I162" s="305">
        <f>SUM(I163:I168)</f>
        <v>500000</v>
      </c>
      <c r="J162" s="305"/>
    </row>
    <row r="163" spans="1:17" ht="45" x14ac:dyDescent="0.2">
      <c r="B163" s="274" t="s">
        <v>457</v>
      </c>
      <c r="C163" s="274" t="s">
        <v>458</v>
      </c>
      <c r="D163" s="274" t="s">
        <v>459</v>
      </c>
      <c r="E163" s="274" t="s">
        <v>456</v>
      </c>
      <c r="F163" s="309" t="s">
        <v>696</v>
      </c>
      <c r="G163" s="275"/>
      <c r="H163" s="275"/>
      <c r="I163" s="276">
        <v>100000</v>
      </c>
      <c r="J163" s="276"/>
    </row>
    <row r="164" spans="1:17" ht="30" x14ac:dyDescent="0.2">
      <c r="B164" s="274" t="s">
        <v>457</v>
      </c>
      <c r="C164" s="274" t="s">
        <v>458</v>
      </c>
      <c r="D164" s="274" t="s">
        <v>459</v>
      </c>
      <c r="E164" s="274" t="s">
        <v>456</v>
      </c>
      <c r="F164" s="309" t="s">
        <v>55</v>
      </c>
      <c r="G164" s="275"/>
      <c r="H164" s="275"/>
      <c r="I164" s="276">
        <v>50000</v>
      </c>
      <c r="J164" s="276"/>
    </row>
    <row r="165" spans="1:17" ht="45" x14ac:dyDescent="0.2">
      <c r="B165" s="274" t="s">
        <v>457</v>
      </c>
      <c r="C165" s="274" t="s">
        <v>458</v>
      </c>
      <c r="D165" s="274" t="s">
        <v>459</v>
      </c>
      <c r="E165" s="274" t="s">
        <v>456</v>
      </c>
      <c r="F165" s="309" t="s">
        <v>491</v>
      </c>
      <c r="G165" s="275"/>
      <c r="H165" s="275"/>
      <c r="I165" s="276">
        <v>50000</v>
      </c>
      <c r="J165" s="276"/>
    </row>
    <row r="166" spans="1:17" ht="30" hidden="1" customHeight="1" x14ac:dyDescent="0.2">
      <c r="B166" s="274" t="s">
        <v>457</v>
      </c>
      <c r="C166" s="274" t="s">
        <v>458</v>
      </c>
      <c r="D166" s="274" t="s">
        <v>459</v>
      </c>
      <c r="E166" s="274" t="s">
        <v>456</v>
      </c>
      <c r="F166" s="309" t="s">
        <v>610</v>
      </c>
      <c r="G166" s="275"/>
      <c r="H166" s="275"/>
      <c r="I166" s="276"/>
      <c r="J166" s="276"/>
    </row>
    <row r="167" spans="1:17" ht="30" x14ac:dyDescent="0.2">
      <c r="B167" s="274" t="s">
        <v>457</v>
      </c>
      <c r="C167" s="274" t="s">
        <v>458</v>
      </c>
      <c r="D167" s="274" t="s">
        <v>459</v>
      </c>
      <c r="E167" s="274" t="s">
        <v>456</v>
      </c>
      <c r="F167" s="309" t="s">
        <v>56</v>
      </c>
      <c r="G167" s="275"/>
      <c r="H167" s="275"/>
      <c r="I167" s="276">
        <v>210000</v>
      </c>
      <c r="J167" s="276"/>
    </row>
    <row r="168" spans="1:17" ht="45" x14ac:dyDescent="0.2">
      <c r="B168" s="274" t="s">
        <v>607</v>
      </c>
      <c r="C168" s="274" t="s">
        <v>608</v>
      </c>
      <c r="D168" s="274" t="s">
        <v>256</v>
      </c>
      <c r="E168" s="274" t="s">
        <v>609</v>
      </c>
      <c r="F168" s="309" t="s">
        <v>492</v>
      </c>
      <c r="G168" s="275"/>
      <c r="H168" s="275"/>
      <c r="I168" s="276">
        <v>90000</v>
      </c>
      <c r="J168" s="276"/>
    </row>
    <row r="169" spans="1:17" ht="30" x14ac:dyDescent="0.2">
      <c r="B169" s="293" t="s">
        <v>254</v>
      </c>
      <c r="C169" s="293"/>
      <c r="D169" s="293"/>
      <c r="E169" s="293" t="s">
        <v>48</v>
      </c>
      <c r="F169" s="304"/>
      <c r="G169" s="304"/>
      <c r="H169" s="304"/>
      <c r="I169" s="298">
        <f>I170</f>
        <v>50000</v>
      </c>
      <c r="J169" s="298"/>
    </row>
    <row r="170" spans="1:17" ht="42.75" x14ac:dyDescent="0.2">
      <c r="B170" s="299" t="s">
        <v>255</v>
      </c>
      <c r="C170" s="299"/>
      <c r="D170" s="299"/>
      <c r="E170" s="299" t="s">
        <v>66</v>
      </c>
      <c r="F170" s="303"/>
      <c r="G170" s="304"/>
      <c r="H170" s="304"/>
      <c r="I170" s="305">
        <f>I171</f>
        <v>50000</v>
      </c>
      <c r="J170" s="305"/>
    </row>
    <row r="171" spans="1:17" ht="45" x14ac:dyDescent="0.2">
      <c r="B171" s="274" t="s">
        <v>737</v>
      </c>
      <c r="C171" s="274" t="s">
        <v>341</v>
      </c>
      <c r="D171" s="274" t="s">
        <v>339</v>
      </c>
      <c r="E171" s="274" t="s">
        <v>340</v>
      </c>
      <c r="F171" s="275" t="s">
        <v>90</v>
      </c>
      <c r="G171" s="275"/>
      <c r="H171" s="275"/>
      <c r="I171" s="276">
        <v>50000</v>
      </c>
      <c r="J171" s="276"/>
    </row>
    <row r="172" spans="1:17" ht="24.75" customHeight="1" x14ac:dyDescent="0.3">
      <c r="A172" s="20"/>
      <c r="B172" s="143" t="s">
        <v>647</v>
      </c>
      <c r="C172" s="143" t="s">
        <v>647</v>
      </c>
      <c r="D172" s="143" t="s">
        <v>647</v>
      </c>
      <c r="E172" s="186" t="s">
        <v>665</v>
      </c>
      <c r="F172" s="143" t="s">
        <v>647</v>
      </c>
      <c r="G172" s="143" t="s">
        <v>647</v>
      </c>
      <c r="H172" s="143" t="s">
        <v>647</v>
      </c>
      <c r="I172" s="145">
        <f>I6+I14+I63+I29+I42+I54+I72+I125+I148+I161+I154+I169</f>
        <v>389377461.35000002</v>
      </c>
      <c r="J172" s="143" t="s">
        <v>647</v>
      </c>
      <c r="K172" s="368" t="b">
        <f>I172='dod3'!K183</f>
        <v>1</v>
      </c>
    </row>
    <row r="173" spans="1:17" ht="15.75" x14ac:dyDescent="0.2">
      <c r="B173" s="453" t="s">
        <v>493</v>
      </c>
      <c r="C173" s="454"/>
      <c r="D173" s="454"/>
      <c r="E173" s="454"/>
      <c r="F173" s="454"/>
      <c r="G173" s="454"/>
      <c r="H173" s="454"/>
      <c r="I173" s="454"/>
      <c r="J173" s="454"/>
      <c r="K173" s="454"/>
      <c r="L173" s="454"/>
      <c r="M173" s="454"/>
      <c r="N173" s="454"/>
      <c r="O173" s="454"/>
      <c r="P173" s="454"/>
      <c r="Q173" s="454"/>
    </row>
    <row r="174" spans="1:17" ht="12" customHeight="1" x14ac:dyDescent="0.2">
      <c r="B174" s="452"/>
      <c r="C174" s="452"/>
      <c r="D174" s="452"/>
      <c r="E174" s="452"/>
      <c r="F174" s="452"/>
      <c r="G174" s="452"/>
      <c r="H174" s="452"/>
      <c r="I174" s="452"/>
      <c r="J174" s="452"/>
    </row>
    <row r="175" spans="1:17" ht="15" x14ac:dyDescent="0.25">
      <c r="D175" s="443" t="s">
        <v>944</v>
      </c>
      <c r="E175" s="443"/>
      <c r="F175" s="443"/>
      <c r="G175" s="443"/>
      <c r="H175" s="443"/>
      <c r="I175" s="443"/>
      <c r="J175" s="443"/>
      <c r="K175" s="443"/>
      <c r="L175" s="443"/>
      <c r="M175" s="443"/>
      <c r="N175" s="443"/>
      <c r="O175" s="443"/>
      <c r="P175" s="443"/>
      <c r="Q175" s="443"/>
    </row>
    <row r="176" spans="1:17" ht="15" x14ac:dyDescent="0.25">
      <c r="D176" s="443"/>
      <c r="E176" s="443"/>
      <c r="F176" s="443"/>
      <c r="G176" s="443"/>
      <c r="H176" s="443"/>
      <c r="I176" s="443"/>
      <c r="J176" s="443"/>
      <c r="K176" s="443"/>
      <c r="L176" s="443"/>
      <c r="M176" s="443"/>
      <c r="N176" s="443"/>
      <c r="O176" s="443"/>
      <c r="P176" s="443"/>
      <c r="Q176" s="252"/>
    </row>
    <row r="177" spans="4:17" ht="15" x14ac:dyDescent="0.25">
      <c r="D177" s="443" t="s">
        <v>231</v>
      </c>
      <c r="E177" s="443"/>
      <c r="F177" s="443"/>
      <c r="G177" s="443"/>
      <c r="H177" s="443"/>
      <c r="I177" s="443"/>
      <c r="J177" s="443"/>
      <c r="K177" s="443"/>
      <c r="L177" s="443"/>
      <c r="M177" s="443"/>
      <c r="N177" s="443"/>
      <c r="O177" s="443"/>
      <c r="P177" s="443"/>
      <c r="Q177" s="252"/>
    </row>
    <row r="194" spans="7:10" ht="46.5" x14ac:dyDescent="0.2">
      <c r="J194" s="237"/>
    </row>
    <row r="197" spans="7:10" ht="46.5" x14ac:dyDescent="0.2">
      <c r="G197" s="237"/>
      <c r="J197" s="237"/>
    </row>
    <row r="216" spans="11:11" ht="90" x14ac:dyDescent="1.1499999999999999">
      <c r="K216" s="235" t="b">
        <f>G216=H216+I216</f>
        <v>1</v>
      </c>
    </row>
  </sheetData>
  <mergeCells count="8">
    <mergeCell ref="D177:P177"/>
    <mergeCell ref="B174:J174"/>
    <mergeCell ref="B173:Q173"/>
    <mergeCell ref="B1:J1"/>
    <mergeCell ref="G2:J2"/>
    <mergeCell ref="B3:J3"/>
    <mergeCell ref="D176:P176"/>
    <mergeCell ref="D175:Q175"/>
  </mergeCells>
  <phoneticPr fontId="16" type="noConversion"/>
  <printOptions horizontalCentered="1"/>
  <pageMargins left="0.82677165354330717" right="0" top="0.31496062992125984" bottom="0.31496062992125984" header="0.23622047244094491" footer="0.19685039370078741"/>
  <pageSetup paperSize="9" scale="70" fitToHeight="0" orientation="landscape" r:id="rId1"/>
  <headerFooter alignWithMargins="0">
    <oddFooter>&amp;R&amp;P</oddFooter>
  </headerFooter>
  <rowBreaks count="3" manualBreakCount="3">
    <brk id="44" min="1" max="9" man="1"/>
    <brk id="153" min="1" max="9" man="1"/>
    <brk id="168"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K158"/>
  <sheetViews>
    <sheetView view="pageBreakPreview" topLeftCell="A13" zoomScale="70" zoomScaleNormal="85" zoomScaleSheetLayoutView="70" workbookViewId="0">
      <selection activeCell="C25" sqref="C25:D25"/>
    </sheetView>
  </sheetViews>
  <sheetFormatPr defaultColWidth="9.140625" defaultRowHeight="12.75" x14ac:dyDescent="0.2"/>
  <cols>
    <col min="1" max="1" width="7" style="97" customWidth="1"/>
    <col min="2" max="2" width="23.5703125" style="97" customWidth="1"/>
    <col min="3" max="3" width="83.5703125" style="97" customWidth="1"/>
    <col min="4" max="4" width="18.28515625" style="97" customWidth="1"/>
    <col min="5" max="5" width="17" style="97" customWidth="1"/>
    <col min="6" max="6" width="14.7109375" style="97" customWidth="1"/>
    <col min="7" max="7" width="12.7109375" style="97" bestFit="1" customWidth="1"/>
    <col min="8" max="10" width="9.140625" style="97"/>
    <col min="11" max="11" width="52.5703125" style="97" customWidth="1"/>
    <col min="12" max="16384" width="9.140625" style="97"/>
  </cols>
  <sheetData>
    <row r="1" spans="1:8" ht="16.5" customHeight="1" x14ac:dyDescent="0.2">
      <c r="A1" s="96"/>
      <c r="D1" s="393" t="s">
        <v>190</v>
      </c>
      <c r="E1" s="393"/>
    </row>
    <row r="2" spans="1:8" ht="16.5" customHeight="1" x14ac:dyDescent="0.2">
      <c r="A2" s="96"/>
      <c r="D2" s="393" t="s">
        <v>191</v>
      </c>
      <c r="E2" s="473"/>
    </row>
    <row r="3" spans="1:8" ht="12.75" customHeight="1" x14ac:dyDescent="0.2">
      <c r="A3" s="96"/>
      <c r="D3" s="393"/>
      <c r="E3" s="473"/>
    </row>
    <row r="4" spans="1:8" ht="12.75" customHeight="1" x14ac:dyDescent="0.2">
      <c r="A4" s="96"/>
      <c r="D4" s="393"/>
      <c r="E4" s="395"/>
    </row>
    <row r="5" spans="1:8" ht="16.5" x14ac:dyDescent="0.25">
      <c r="A5" s="457" t="s">
        <v>192</v>
      </c>
      <c r="B5" s="458"/>
      <c r="C5" s="458"/>
      <c r="D5" s="458"/>
      <c r="E5" s="459"/>
      <c r="F5" s="98"/>
    </row>
    <row r="6" spans="1:8" ht="16.5" x14ac:dyDescent="0.25">
      <c r="A6" s="457" t="s">
        <v>193</v>
      </c>
      <c r="B6" s="457"/>
      <c r="C6" s="457"/>
      <c r="D6" s="457"/>
      <c r="E6" s="394"/>
    </row>
    <row r="7" spans="1:8" ht="16.5" x14ac:dyDescent="0.2">
      <c r="A7" s="460" t="s">
        <v>642</v>
      </c>
      <c r="B7" s="460"/>
      <c r="C7" s="460"/>
      <c r="D7" s="460"/>
      <c r="E7" s="461"/>
    </row>
    <row r="8" spans="1:8" ht="16.5" x14ac:dyDescent="0.2">
      <c r="D8" s="193"/>
      <c r="E8" s="193" t="s">
        <v>686</v>
      </c>
      <c r="F8" s="98"/>
      <c r="G8" s="98"/>
      <c r="H8" s="99"/>
    </row>
    <row r="9" spans="1:8" s="100" customFormat="1" ht="26.45" customHeight="1" x14ac:dyDescent="0.2">
      <c r="B9" s="101" t="s">
        <v>194</v>
      </c>
      <c r="C9" s="468" t="s">
        <v>195</v>
      </c>
      <c r="D9" s="466"/>
      <c r="E9" s="467"/>
    </row>
    <row r="10" spans="1:8" s="100" customFormat="1" ht="39.75" customHeight="1" x14ac:dyDescent="0.2">
      <c r="A10" s="102"/>
      <c r="B10" s="103" t="s">
        <v>196</v>
      </c>
      <c r="C10" s="462" t="s">
        <v>197</v>
      </c>
      <c r="D10" s="463"/>
      <c r="E10" s="104">
        <v>100</v>
      </c>
    </row>
    <row r="11" spans="1:8" s="100" customFormat="1" ht="40.700000000000003" customHeight="1" x14ac:dyDescent="0.2">
      <c r="B11" s="103" t="s">
        <v>198</v>
      </c>
      <c r="C11" s="462" t="s">
        <v>199</v>
      </c>
      <c r="D11" s="463"/>
      <c r="E11" s="104">
        <v>4350000</v>
      </c>
    </row>
    <row r="12" spans="1:8" s="100" customFormat="1" ht="61.5" customHeight="1" x14ac:dyDescent="0.2">
      <c r="B12" s="103" t="s">
        <v>200</v>
      </c>
      <c r="C12" s="462" t="s">
        <v>201</v>
      </c>
      <c r="D12" s="463"/>
      <c r="E12" s="104">
        <v>8500</v>
      </c>
    </row>
    <row r="13" spans="1:8" s="100" customFormat="1" ht="61.5" customHeight="1" x14ac:dyDescent="0.2">
      <c r="B13" s="103" t="s">
        <v>202</v>
      </c>
      <c r="C13" s="462" t="s">
        <v>203</v>
      </c>
      <c r="D13" s="463"/>
      <c r="E13" s="104">
        <v>0</v>
      </c>
      <c r="G13" s="100">
        <f>H13+I13</f>
        <v>0</v>
      </c>
    </row>
    <row r="14" spans="1:8" s="100" customFormat="1" ht="41.25" customHeight="1" x14ac:dyDescent="0.2">
      <c r="B14" s="103" t="s">
        <v>204</v>
      </c>
      <c r="C14" s="462" t="s">
        <v>205</v>
      </c>
      <c r="D14" s="463"/>
      <c r="E14" s="104">
        <v>3500</v>
      </c>
      <c r="G14" s="100">
        <f>H14+I14</f>
        <v>0</v>
      </c>
    </row>
    <row r="15" spans="1:8" s="100" customFormat="1" ht="26.45" customHeight="1" x14ac:dyDescent="0.2">
      <c r="B15" s="103"/>
      <c r="C15" s="470" t="s">
        <v>206</v>
      </c>
      <c r="D15" s="463"/>
      <c r="E15" s="105">
        <f>SUM(E10:E14)</f>
        <v>4362100</v>
      </c>
    </row>
    <row r="16" spans="1:8" s="100" customFormat="1" ht="26.45" customHeight="1" x14ac:dyDescent="0.2">
      <c r="B16" s="103"/>
      <c r="C16" s="470" t="s">
        <v>643</v>
      </c>
      <c r="D16" s="463"/>
      <c r="E16" s="105">
        <v>546803.04</v>
      </c>
      <c r="G16" s="100">
        <f>H16+I16</f>
        <v>0</v>
      </c>
    </row>
    <row r="17" spans="1:7" s="100" customFormat="1" ht="26.45" customHeight="1" x14ac:dyDescent="0.2">
      <c r="B17" s="148"/>
      <c r="C17" s="469" t="s">
        <v>207</v>
      </c>
      <c r="D17" s="463"/>
      <c r="E17" s="149">
        <f>E15+E16</f>
        <v>4908903.04</v>
      </c>
    </row>
    <row r="18" spans="1:7" s="100" customFormat="1" ht="30.75" customHeight="1" x14ac:dyDescent="0.2">
      <c r="A18" s="116"/>
      <c r="B18" s="103"/>
      <c r="C18" s="465" t="s">
        <v>208</v>
      </c>
      <c r="D18" s="466"/>
      <c r="E18" s="467"/>
      <c r="G18" s="100">
        <f>SUM(G19:G29)</f>
        <v>0</v>
      </c>
    </row>
    <row r="19" spans="1:7" s="100" customFormat="1" ht="43.5" customHeight="1" x14ac:dyDescent="0.2">
      <c r="A19" s="116"/>
      <c r="B19" s="103" t="s">
        <v>209</v>
      </c>
      <c r="C19" s="462" t="s">
        <v>210</v>
      </c>
      <c r="D19" s="463"/>
      <c r="E19" s="104">
        <f>(90000)+30000</f>
        <v>120000</v>
      </c>
      <c r="G19" s="100">
        <f>H19+I19</f>
        <v>0</v>
      </c>
    </row>
    <row r="20" spans="1:7" s="100" customFormat="1" ht="44.45" customHeight="1" x14ac:dyDescent="0.2">
      <c r="A20" s="116"/>
      <c r="B20" s="103" t="s">
        <v>211</v>
      </c>
      <c r="C20" s="462" t="s">
        <v>212</v>
      </c>
      <c r="D20" s="463"/>
      <c r="E20" s="104">
        <v>81100</v>
      </c>
      <c r="G20" s="100">
        <f>H20+I20</f>
        <v>0</v>
      </c>
    </row>
    <row r="21" spans="1:7" s="100" customFormat="1" ht="61.5" customHeight="1" x14ac:dyDescent="0.2">
      <c r="A21" s="116"/>
      <c r="B21" s="103" t="s">
        <v>213</v>
      </c>
      <c r="C21" s="462" t="s">
        <v>955</v>
      </c>
      <c r="D21" s="463"/>
      <c r="E21" s="104">
        <v>317000</v>
      </c>
      <c r="G21" s="100">
        <f>H21+I21</f>
        <v>0</v>
      </c>
    </row>
    <row r="22" spans="1:7" s="100" customFormat="1" ht="44.45" customHeight="1" x14ac:dyDescent="0.2">
      <c r="A22" s="116"/>
      <c r="B22" s="103" t="s">
        <v>214</v>
      </c>
      <c r="C22" s="462" t="s">
        <v>712</v>
      </c>
      <c r="D22" s="463"/>
      <c r="E22" s="104">
        <v>199000</v>
      </c>
      <c r="G22" s="100">
        <f>H22+I22</f>
        <v>0</v>
      </c>
    </row>
    <row r="23" spans="1:7" s="100" customFormat="1" ht="32.25" customHeight="1" x14ac:dyDescent="0.2">
      <c r="A23" s="116"/>
      <c r="B23" s="103" t="s">
        <v>215</v>
      </c>
      <c r="C23" s="462" t="s">
        <v>216</v>
      </c>
      <c r="D23" s="463"/>
      <c r="E23" s="104">
        <v>202000</v>
      </c>
      <c r="G23" s="100">
        <f>H23+I23</f>
        <v>0</v>
      </c>
    </row>
    <row r="24" spans="1:7" s="100" customFormat="1" ht="40.700000000000003" customHeight="1" x14ac:dyDescent="0.2">
      <c r="A24" s="116"/>
      <c r="B24" s="103" t="s">
        <v>217</v>
      </c>
      <c r="C24" s="462" t="s">
        <v>218</v>
      </c>
      <c r="D24" s="463"/>
      <c r="E24" s="104">
        <f>(700000)+60000</f>
        <v>760000</v>
      </c>
    </row>
    <row r="25" spans="1:7" s="100" customFormat="1" ht="79.5" customHeight="1" x14ac:dyDescent="0.2">
      <c r="A25" s="116"/>
      <c r="B25" s="103" t="s">
        <v>219</v>
      </c>
      <c r="C25" s="462" t="s">
        <v>220</v>
      </c>
      <c r="D25" s="463"/>
      <c r="E25" s="104">
        <f>(750000)+53137</f>
        <v>803137</v>
      </c>
    </row>
    <row r="26" spans="1:7" s="100" customFormat="1" ht="44.45" customHeight="1" x14ac:dyDescent="0.2">
      <c r="A26" s="116"/>
      <c r="B26" s="103" t="s">
        <v>221</v>
      </c>
      <c r="C26" s="475" t="s">
        <v>222</v>
      </c>
      <c r="D26" s="463"/>
      <c r="E26" s="104">
        <v>18000</v>
      </c>
    </row>
    <row r="27" spans="1:7" s="100" customFormat="1" ht="76.7" hidden="1" customHeight="1" x14ac:dyDescent="0.2">
      <c r="A27" s="116"/>
      <c r="B27" s="103" t="s">
        <v>223</v>
      </c>
      <c r="C27" s="475" t="s">
        <v>224</v>
      </c>
      <c r="D27" s="463"/>
      <c r="E27" s="104"/>
    </row>
    <row r="28" spans="1:7" s="100" customFormat="1" ht="45.75" customHeight="1" x14ac:dyDescent="0.2">
      <c r="A28" s="116"/>
      <c r="B28" s="103" t="s">
        <v>225</v>
      </c>
      <c r="C28" s="462" t="s">
        <v>226</v>
      </c>
      <c r="D28" s="463"/>
      <c r="E28" s="104">
        <f>(1855000)+300000+30636.7+42100+153264+27665.34</f>
        <v>2408666.04</v>
      </c>
    </row>
    <row r="29" spans="1:7" s="100" customFormat="1" ht="27.75" customHeight="1" x14ac:dyDescent="0.2">
      <c r="B29" s="146"/>
      <c r="C29" s="474" t="s">
        <v>207</v>
      </c>
      <c r="D29" s="463"/>
      <c r="E29" s="147">
        <f>E19+E20+E21+E22+E23+E24+E26+E27+E28+E25</f>
        <v>4908903.04</v>
      </c>
      <c r="F29" s="224" t="b">
        <f>E17=E29</f>
        <v>1</v>
      </c>
      <c r="G29" s="224" t="b">
        <f>E29='dod3'!Q19+'dod3'!Q97+'dod3'!Q143</f>
        <v>1</v>
      </c>
    </row>
    <row r="32" spans="1:7" ht="18.75" x14ac:dyDescent="0.2">
      <c r="B32" s="179" t="s">
        <v>941</v>
      </c>
      <c r="C32" s="179"/>
      <c r="D32" s="179" t="s">
        <v>945</v>
      </c>
    </row>
    <row r="33" spans="2:7" ht="18.75" x14ac:dyDescent="0.2">
      <c r="B33" s="179"/>
      <c r="C33" s="179"/>
      <c r="D33" s="179"/>
    </row>
    <row r="34" spans="2:7" ht="18.75" x14ac:dyDescent="0.2">
      <c r="B34" s="464" t="s">
        <v>227</v>
      </c>
      <c r="C34" s="464"/>
      <c r="D34" s="178" t="s">
        <v>228</v>
      </c>
    </row>
    <row r="40" spans="2:7" ht="16.5" x14ac:dyDescent="0.2">
      <c r="B40" s="472"/>
      <c r="C40" s="106"/>
      <c r="D40" s="107"/>
      <c r="E40" s="108"/>
    </row>
    <row r="41" spans="2:7" ht="16.5" x14ac:dyDescent="0.2">
      <c r="B41" s="472"/>
      <c r="C41" s="109"/>
      <c r="D41" s="107"/>
      <c r="E41" s="108"/>
    </row>
    <row r="42" spans="2:7" ht="16.5" x14ac:dyDescent="0.2">
      <c r="B42" s="472"/>
      <c r="C42" s="110"/>
      <c r="D42" s="107"/>
      <c r="E42" s="108"/>
    </row>
    <row r="43" spans="2:7" ht="16.5" x14ac:dyDescent="0.2">
      <c r="B43" s="472"/>
      <c r="C43" s="106"/>
      <c r="D43" s="107"/>
      <c r="E43" s="108"/>
    </row>
    <row r="44" spans="2:7" ht="16.5" x14ac:dyDescent="0.2">
      <c r="B44" s="472"/>
      <c r="C44" s="106"/>
      <c r="D44" s="107"/>
      <c r="E44" s="108"/>
    </row>
    <row r="45" spans="2:7" x14ac:dyDescent="0.2">
      <c r="G45" s="97">
        <f>H45+I45</f>
        <v>0</v>
      </c>
    </row>
    <row r="47" spans="2:7" x14ac:dyDescent="0.2">
      <c r="G47" s="97">
        <f t="shared" ref="G47:G65" si="0">H47+I47</f>
        <v>0</v>
      </c>
    </row>
    <row r="48" spans="2:7" x14ac:dyDescent="0.2">
      <c r="G48" s="97">
        <f t="shared" si="0"/>
        <v>0</v>
      </c>
    </row>
    <row r="49" spans="7:7" x14ac:dyDescent="0.2">
      <c r="G49" s="97">
        <f t="shared" si="0"/>
        <v>0</v>
      </c>
    </row>
    <row r="50" spans="7:7" x14ac:dyDescent="0.2">
      <c r="G50" s="97">
        <f t="shared" si="0"/>
        <v>0</v>
      </c>
    </row>
    <row r="51" spans="7:7" x14ac:dyDescent="0.2">
      <c r="G51" s="97">
        <f t="shared" si="0"/>
        <v>0</v>
      </c>
    </row>
    <row r="52" spans="7:7" x14ac:dyDescent="0.2">
      <c r="G52" s="97">
        <f t="shared" si="0"/>
        <v>0</v>
      </c>
    </row>
    <row r="53" spans="7:7" x14ac:dyDescent="0.2">
      <c r="G53" s="97">
        <f t="shared" si="0"/>
        <v>0</v>
      </c>
    </row>
    <row r="54" spans="7:7" x14ac:dyDescent="0.2">
      <c r="G54" s="97">
        <f t="shared" si="0"/>
        <v>0</v>
      </c>
    </row>
    <row r="55" spans="7:7" x14ac:dyDescent="0.2">
      <c r="G55" s="97">
        <f t="shared" si="0"/>
        <v>0</v>
      </c>
    </row>
    <row r="56" spans="7:7" x14ac:dyDescent="0.2">
      <c r="G56" s="97">
        <f t="shared" si="0"/>
        <v>0</v>
      </c>
    </row>
    <row r="57" spans="7:7" x14ac:dyDescent="0.2">
      <c r="G57" s="97">
        <f t="shared" si="0"/>
        <v>0</v>
      </c>
    </row>
    <row r="58" spans="7:7" x14ac:dyDescent="0.2">
      <c r="G58" s="97">
        <f t="shared" si="0"/>
        <v>0</v>
      </c>
    </row>
    <row r="59" spans="7:7" x14ac:dyDescent="0.2">
      <c r="G59" s="97">
        <f t="shared" si="0"/>
        <v>0</v>
      </c>
    </row>
    <row r="60" spans="7:7" x14ac:dyDescent="0.2">
      <c r="G60" s="97">
        <f t="shared" si="0"/>
        <v>0</v>
      </c>
    </row>
    <row r="61" spans="7:7" x14ac:dyDescent="0.2">
      <c r="G61" s="97">
        <f t="shared" si="0"/>
        <v>0</v>
      </c>
    </row>
    <row r="62" spans="7:7" x14ac:dyDescent="0.2">
      <c r="G62" s="97">
        <f t="shared" si="0"/>
        <v>0</v>
      </c>
    </row>
    <row r="63" spans="7:7" x14ac:dyDescent="0.2">
      <c r="G63" s="97">
        <f t="shared" si="0"/>
        <v>0</v>
      </c>
    </row>
    <row r="64" spans="7:7" x14ac:dyDescent="0.2">
      <c r="G64" s="97">
        <f t="shared" si="0"/>
        <v>0</v>
      </c>
    </row>
    <row r="65" spans="7:7" x14ac:dyDescent="0.2">
      <c r="G65" s="97">
        <f t="shared" si="0"/>
        <v>0</v>
      </c>
    </row>
    <row r="67" spans="7:7" x14ac:dyDescent="0.2">
      <c r="G67" s="97">
        <f>H67+I67</f>
        <v>0</v>
      </c>
    </row>
    <row r="68" spans="7:7" x14ac:dyDescent="0.2">
      <c r="G68" s="97">
        <f>H68+I68</f>
        <v>0</v>
      </c>
    </row>
    <row r="69" spans="7:7" x14ac:dyDescent="0.2">
      <c r="G69" s="97">
        <f>H69+I69</f>
        <v>0</v>
      </c>
    </row>
    <row r="70" spans="7:7" x14ac:dyDescent="0.2">
      <c r="G70" s="97">
        <f>H70+I70</f>
        <v>0</v>
      </c>
    </row>
    <row r="72" spans="7:7" x14ac:dyDescent="0.2">
      <c r="G72" s="97">
        <f>H72+I72</f>
        <v>0</v>
      </c>
    </row>
    <row r="75" spans="7:7" x14ac:dyDescent="0.2">
      <c r="G75" s="471"/>
    </row>
    <row r="76" spans="7:7" x14ac:dyDescent="0.2">
      <c r="G76" s="394"/>
    </row>
    <row r="112" spans="7:7" x14ac:dyDescent="0.2">
      <c r="G112" s="97">
        <f>H112+I112</f>
        <v>0</v>
      </c>
    </row>
    <row r="114" spans="7:7" x14ac:dyDescent="0.2">
      <c r="G114" s="97">
        <f t="shared" ref="G114:G124" si="1">H114+I114</f>
        <v>0</v>
      </c>
    </row>
    <row r="115" spans="7:7" x14ac:dyDescent="0.2">
      <c r="G115" s="97">
        <f t="shared" si="1"/>
        <v>0</v>
      </c>
    </row>
    <row r="116" spans="7:7" x14ac:dyDescent="0.2">
      <c r="G116" s="97">
        <f t="shared" si="1"/>
        <v>0</v>
      </c>
    </row>
    <row r="117" spans="7:7" x14ac:dyDescent="0.2">
      <c r="G117" s="97">
        <f t="shared" si="1"/>
        <v>0</v>
      </c>
    </row>
    <row r="118" spans="7:7" x14ac:dyDescent="0.2">
      <c r="G118" s="97">
        <f t="shared" si="1"/>
        <v>0</v>
      </c>
    </row>
    <row r="119" spans="7:7" x14ac:dyDescent="0.2">
      <c r="G119" s="97">
        <f t="shared" si="1"/>
        <v>0</v>
      </c>
    </row>
    <row r="120" spans="7:7" x14ac:dyDescent="0.2">
      <c r="G120" s="97">
        <f t="shared" si="1"/>
        <v>0</v>
      </c>
    </row>
    <row r="121" spans="7:7" x14ac:dyDescent="0.2">
      <c r="G121" s="97">
        <f t="shared" si="1"/>
        <v>0</v>
      </c>
    </row>
    <row r="122" spans="7:7" x14ac:dyDescent="0.2">
      <c r="G122" s="97">
        <f t="shared" si="1"/>
        <v>0</v>
      </c>
    </row>
    <row r="123" spans="7:7" x14ac:dyDescent="0.2">
      <c r="G123" s="97">
        <f t="shared" si="1"/>
        <v>0</v>
      </c>
    </row>
    <row r="124" spans="7:7" x14ac:dyDescent="0.2">
      <c r="G124" s="97">
        <f t="shared" si="1"/>
        <v>0</v>
      </c>
    </row>
    <row r="126" spans="7:7" x14ac:dyDescent="0.2">
      <c r="G126" s="97">
        <f>H127+I127</f>
        <v>0</v>
      </c>
    </row>
    <row r="127" spans="7:7" x14ac:dyDescent="0.2">
      <c r="G127" s="97">
        <f t="shared" ref="G127" si="2">H127+I127</f>
        <v>0</v>
      </c>
    </row>
    <row r="128" spans="7:7" x14ac:dyDescent="0.2">
      <c r="G128" s="97">
        <f>H128+I128</f>
        <v>0</v>
      </c>
    </row>
    <row r="129" spans="7:10" x14ac:dyDescent="0.2">
      <c r="G129" s="97">
        <f>H129+I129</f>
        <v>0</v>
      </c>
    </row>
    <row r="130" spans="7:10" x14ac:dyDescent="0.2">
      <c r="G130" s="97">
        <f>H130+I130</f>
        <v>0</v>
      </c>
    </row>
    <row r="131" spans="7:10" x14ac:dyDescent="0.2">
      <c r="G131" s="97">
        <f>H131+I131</f>
        <v>0</v>
      </c>
    </row>
    <row r="136" spans="7:10" ht="46.5" x14ac:dyDescent="0.2">
      <c r="J136" s="236"/>
    </row>
    <row r="139" spans="7:10" ht="46.5" x14ac:dyDescent="0.2">
      <c r="G139" s="236">
        <f>H139+I139</f>
        <v>0</v>
      </c>
      <c r="J139" s="236"/>
    </row>
    <row r="158" spans="11:11" ht="90" x14ac:dyDescent="0.2">
      <c r="K158" s="234" t="b">
        <f>G158=H158+I158</f>
        <v>1</v>
      </c>
    </row>
  </sheetData>
  <mergeCells count="31">
    <mergeCell ref="G75:G76"/>
    <mergeCell ref="B40:B44"/>
    <mergeCell ref="D1:E1"/>
    <mergeCell ref="D2:E2"/>
    <mergeCell ref="D3:E3"/>
    <mergeCell ref="D4:E4"/>
    <mergeCell ref="C29:D29"/>
    <mergeCell ref="C28:D28"/>
    <mergeCell ref="C27:D27"/>
    <mergeCell ref="C26:D26"/>
    <mergeCell ref="C25:D25"/>
    <mergeCell ref="C24:D24"/>
    <mergeCell ref="C23:D23"/>
    <mergeCell ref="C22:D22"/>
    <mergeCell ref="C21:D21"/>
    <mergeCell ref="C20:D20"/>
    <mergeCell ref="C19:D19"/>
    <mergeCell ref="B34:C34"/>
    <mergeCell ref="C18:E18"/>
    <mergeCell ref="C9:E9"/>
    <mergeCell ref="C17:D17"/>
    <mergeCell ref="C16:D16"/>
    <mergeCell ref="C15:D15"/>
    <mergeCell ref="C14:D14"/>
    <mergeCell ref="C13:D13"/>
    <mergeCell ref="A5:E5"/>
    <mergeCell ref="A6:E6"/>
    <mergeCell ref="A7:E7"/>
    <mergeCell ref="C12:D12"/>
    <mergeCell ref="C11:D11"/>
    <mergeCell ref="C10:D10"/>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K161"/>
  <sheetViews>
    <sheetView tabSelected="1" view="pageBreakPreview" zoomScale="85" zoomScaleNormal="85" zoomScaleSheetLayoutView="85" workbookViewId="0">
      <selection activeCell="A20" sqref="A20:D20"/>
    </sheetView>
  </sheetViews>
  <sheetFormatPr defaultRowHeight="12.75" x14ac:dyDescent="0.2"/>
  <cols>
    <col min="1" max="1" width="6.85546875" customWidth="1"/>
    <col min="2" max="2" width="15.140625" customWidth="1"/>
    <col min="3" max="3" width="15.28515625" customWidth="1"/>
    <col min="4" max="4" width="10.85546875" customWidth="1"/>
    <col min="5" max="5" width="58.140625" customWidth="1"/>
    <col min="6" max="6" width="15.85546875" customWidth="1"/>
    <col min="11" max="11" width="52.5703125" customWidth="1"/>
  </cols>
  <sheetData>
    <row r="1" spans="1:7" x14ac:dyDescent="0.2">
      <c r="A1" s="123"/>
      <c r="B1" s="123"/>
      <c r="C1" s="123"/>
      <c r="D1" s="123"/>
      <c r="E1" s="123"/>
      <c r="F1" s="123" t="s">
        <v>476</v>
      </c>
    </row>
    <row r="2" spans="1:7" x14ac:dyDescent="0.2">
      <c r="A2" s="123"/>
      <c r="B2" s="123"/>
      <c r="C2" s="123"/>
      <c r="D2" s="123"/>
      <c r="E2" s="123"/>
      <c r="F2" s="123" t="s">
        <v>477</v>
      </c>
    </row>
    <row r="3" spans="1:7" x14ac:dyDescent="0.2">
      <c r="A3" s="123"/>
      <c r="B3" s="123"/>
      <c r="C3" s="123"/>
      <c r="D3" s="123"/>
      <c r="E3" s="123"/>
      <c r="F3" s="123" t="s">
        <v>478</v>
      </c>
    </row>
    <row r="4" spans="1:7" ht="15.75" x14ac:dyDescent="0.25">
      <c r="A4" s="476" t="s">
        <v>479</v>
      </c>
      <c r="B4" s="459"/>
      <c r="C4" s="459"/>
      <c r="D4" s="459"/>
      <c r="E4" s="459"/>
      <c r="F4" s="459"/>
    </row>
    <row r="5" spans="1:7" ht="15.75" x14ac:dyDescent="0.25">
      <c r="A5" s="476" t="s">
        <v>480</v>
      </c>
      <c r="B5" s="459"/>
      <c r="C5" s="459"/>
      <c r="D5" s="459"/>
      <c r="E5" s="459"/>
      <c r="F5" s="459"/>
    </row>
    <row r="6" spans="1:7" ht="15.75" x14ac:dyDescent="0.25">
      <c r="A6" s="477" t="s">
        <v>684</v>
      </c>
      <c r="B6" s="478"/>
      <c r="C6" s="478"/>
      <c r="D6" s="478"/>
      <c r="E6" s="478"/>
      <c r="F6" s="478"/>
    </row>
    <row r="7" spans="1:7" ht="59.25" customHeight="1" x14ac:dyDescent="0.2">
      <c r="A7" s="124" t="s">
        <v>481</v>
      </c>
      <c r="B7" s="125" t="s">
        <v>482</v>
      </c>
      <c r="C7" s="125" t="s">
        <v>38</v>
      </c>
      <c r="D7" s="125" t="s">
        <v>30</v>
      </c>
      <c r="E7" s="124" t="s">
        <v>483</v>
      </c>
      <c r="F7" s="126" t="s">
        <v>687</v>
      </c>
    </row>
    <row r="8" spans="1:7" ht="15.75" x14ac:dyDescent="0.2">
      <c r="A8" s="160">
        <v>1</v>
      </c>
      <c r="B8" s="220" t="s">
        <v>463</v>
      </c>
      <c r="C8" s="220" t="s">
        <v>464</v>
      </c>
      <c r="D8" s="220" t="s">
        <v>81</v>
      </c>
      <c r="E8" s="161" t="s">
        <v>611</v>
      </c>
      <c r="F8" s="162">
        <v>116000</v>
      </c>
    </row>
    <row r="9" spans="1:7" ht="78.75" hidden="1" x14ac:dyDescent="0.2">
      <c r="A9" s="160">
        <v>2</v>
      </c>
      <c r="B9" s="220" t="s">
        <v>463</v>
      </c>
      <c r="C9" s="220" t="s">
        <v>464</v>
      </c>
      <c r="D9" s="220" t="s">
        <v>81</v>
      </c>
      <c r="E9" s="161" t="s">
        <v>693</v>
      </c>
      <c r="F9" s="162">
        <f>130000-130000</f>
        <v>0</v>
      </c>
    </row>
    <row r="10" spans="1:7" ht="78.75" x14ac:dyDescent="0.2">
      <c r="A10" s="160">
        <v>2</v>
      </c>
      <c r="B10" s="220" t="s">
        <v>463</v>
      </c>
      <c r="C10" s="220" t="s">
        <v>464</v>
      </c>
      <c r="D10" s="220" t="s">
        <v>81</v>
      </c>
      <c r="E10" s="163" t="s">
        <v>692</v>
      </c>
      <c r="F10" s="162">
        <v>115000</v>
      </c>
    </row>
    <row r="11" spans="1:7" ht="80.45" customHeight="1" x14ac:dyDescent="0.2">
      <c r="A11" s="160">
        <v>3</v>
      </c>
      <c r="B11" s="220" t="s">
        <v>463</v>
      </c>
      <c r="C11" s="220" t="s">
        <v>464</v>
      </c>
      <c r="D11" s="220" t="s">
        <v>81</v>
      </c>
      <c r="E11" s="163" t="s">
        <v>694</v>
      </c>
      <c r="F11" s="162">
        <v>39000</v>
      </c>
    </row>
    <row r="12" spans="1:7" ht="78.75" x14ac:dyDescent="0.2">
      <c r="A12" s="160">
        <v>4</v>
      </c>
      <c r="B12" s="220" t="s">
        <v>465</v>
      </c>
      <c r="C12" s="220" t="s">
        <v>466</v>
      </c>
      <c r="D12" s="220" t="s">
        <v>83</v>
      </c>
      <c r="E12" s="163" t="s">
        <v>695</v>
      </c>
      <c r="F12" s="162">
        <v>100000</v>
      </c>
    </row>
    <row r="13" spans="1:7" ht="110.25" x14ac:dyDescent="0.2">
      <c r="A13" s="272">
        <v>5</v>
      </c>
      <c r="B13" s="220" t="s">
        <v>463</v>
      </c>
      <c r="C13" s="220" t="s">
        <v>464</v>
      </c>
      <c r="D13" s="220" t="s">
        <v>81</v>
      </c>
      <c r="E13" s="273" t="s">
        <v>819</v>
      </c>
      <c r="F13" s="162">
        <f>344616+130000</f>
        <v>474616</v>
      </c>
    </row>
    <row r="14" spans="1:7" ht="63" x14ac:dyDescent="0.2">
      <c r="A14" s="272">
        <v>6</v>
      </c>
      <c r="B14" s="220" t="s">
        <v>463</v>
      </c>
      <c r="C14" s="220" t="s">
        <v>464</v>
      </c>
      <c r="D14" s="220" t="s">
        <v>81</v>
      </c>
      <c r="E14" s="273" t="s">
        <v>820</v>
      </c>
      <c r="F14" s="162">
        <v>90000</v>
      </c>
    </row>
    <row r="15" spans="1:7" ht="78.75" x14ac:dyDescent="0.2">
      <c r="A15" s="160">
        <v>7</v>
      </c>
      <c r="B15" s="220" t="s">
        <v>821</v>
      </c>
      <c r="C15" s="220" t="s">
        <v>822</v>
      </c>
      <c r="D15" s="220" t="s">
        <v>845</v>
      </c>
      <c r="E15" s="163" t="s">
        <v>823</v>
      </c>
      <c r="F15" s="162">
        <v>56289.96</v>
      </c>
    </row>
    <row r="16" spans="1:7" ht="15.75" x14ac:dyDescent="0.2">
      <c r="A16" s="479" t="s">
        <v>484</v>
      </c>
      <c r="B16" s="480"/>
      <c r="C16" s="480"/>
      <c r="D16" s="480"/>
      <c r="E16" s="481"/>
      <c r="F16" s="150">
        <f>SUM(F8:F15)</f>
        <v>990905.96</v>
      </c>
      <c r="G16" s="127" t="b">
        <f>F16='dod3'!J166-'dod3'!J168</f>
        <v>1</v>
      </c>
    </row>
    <row r="17" spans="1:6" ht="15.75" x14ac:dyDescent="0.2">
      <c r="A17" s="130"/>
      <c r="B17" s="130"/>
      <c r="C17" s="130"/>
      <c r="D17" s="130"/>
      <c r="E17" s="130"/>
      <c r="F17" s="131"/>
    </row>
    <row r="18" spans="1:6" ht="15.75" x14ac:dyDescent="0.2">
      <c r="A18" s="483" t="s">
        <v>941</v>
      </c>
      <c r="B18" s="484"/>
      <c r="C18" s="484"/>
      <c r="D18" s="484"/>
      <c r="E18" s="174"/>
      <c r="F18" s="176" t="s">
        <v>945</v>
      </c>
    </row>
    <row r="19" spans="1:6" ht="15.75" x14ac:dyDescent="0.2">
      <c r="A19" s="177"/>
      <c r="B19" s="177"/>
      <c r="C19" s="177"/>
      <c r="D19" s="177"/>
      <c r="E19" s="174"/>
      <c r="F19" s="175"/>
    </row>
    <row r="20" spans="1:6" ht="15.75" x14ac:dyDescent="0.25">
      <c r="A20" s="485" t="s">
        <v>946</v>
      </c>
      <c r="B20" s="485"/>
      <c r="C20" s="485"/>
      <c r="D20" s="485"/>
      <c r="E20" s="128"/>
      <c r="F20" s="128" t="s">
        <v>485</v>
      </c>
    </row>
    <row r="21" spans="1:6" ht="15.75" x14ac:dyDescent="0.2">
      <c r="A21" s="482"/>
      <c r="B21" s="482"/>
      <c r="C21" s="482"/>
      <c r="D21" s="482"/>
      <c r="E21" s="482"/>
      <c r="F21" s="129"/>
    </row>
    <row r="78" spans="7:7" x14ac:dyDescent="0.2">
      <c r="G78" s="394"/>
    </row>
    <row r="79" spans="7:7" x14ac:dyDescent="0.2">
      <c r="G79" s="394"/>
    </row>
    <row r="139" spans="7:10" ht="46.5" x14ac:dyDescent="0.65">
      <c r="J139" s="164"/>
    </row>
    <row r="142" spans="7:10" ht="46.5" x14ac:dyDescent="0.65">
      <c r="G142" s="164"/>
      <c r="J142" s="164"/>
    </row>
    <row r="161" spans="11:11" ht="90" x14ac:dyDescent="1.1499999999999999">
      <c r="K161" s="233" t="b">
        <f>G161=H161+I161</f>
        <v>1</v>
      </c>
    </row>
  </sheetData>
  <mergeCells count="8">
    <mergeCell ref="G78:G79"/>
    <mergeCell ref="A4:F4"/>
    <mergeCell ref="A5:F5"/>
    <mergeCell ref="A6:F6"/>
    <mergeCell ref="A16:E16"/>
    <mergeCell ref="A21:E21"/>
    <mergeCell ref="A18:D18"/>
    <mergeCell ref="A20:D20"/>
  </mergeCell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pageSetUpPr fitToPage="1"/>
  </sheetPr>
  <dimension ref="A1:Q227"/>
  <sheetViews>
    <sheetView view="pageBreakPreview" zoomScale="25" zoomScaleNormal="25" zoomScaleSheetLayoutView="25" zoomScalePageLayoutView="10" workbookViewId="0">
      <pane ySplit="10" topLeftCell="A170" activePane="bottomLeft" state="frozen"/>
      <selection activeCell="K153" sqref="K153"/>
      <selection pane="bottomLeft" activeCell="E140" sqref="E140"/>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113.85546875" style="5" customWidth="1"/>
    <col min="6" max="6" width="114" style="1" customWidth="1"/>
    <col min="7" max="7" width="55.42578125" style="1" customWidth="1"/>
    <col min="8" max="8" width="89.85546875" style="1" customWidth="1"/>
    <col min="9" max="9" width="71.85546875" style="1" customWidth="1"/>
    <col min="10" max="10" width="86.28515625" style="5" customWidth="1"/>
    <col min="11" max="11" width="62.28515625" customWidth="1"/>
    <col min="12" max="12" width="45.28515625" bestFit="1" customWidth="1"/>
    <col min="13" max="13" width="51" bestFit="1" customWidth="1"/>
    <col min="17" max="17" width="70.28515625" customWidth="1"/>
  </cols>
  <sheetData>
    <row r="1" spans="1:13" ht="45.75" x14ac:dyDescent="0.2">
      <c r="D1" s="7"/>
      <c r="E1" s="8"/>
      <c r="F1" s="9"/>
      <c r="G1" s="8"/>
      <c r="H1" s="8"/>
      <c r="I1" s="411" t="s">
        <v>689</v>
      </c>
      <c r="J1" s="411"/>
    </row>
    <row r="2" spans="1:13" ht="45.75" x14ac:dyDescent="0.2">
      <c r="A2" s="7"/>
      <c r="B2" s="7"/>
      <c r="C2" s="7"/>
      <c r="D2" s="7"/>
      <c r="E2" s="8"/>
      <c r="F2" s="9"/>
      <c r="G2" s="8"/>
      <c r="H2" s="8"/>
      <c r="I2" s="411" t="s">
        <v>921</v>
      </c>
      <c r="J2" s="413"/>
    </row>
    <row r="3" spans="1:13" ht="40.700000000000003" customHeight="1" x14ac:dyDescent="0.2">
      <c r="A3" s="7"/>
      <c r="B3" s="7"/>
      <c r="C3" s="7"/>
      <c r="D3" s="7"/>
      <c r="E3" s="8"/>
      <c r="F3" s="9"/>
      <c r="G3" s="8"/>
      <c r="H3" s="8"/>
      <c r="I3" s="411"/>
      <c r="J3" s="413"/>
    </row>
    <row r="4" spans="1:13" ht="45.75" hidden="1" x14ac:dyDescent="0.2">
      <c r="A4" s="7"/>
      <c r="B4" s="7"/>
      <c r="C4" s="7"/>
      <c r="D4" s="7"/>
      <c r="E4" s="8"/>
      <c r="F4" s="9"/>
      <c r="G4" s="8"/>
      <c r="H4" s="8"/>
      <c r="I4" s="7"/>
      <c r="J4" s="9"/>
    </row>
    <row r="5" spans="1:13" ht="45" x14ac:dyDescent="0.2">
      <c r="A5" s="415" t="s">
        <v>685</v>
      </c>
      <c r="B5" s="415"/>
      <c r="C5" s="415"/>
      <c r="D5" s="415"/>
      <c r="E5" s="415"/>
      <c r="F5" s="415"/>
      <c r="G5" s="415"/>
      <c r="H5" s="415"/>
      <c r="I5" s="415"/>
      <c r="J5" s="415"/>
    </row>
    <row r="6" spans="1:13" ht="45" x14ac:dyDescent="0.2">
      <c r="A6" s="415"/>
      <c r="B6" s="415"/>
      <c r="C6" s="415"/>
      <c r="D6" s="415"/>
      <c r="E6" s="415"/>
      <c r="F6" s="415"/>
      <c r="G6" s="415"/>
      <c r="H6" s="415"/>
      <c r="I6" s="415"/>
      <c r="J6" s="415"/>
    </row>
    <row r="7" spans="1:13" ht="53.45" customHeight="1" x14ac:dyDescent="0.2">
      <c r="A7" s="8"/>
      <c r="B7" s="8"/>
      <c r="C7" s="8"/>
      <c r="D7" s="8"/>
      <c r="E7" s="8"/>
      <c r="F7" s="9"/>
      <c r="G7" s="8"/>
      <c r="H7" s="8"/>
      <c r="I7" s="8"/>
      <c r="J7" s="10" t="s">
        <v>654</v>
      </c>
    </row>
    <row r="8" spans="1:13" ht="62.45" customHeight="1" x14ac:dyDescent="0.2">
      <c r="A8" s="432" t="s">
        <v>29</v>
      </c>
      <c r="B8" s="432" t="s">
        <v>657</v>
      </c>
      <c r="C8" s="432" t="s">
        <v>664</v>
      </c>
      <c r="D8" s="432" t="s">
        <v>658</v>
      </c>
      <c r="E8" s="432" t="s">
        <v>688</v>
      </c>
      <c r="F8" s="432" t="s">
        <v>690</v>
      </c>
      <c r="G8" s="432" t="s">
        <v>649</v>
      </c>
      <c r="H8" s="432" t="s">
        <v>25</v>
      </c>
      <c r="I8" s="436" t="s">
        <v>84</v>
      </c>
      <c r="J8" s="438"/>
    </row>
    <row r="9" spans="1:13" ht="409.6" customHeight="1" x14ac:dyDescent="0.2">
      <c r="A9" s="433"/>
      <c r="B9" s="435"/>
      <c r="C9" s="435"/>
      <c r="D9" s="433"/>
      <c r="E9" s="433"/>
      <c r="F9" s="433"/>
      <c r="G9" s="433"/>
      <c r="H9" s="433"/>
      <c r="I9" s="194" t="s">
        <v>650</v>
      </c>
      <c r="J9" s="194" t="s">
        <v>651</v>
      </c>
    </row>
    <row r="10" spans="1:13" s="2" customFormat="1" ht="111" customHeight="1" x14ac:dyDescent="0.2">
      <c r="A10" s="11" t="s">
        <v>4</v>
      </c>
      <c r="B10" s="11" t="s">
        <v>5</v>
      </c>
      <c r="C10" s="11" t="s">
        <v>27</v>
      </c>
      <c r="D10" s="11" t="s">
        <v>7</v>
      </c>
      <c r="E10" s="11" t="s">
        <v>667</v>
      </c>
      <c r="F10" s="11" t="s">
        <v>668</v>
      </c>
      <c r="G10" s="11" t="s">
        <v>669</v>
      </c>
      <c r="H10" s="11" t="s">
        <v>670</v>
      </c>
      <c r="I10" s="11" t="s">
        <v>671</v>
      </c>
      <c r="J10" s="11" t="s">
        <v>672</v>
      </c>
    </row>
    <row r="11" spans="1:13" s="2" customFormat="1" ht="135" x14ac:dyDescent="0.2">
      <c r="A11" s="281" t="s">
        <v>234</v>
      </c>
      <c r="B11" s="281"/>
      <c r="C11" s="281"/>
      <c r="D11" s="282" t="s">
        <v>236</v>
      </c>
      <c r="E11" s="283"/>
      <c r="F11" s="359"/>
      <c r="G11" s="283">
        <f>G12</f>
        <v>18170460</v>
      </c>
      <c r="H11" s="283">
        <f t="shared" ref="H11:J11" si="0">H12</f>
        <v>10391508</v>
      </c>
      <c r="I11" s="283">
        <f t="shared" si="0"/>
        <v>7778952</v>
      </c>
      <c r="J11" s="283">
        <f t="shared" si="0"/>
        <v>7778952</v>
      </c>
    </row>
    <row r="12" spans="1:13" s="2" customFormat="1" ht="135" x14ac:dyDescent="0.2">
      <c r="A12" s="284" t="s">
        <v>235</v>
      </c>
      <c r="B12" s="284"/>
      <c r="C12" s="284"/>
      <c r="D12" s="285" t="s">
        <v>237</v>
      </c>
      <c r="E12" s="286"/>
      <c r="F12" s="286"/>
      <c r="G12" s="286">
        <f>SUM(G13:G25)</f>
        <v>18170460</v>
      </c>
      <c r="H12" s="286">
        <f>SUM(H13:H25)</f>
        <v>10391508</v>
      </c>
      <c r="I12" s="286">
        <f>SUM(I13:I25)</f>
        <v>7778952</v>
      </c>
      <c r="J12" s="286">
        <f>SUM(J13:J25)</f>
        <v>7778952</v>
      </c>
    </row>
    <row r="13" spans="1:13" ht="320.25" x14ac:dyDescent="0.2">
      <c r="A13" s="255" t="s">
        <v>337</v>
      </c>
      <c r="B13" s="255" t="s">
        <v>338</v>
      </c>
      <c r="C13" s="255" t="s">
        <v>339</v>
      </c>
      <c r="D13" s="255" t="s">
        <v>336</v>
      </c>
      <c r="E13" s="279" t="s">
        <v>741</v>
      </c>
      <c r="F13" s="218" t="s">
        <v>740</v>
      </c>
      <c r="G13" s="218">
        <f>H13+I13</f>
        <v>1000500</v>
      </c>
      <c r="H13" s="111">
        <f>46500+195000+98500</f>
        <v>340000</v>
      </c>
      <c r="I13" s="218">
        <f>('dod3'!J15-110000)-8000</f>
        <v>660500</v>
      </c>
      <c r="J13" s="218">
        <f>('dod3'!K15-110000)-8000</f>
        <v>660500</v>
      </c>
      <c r="K13" s="355"/>
      <c r="L13" s="355"/>
    </row>
    <row r="14" spans="1:13" ht="139.5" x14ac:dyDescent="0.2">
      <c r="A14" s="255" t="s">
        <v>353</v>
      </c>
      <c r="B14" s="255" t="s">
        <v>71</v>
      </c>
      <c r="C14" s="255" t="s">
        <v>70</v>
      </c>
      <c r="D14" s="255" t="s">
        <v>354</v>
      </c>
      <c r="E14" s="279" t="s">
        <v>874</v>
      </c>
      <c r="F14" s="218" t="s">
        <v>875</v>
      </c>
      <c r="G14" s="218">
        <f>H14+I14</f>
        <v>1000000</v>
      </c>
      <c r="H14" s="111">
        <v>1000000</v>
      </c>
      <c r="I14" s="218"/>
      <c r="J14" s="218"/>
    </row>
    <row r="15" spans="1:13" ht="228.75" x14ac:dyDescent="0.2">
      <c r="A15" s="255" t="s">
        <v>343</v>
      </c>
      <c r="B15" s="255" t="s">
        <v>344</v>
      </c>
      <c r="C15" s="255" t="s">
        <v>345</v>
      </c>
      <c r="D15" s="255" t="s">
        <v>342</v>
      </c>
      <c r="E15" s="279" t="s">
        <v>741</v>
      </c>
      <c r="F15" s="218" t="s">
        <v>740</v>
      </c>
      <c r="G15" s="218">
        <f>H15+I15</f>
        <v>6736400</v>
      </c>
      <c r="H15" s="218">
        <f>'dod3'!E17</f>
        <v>3236400</v>
      </c>
      <c r="I15" s="218">
        <f>'dod3'!J17</f>
        <v>3500000</v>
      </c>
      <c r="J15" s="218">
        <f>'dod3'!K17</f>
        <v>3500000</v>
      </c>
      <c r="K15" s="356" t="b">
        <f>H15='dod3'!E17</f>
        <v>1</v>
      </c>
      <c r="L15" s="195" t="b">
        <f>I15='dod3'!J17</f>
        <v>1</v>
      </c>
      <c r="M15" s="196" t="b">
        <f>J15='dod3'!K17</f>
        <v>1</v>
      </c>
    </row>
    <row r="16" spans="1:13" ht="91.5" hidden="1" x14ac:dyDescent="0.2">
      <c r="A16" s="258" t="s">
        <v>494</v>
      </c>
      <c r="B16" s="265" t="s">
        <v>293</v>
      </c>
      <c r="C16" s="265" t="s">
        <v>256</v>
      </c>
      <c r="D16" s="258" t="s">
        <v>57</v>
      </c>
      <c r="E16" s="259"/>
      <c r="F16" s="262"/>
      <c r="G16" s="262">
        <f t="shared" ref="G16" si="1">H16+I16</f>
        <v>0</v>
      </c>
      <c r="H16" s="262"/>
      <c r="I16" s="262"/>
      <c r="J16" s="262"/>
    </row>
    <row r="17" spans="1:17" ht="279" x14ac:dyDescent="0.2">
      <c r="A17" s="255" t="s">
        <v>346</v>
      </c>
      <c r="B17" s="255" t="s">
        <v>347</v>
      </c>
      <c r="C17" s="255" t="s">
        <v>348</v>
      </c>
      <c r="D17" s="253" t="s">
        <v>349</v>
      </c>
      <c r="E17" s="218" t="s">
        <v>743</v>
      </c>
      <c r="F17" s="218" t="s">
        <v>742</v>
      </c>
      <c r="G17" s="218">
        <f>H17+I17</f>
        <v>3645000</v>
      </c>
      <c r="H17" s="218">
        <f>'dod3'!E21</f>
        <v>3645000</v>
      </c>
      <c r="I17" s="218">
        <f>'dod3'!J21</f>
        <v>0</v>
      </c>
      <c r="J17" s="218">
        <f>'dod3'!K21</f>
        <v>0</v>
      </c>
      <c r="K17" s="356" t="b">
        <f>H17='dod3'!E21</f>
        <v>1</v>
      </c>
      <c r="L17" s="195" t="b">
        <f>I17='dod3'!J21</f>
        <v>1</v>
      </c>
      <c r="M17" s="196" t="b">
        <f>J17='dod3'!K21</f>
        <v>1</v>
      </c>
    </row>
    <row r="18" spans="1:17" ht="137.25" x14ac:dyDescent="0.2">
      <c r="A18" s="255" t="s">
        <v>868</v>
      </c>
      <c r="B18" s="255" t="s">
        <v>598</v>
      </c>
      <c r="C18" s="255" t="s">
        <v>71</v>
      </c>
      <c r="D18" s="255" t="s">
        <v>599</v>
      </c>
      <c r="E18" s="279" t="s">
        <v>809</v>
      </c>
      <c r="F18" s="280" t="s">
        <v>810</v>
      </c>
      <c r="G18" s="218">
        <f>H18+I18</f>
        <v>100000</v>
      </c>
      <c r="H18" s="218">
        <f>'dod3'!E23</f>
        <v>0</v>
      </c>
      <c r="I18" s="218">
        <f>'dod3'!J23</f>
        <v>100000</v>
      </c>
      <c r="J18" s="218">
        <f>'dod3'!K23</f>
        <v>100000</v>
      </c>
      <c r="K18" s="356" t="b">
        <f>H18='dod3'!E23</f>
        <v>1</v>
      </c>
      <c r="L18" s="195" t="b">
        <f>I18='dod3'!J23</f>
        <v>1</v>
      </c>
      <c r="M18" s="196" t="b">
        <f>J18='dod3'!K23</f>
        <v>1</v>
      </c>
      <c r="Q18" s="195" t="s">
        <v>873</v>
      </c>
    </row>
    <row r="19" spans="1:17" ht="372" x14ac:dyDescent="0.2">
      <c r="A19" s="255" t="s">
        <v>870</v>
      </c>
      <c r="B19" s="255" t="s">
        <v>871</v>
      </c>
      <c r="C19" s="255" t="s">
        <v>71</v>
      </c>
      <c r="D19" s="255" t="s">
        <v>869</v>
      </c>
      <c r="E19" s="218" t="s">
        <v>878</v>
      </c>
      <c r="F19" s="280" t="s">
        <v>877</v>
      </c>
      <c r="G19" s="218">
        <f>H19+I19</f>
        <v>3064560</v>
      </c>
      <c r="H19" s="218">
        <f>500000+41830+69700+500000+275000+12818+222560+26000+65200+27000+100000</f>
        <v>1840108</v>
      </c>
      <c r="I19" s="218">
        <f>58170+30300+400000+500000+25000+37182+15000+74000+84800</f>
        <v>1224452</v>
      </c>
      <c r="J19" s="218">
        <f>58170+30300+400000+500000+25000+37182+15000+74000+84800</f>
        <v>1224452</v>
      </c>
      <c r="K19" s="356" t="b">
        <f>'dod3'!E24='dod8'!H19+'dod8'!H20+'dod8'!H21+'dod8'!H22+'dod8'!H23+K24</f>
        <v>1</v>
      </c>
      <c r="L19" s="195" t="b">
        <f>'dod3'!J24='dod8'!I19+'dod8'!I20+'dod8'!I21+'dod8'!I22+'dod8'!I23+'dod8'!L24</f>
        <v>1</v>
      </c>
      <c r="M19" s="196" t="b">
        <f>'dod3'!K24='dod8'!J19+'dod8'!J20+'dod8'!J21+'dod8'!J22+'dod8'!J23+'dod8'!L24</f>
        <v>1</v>
      </c>
    </row>
    <row r="20" spans="1:17" ht="372" x14ac:dyDescent="0.2">
      <c r="A20" s="255" t="s">
        <v>870</v>
      </c>
      <c r="B20" s="255" t="s">
        <v>871</v>
      </c>
      <c r="C20" s="255" t="s">
        <v>71</v>
      </c>
      <c r="D20" s="255" t="s">
        <v>869</v>
      </c>
      <c r="E20" s="218" t="s">
        <v>882</v>
      </c>
      <c r="F20" s="280" t="s">
        <v>881</v>
      </c>
      <c r="G20" s="218">
        <f t="shared" ref="G20:G24" si="2">H20+I20</f>
        <v>1200000</v>
      </c>
      <c r="H20" s="218"/>
      <c r="I20" s="218">
        <v>1200000</v>
      </c>
      <c r="J20" s="218">
        <v>1200000</v>
      </c>
      <c r="K20" s="195"/>
      <c r="L20" s="195"/>
      <c r="M20" s="196"/>
    </row>
    <row r="21" spans="1:17" ht="382.7" customHeight="1" x14ac:dyDescent="0.2">
      <c r="A21" s="255" t="s">
        <v>870</v>
      </c>
      <c r="B21" s="255" t="s">
        <v>871</v>
      </c>
      <c r="C21" s="255" t="s">
        <v>71</v>
      </c>
      <c r="D21" s="255" t="s">
        <v>869</v>
      </c>
      <c r="E21" s="218" t="s">
        <v>884</v>
      </c>
      <c r="F21" s="280" t="s">
        <v>883</v>
      </c>
      <c r="G21" s="218">
        <f t="shared" si="2"/>
        <v>130000</v>
      </c>
      <c r="H21" s="218">
        <v>130000</v>
      </c>
      <c r="I21" s="218"/>
      <c r="J21" s="218"/>
      <c r="K21" s="195"/>
      <c r="L21" s="195"/>
      <c r="M21" s="196"/>
    </row>
    <row r="22" spans="1:17" ht="409.5" x14ac:dyDescent="0.2">
      <c r="A22" s="255" t="s">
        <v>870</v>
      </c>
      <c r="B22" s="255" t="s">
        <v>871</v>
      </c>
      <c r="C22" s="255" t="s">
        <v>71</v>
      </c>
      <c r="D22" s="255" t="s">
        <v>869</v>
      </c>
      <c r="E22" s="280" t="s">
        <v>885</v>
      </c>
      <c r="F22" s="280" t="s">
        <v>886</v>
      </c>
      <c r="G22" s="218">
        <f t="shared" si="2"/>
        <v>100000</v>
      </c>
      <c r="H22" s="218">
        <v>100000</v>
      </c>
      <c r="I22" s="218"/>
      <c r="J22" s="218"/>
      <c r="K22" s="195"/>
      <c r="L22" s="195"/>
      <c r="M22" s="196"/>
    </row>
    <row r="23" spans="1:17" ht="279" x14ac:dyDescent="0.2">
      <c r="A23" s="255" t="s">
        <v>870</v>
      </c>
      <c r="B23" s="255" t="s">
        <v>871</v>
      </c>
      <c r="C23" s="255" t="s">
        <v>71</v>
      </c>
      <c r="D23" s="255" t="s">
        <v>869</v>
      </c>
      <c r="E23" s="218" t="s">
        <v>888</v>
      </c>
      <c r="F23" s="280" t="s">
        <v>887</v>
      </c>
      <c r="G23" s="218">
        <f t="shared" si="2"/>
        <v>1000000</v>
      </c>
      <c r="H23" s="218"/>
      <c r="I23" s="218">
        <v>1000000</v>
      </c>
      <c r="J23" s="218">
        <v>1000000</v>
      </c>
      <c r="K23" s="195"/>
      <c r="L23" s="195"/>
      <c r="M23" s="196"/>
    </row>
    <row r="24" spans="1:17" ht="397.5" customHeight="1" x14ac:dyDescent="0.65">
      <c r="A24" s="425" t="s">
        <v>870</v>
      </c>
      <c r="B24" s="425" t="s">
        <v>871</v>
      </c>
      <c r="C24" s="425" t="s">
        <v>71</v>
      </c>
      <c r="D24" s="425" t="s">
        <v>869</v>
      </c>
      <c r="E24" s="361" t="s">
        <v>889</v>
      </c>
      <c r="F24" s="425" t="s">
        <v>890</v>
      </c>
      <c r="G24" s="419">
        <f t="shared" si="2"/>
        <v>194000</v>
      </c>
      <c r="H24" s="407">
        <v>100000</v>
      </c>
      <c r="I24" s="407">
        <v>94000</v>
      </c>
      <c r="J24" s="407">
        <v>94000</v>
      </c>
      <c r="K24" s="195">
        <f>H24</f>
        <v>100000</v>
      </c>
      <c r="L24" s="195">
        <f>I24</f>
        <v>94000</v>
      </c>
      <c r="M24" s="196"/>
    </row>
    <row r="25" spans="1:17" ht="129" customHeight="1" x14ac:dyDescent="0.2">
      <c r="A25" s="406"/>
      <c r="B25" s="406"/>
      <c r="C25" s="406"/>
      <c r="D25" s="406"/>
      <c r="E25" s="360" t="s">
        <v>891</v>
      </c>
      <c r="F25" s="406"/>
      <c r="G25" s="406"/>
      <c r="H25" s="408"/>
      <c r="I25" s="408"/>
      <c r="J25" s="408"/>
      <c r="K25" s="195"/>
      <c r="L25" s="195"/>
      <c r="M25" s="196"/>
    </row>
    <row r="26" spans="1:17" ht="135" x14ac:dyDescent="0.2">
      <c r="A26" s="281" t="s">
        <v>238</v>
      </c>
      <c r="B26" s="281"/>
      <c r="C26" s="281"/>
      <c r="D26" s="282" t="s">
        <v>0</v>
      </c>
      <c r="E26" s="287"/>
      <c r="F26" s="286"/>
      <c r="G26" s="287">
        <f>G27</f>
        <v>1138407918.4400001</v>
      </c>
      <c r="H26" s="287">
        <f t="shared" ref="H26:J26" si="3">H27</f>
        <v>1002153335.4</v>
      </c>
      <c r="I26" s="287">
        <f t="shared" si="3"/>
        <v>136254583.03999999</v>
      </c>
      <c r="J26" s="287">
        <f t="shared" si="3"/>
        <v>33292593.039999999</v>
      </c>
      <c r="K26" s="195" t="b">
        <f>H26='dod3'!E26</f>
        <v>1</v>
      </c>
      <c r="L26" s="195" t="b">
        <f>I26='dod3'!J26</f>
        <v>1</v>
      </c>
      <c r="M26" s="196" t="b">
        <f>J26='dod3'!K25</f>
        <v>1</v>
      </c>
    </row>
    <row r="27" spans="1:17" ht="135" x14ac:dyDescent="0.2">
      <c r="A27" s="284" t="s">
        <v>239</v>
      </c>
      <c r="B27" s="284"/>
      <c r="C27" s="284"/>
      <c r="D27" s="285" t="s">
        <v>1</v>
      </c>
      <c r="E27" s="307"/>
      <c r="F27" s="286"/>
      <c r="G27" s="286">
        <f>SUM(G28:G42)</f>
        <v>1138407918.4400001</v>
      </c>
      <c r="H27" s="286">
        <f>SUM(H28:H42)</f>
        <v>1002153335.4</v>
      </c>
      <c r="I27" s="286">
        <f>SUM(I28:I42)</f>
        <v>136254583.03999999</v>
      </c>
      <c r="J27" s="286">
        <f>SUM(J28:J42)</f>
        <v>33292593.039999999</v>
      </c>
    </row>
    <row r="28" spans="1:17" ht="145.5" customHeight="1" x14ac:dyDescent="0.2">
      <c r="A28" s="255" t="s">
        <v>294</v>
      </c>
      <c r="B28" s="255" t="s">
        <v>295</v>
      </c>
      <c r="C28" s="255" t="s">
        <v>297</v>
      </c>
      <c r="D28" s="255" t="s">
        <v>298</v>
      </c>
      <c r="E28" s="279" t="s">
        <v>752</v>
      </c>
      <c r="F28" s="218" t="s">
        <v>716</v>
      </c>
      <c r="G28" s="218">
        <f t="shared" ref="G28:G38" si="4">H28+I28</f>
        <v>311034897</v>
      </c>
      <c r="H28" s="218">
        <f>'dod3'!E27</f>
        <v>264555015</v>
      </c>
      <c r="I28" s="218">
        <f>'dod3'!J27</f>
        <v>46479882</v>
      </c>
      <c r="J28" s="218">
        <f>'dod3'!K27</f>
        <v>6359462</v>
      </c>
    </row>
    <row r="29" spans="1:17" ht="366" x14ac:dyDescent="0.2">
      <c r="A29" s="255" t="s">
        <v>300</v>
      </c>
      <c r="B29" s="255" t="s">
        <v>296</v>
      </c>
      <c r="C29" s="255" t="s">
        <v>301</v>
      </c>
      <c r="D29" s="255" t="s">
        <v>299</v>
      </c>
      <c r="E29" s="279" t="s">
        <v>752</v>
      </c>
      <c r="F29" s="218" t="s">
        <v>716</v>
      </c>
      <c r="G29" s="218">
        <f t="shared" si="4"/>
        <v>621294780.43999994</v>
      </c>
      <c r="H29" s="218">
        <f>'dod3'!E28-H30-H31</f>
        <v>560826990.39999998</v>
      </c>
      <c r="I29" s="218">
        <f>'dod3'!J28-I30-I31</f>
        <v>60467790.039999999</v>
      </c>
      <c r="J29" s="218">
        <f>'dod3'!K28-J30-J31</f>
        <v>18520430.039999999</v>
      </c>
    </row>
    <row r="30" spans="1:17" ht="366" x14ac:dyDescent="0.2">
      <c r="A30" s="255" t="s">
        <v>300</v>
      </c>
      <c r="B30" s="255" t="s">
        <v>296</v>
      </c>
      <c r="C30" s="255" t="s">
        <v>301</v>
      </c>
      <c r="D30" s="255" t="s">
        <v>299</v>
      </c>
      <c r="E30" s="279" t="s">
        <v>753</v>
      </c>
      <c r="F30" s="280" t="s">
        <v>707</v>
      </c>
      <c r="G30" s="218">
        <f t="shared" si="4"/>
        <v>4532500</v>
      </c>
      <c r="H30" s="218">
        <v>4532500</v>
      </c>
      <c r="I30" s="218"/>
      <c r="J30" s="218"/>
    </row>
    <row r="31" spans="1:17" ht="366" x14ac:dyDescent="0.2">
      <c r="A31" s="255" t="s">
        <v>300</v>
      </c>
      <c r="B31" s="255" t="s">
        <v>296</v>
      </c>
      <c r="C31" s="255" t="s">
        <v>301</v>
      </c>
      <c r="D31" s="255" t="s">
        <v>299</v>
      </c>
      <c r="E31" s="279" t="s">
        <v>747</v>
      </c>
      <c r="F31" s="308" t="s">
        <v>746</v>
      </c>
      <c r="G31" s="218">
        <f t="shared" si="4"/>
        <v>399644</v>
      </c>
      <c r="H31" s="218">
        <f>8920+49900+70680</f>
        <v>129500</v>
      </c>
      <c r="I31" s="218">
        <f>69030+130614+70500</f>
        <v>270144</v>
      </c>
      <c r="J31" s="218">
        <f>69030+130614+70500</f>
        <v>270144</v>
      </c>
    </row>
    <row r="32" spans="1:17" ht="366" x14ac:dyDescent="0.2">
      <c r="A32" s="255" t="s">
        <v>304</v>
      </c>
      <c r="B32" s="255" t="s">
        <v>303</v>
      </c>
      <c r="C32" s="255" t="s">
        <v>305</v>
      </c>
      <c r="D32" s="255" t="s">
        <v>32</v>
      </c>
      <c r="E32" s="279" t="s">
        <v>752</v>
      </c>
      <c r="F32" s="218" t="s">
        <v>716</v>
      </c>
      <c r="G32" s="218">
        <f t="shared" si="4"/>
        <v>16967046</v>
      </c>
      <c r="H32" s="218">
        <f>'dod3'!E29-H33</f>
        <v>16878046</v>
      </c>
      <c r="I32" s="218">
        <f>'dod3'!J29-I33</f>
        <v>89000</v>
      </c>
      <c r="J32" s="218">
        <f>'dod3'!K29-J33</f>
        <v>39000</v>
      </c>
    </row>
    <row r="33" spans="1:13" ht="366" x14ac:dyDescent="0.2">
      <c r="A33" s="255" t="s">
        <v>304</v>
      </c>
      <c r="B33" s="255" t="s">
        <v>303</v>
      </c>
      <c r="C33" s="255" t="s">
        <v>305</v>
      </c>
      <c r="D33" s="255" t="s">
        <v>32</v>
      </c>
      <c r="E33" s="279" t="s">
        <v>753</v>
      </c>
      <c r="F33" s="280" t="s">
        <v>707</v>
      </c>
      <c r="G33" s="218">
        <f t="shared" si="4"/>
        <v>20000</v>
      </c>
      <c r="H33" s="218">
        <v>20000</v>
      </c>
      <c r="I33" s="218"/>
      <c r="J33" s="218"/>
    </row>
    <row r="34" spans="1:13" ht="183" x14ac:dyDescent="0.2">
      <c r="A34" s="255" t="s">
        <v>306</v>
      </c>
      <c r="B34" s="255" t="s">
        <v>287</v>
      </c>
      <c r="C34" s="255" t="s">
        <v>275</v>
      </c>
      <c r="D34" s="255" t="s">
        <v>33</v>
      </c>
      <c r="E34" s="279" t="s">
        <v>752</v>
      </c>
      <c r="F34" s="218" t="s">
        <v>716</v>
      </c>
      <c r="G34" s="218">
        <f t="shared" si="4"/>
        <v>34977703</v>
      </c>
      <c r="H34" s="218">
        <f>'dod3'!E30-H35</f>
        <v>27586033</v>
      </c>
      <c r="I34" s="218">
        <f>'dod3'!J30-I35</f>
        <v>7391670</v>
      </c>
      <c r="J34" s="218">
        <f>'dod3'!K30-J35</f>
        <v>2678000</v>
      </c>
    </row>
    <row r="35" spans="1:13" ht="228.75" x14ac:dyDescent="0.2">
      <c r="A35" s="255" t="s">
        <v>306</v>
      </c>
      <c r="B35" s="255" t="s">
        <v>287</v>
      </c>
      <c r="C35" s="255" t="s">
        <v>275</v>
      </c>
      <c r="D35" s="255" t="s">
        <v>33</v>
      </c>
      <c r="E35" s="279" t="s">
        <v>747</v>
      </c>
      <c r="F35" s="308" t="s">
        <v>746</v>
      </c>
      <c r="G35" s="218">
        <f t="shared" si="4"/>
        <v>149982</v>
      </c>
      <c r="H35" s="218">
        <f>95167+54815</f>
        <v>149982</v>
      </c>
      <c r="I35" s="218"/>
      <c r="J35" s="218"/>
    </row>
    <row r="36" spans="1:13" ht="139.5" x14ac:dyDescent="0.2">
      <c r="A36" s="255" t="s">
        <v>307</v>
      </c>
      <c r="B36" s="255" t="s">
        <v>308</v>
      </c>
      <c r="C36" s="255" t="s">
        <v>309</v>
      </c>
      <c r="D36" s="255" t="s">
        <v>310</v>
      </c>
      <c r="E36" s="279" t="s">
        <v>752</v>
      </c>
      <c r="F36" s="218" t="s">
        <v>716</v>
      </c>
      <c r="G36" s="218">
        <f t="shared" si="4"/>
        <v>116115187</v>
      </c>
      <c r="H36" s="218">
        <f>'dod3'!E31</f>
        <v>100170470</v>
      </c>
      <c r="I36" s="218">
        <f>'dod3'!J31</f>
        <v>15944717</v>
      </c>
      <c r="J36" s="218">
        <f>'dod3'!K31</f>
        <v>216557</v>
      </c>
    </row>
    <row r="37" spans="1:13" ht="139.5" x14ac:dyDescent="0.2">
      <c r="A37" s="255" t="s">
        <v>312</v>
      </c>
      <c r="B37" s="255" t="s">
        <v>313</v>
      </c>
      <c r="C37" s="255" t="s">
        <v>314</v>
      </c>
      <c r="D37" s="255" t="s">
        <v>311</v>
      </c>
      <c r="E37" s="279" t="s">
        <v>752</v>
      </c>
      <c r="F37" s="218" t="s">
        <v>716</v>
      </c>
      <c r="G37" s="218">
        <f t="shared" si="4"/>
        <v>4846728</v>
      </c>
      <c r="H37" s="218">
        <f>'dod3'!E32</f>
        <v>4772988</v>
      </c>
      <c r="I37" s="218">
        <f>'dod3'!J32</f>
        <v>73740</v>
      </c>
      <c r="J37" s="218">
        <f>'dod3'!K32</f>
        <v>0</v>
      </c>
    </row>
    <row r="38" spans="1:13" ht="175.7" customHeight="1" x14ac:dyDescent="0.2">
      <c r="A38" s="253" t="s">
        <v>501</v>
      </c>
      <c r="B38" s="255" t="s">
        <v>502</v>
      </c>
      <c r="C38" s="255" t="s">
        <v>314</v>
      </c>
      <c r="D38" s="255" t="s">
        <v>500</v>
      </c>
      <c r="E38" s="279" t="s">
        <v>752</v>
      </c>
      <c r="F38" s="218" t="s">
        <v>716</v>
      </c>
      <c r="G38" s="218">
        <f t="shared" si="4"/>
        <v>16059479</v>
      </c>
      <c r="H38" s="218">
        <f>'dod3'!E33</f>
        <v>15721839</v>
      </c>
      <c r="I38" s="218">
        <f>'dod3'!J33</f>
        <v>337640</v>
      </c>
      <c r="J38" s="218">
        <f>'dod3'!K33</f>
        <v>9000</v>
      </c>
    </row>
    <row r="39" spans="1:13" ht="172.5" customHeight="1" x14ac:dyDescent="0.2">
      <c r="A39" s="253" t="s">
        <v>533</v>
      </c>
      <c r="B39" s="255" t="s">
        <v>534</v>
      </c>
      <c r="C39" s="255" t="s">
        <v>314</v>
      </c>
      <c r="D39" s="255" t="s">
        <v>532</v>
      </c>
      <c r="E39" s="279" t="s">
        <v>752</v>
      </c>
      <c r="F39" s="218" t="s">
        <v>716</v>
      </c>
      <c r="G39" s="218">
        <f>H39+I39</f>
        <v>148960</v>
      </c>
      <c r="H39" s="218">
        <f>'dod3'!E34</f>
        <v>148960</v>
      </c>
      <c r="I39" s="218">
        <f>'dod3'!J34</f>
        <v>0</v>
      </c>
      <c r="J39" s="218">
        <f>'dod3'!K34</f>
        <v>0</v>
      </c>
    </row>
    <row r="40" spans="1:13" ht="139.5" x14ac:dyDescent="0.2">
      <c r="A40" s="253" t="s">
        <v>824</v>
      </c>
      <c r="B40" s="253" t="s">
        <v>825</v>
      </c>
      <c r="C40" s="253" t="s">
        <v>314</v>
      </c>
      <c r="D40" s="255" t="s">
        <v>826</v>
      </c>
      <c r="E40" s="279" t="s">
        <v>752</v>
      </c>
      <c r="F40" s="218" t="s">
        <v>716</v>
      </c>
      <c r="G40" s="218">
        <f>H40+I40</f>
        <v>2236012</v>
      </c>
      <c r="H40" s="218">
        <f>'dod3'!E35</f>
        <v>2036012</v>
      </c>
      <c r="I40" s="218">
        <f>'dod3'!J35</f>
        <v>200000</v>
      </c>
      <c r="J40" s="218">
        <f>'dod3'!K35</f>
        <v>200000</v>
      </c>
    </row>
    <row r="41" spans="1:13" ht="366" x14ac:dyDescent="0.2">
      <c r="A41" s="255" t="s">
        <v>828</v>
      </c>
      <c r="B41" s="255" t="s">
        <v>829</v>
      </c>
      <c r="C41" s="255" t="s">
        <v>279</v>
      </c>
      <c r="D41" s="255" t="s">
        <v>827</v>
      </c>
      <c r="E41" s="279" t="s">
        <v>752</v>
      </c>
      <c r="F41" s="218" t="s">
        <v>716</v>
      </c>
      <c r="G41" s="218">
        <f>H41+I41</f>
        <v>1925000</v>
      </c>
      <c r="H41" s="218">
        <f>'dod3'!E36</f>
        <v>1925000</v>
      </c>
      <c r="I41" s="218">
        <f>'dod3'!J36</f>
        <v>0</v>
      </c>
      <c r="J41" s="218">
        <f>'dod3'!K36</f>
        <v>0</v>
      </c>
    </row>
    <row r="42" spans="1:13" ht="172.5" customHeight="1" x14ac:dyDescent="0.2">
      <c r="A42" s="255" t="s">
        <v>316</v>
      </c>
      <c r="B42" s="255" t="s">
        <v>317</v>
      </c>
      <c r="C42" s="255" t="s">
        <v>318</v>
      </c>
      <c r="D42" s="255" t="s">
        <v>67</v>
      </c>
      <c r="E42" s="279" t="s">
        <v>809</v>
      </c>
      <c r="F42" s="280" t="s">
        <v>810</v>
      </c>
      <c r="G42" s="218">
        <f t="shared" ref="G42" si="5">H42+I42</f>
        <v>7700000</v>
      </c>
      <c r="H42" s="218">
        <f>'dod3'!E37</f>
        <v>2700000</v>
      </c>
      <c r="I42" s="218">
        <f>'dod3'!J37</f>
        <v>5000000</v>
      </c>
      <c r="J42" s="218">
        <f>'dod3'!K37</f>
        <v>5000000</v>
      </c>
      <c r="K42" s="490" t="s">
        <v>833</v>
      </c>
      <c r="L42" s="394"/>
      <c r="M42" s="394"/>
    </row>
    <row r="43" spans="1:13" ht="135" x14ac:dyDescent="0.2">
      <c r="A43" s="288" t="s">
        <v>240</v>
      </c>
      <c r="B43" s="289"/>
      <c r="C43" s="289"/>
      <c r="D43" s="282" t="s">
        <v>36</v>
      </c>
      <c r="E43" s="290"/>
      <c r="F43" s="290"/>
      <c r="G43" s="290">
        <f>G44</f>
        <v>390758054.38</v>
      </c>
      <c r="H43" s="290">
        <f t="shared" ref="H43:J43" si="6">H44</f>
        <v>362755896.38</v>
      </c>
      <c r="I43" s="290">
        <f t="shared" si="6"/>
        <v>28002158</v>
      </c>
      <c r="J43" s="290">
        <f t="shared" si="6"/>
        <v>21406367</v>
      </c>
      <c r="K43" s="195" t="b">
        <f>H43='dod3'!E38-'dod3'!P40</f>
        <v>1</v>
      </c>
      <c r="L43" s="195" t="b">
        <f>I43='dod3'!J38</f>
        <v>1</v>
      </c>
      <c r="M43" s="196" t="b">
        <f>J43='dod3'!K38</f>
        <v>1</v>
      </c>
    </row>
    <row r="44" spans="1:13" ht="135" x14ac:dyDescent="0.2">
      <c r="A44" s="284" t="s">
        <v>241</v>
      </c>
      <c r="B44" s="284"/>
      <c r="C44" s="284"/>
      <c r="D44" s="285" t="s">
        <v>59</v>
      </c>
      <c r="E44" s="286"/>
      <c r="F44" s="286"/>
      <c r="G44" s="286">
        <f>SUM(G45:G58)</f>
        <v>390758054.38</v>
      </c>
      <c r="H44" s="286">
        <f>SUM(H45:H58)</f>
        <v>362755896.38</v>
      </c>
      <c r="I44" s="286">
        <f>SUM(I45:I58)</f>
        <v>28002158</v>
      </c>
      <c r="J44" s="286">
        <f>SUM(J45:J58)</f>
        <v>21406367</v>
      </c>
    </row>
    <row r="45" spans="1:13" ht="139.5" x14ac:dyDescent="0.2">
      <c r="A45" s="255" t="s">
        <v>319</v>
      </c>
      <c r="B45" s="255" t="s">
        <v>315</v>
      </c>
      <c r="C45" s="255" t="s">
        <v>320</v>
      </c>
      <c r="D45" s="255" t="s">
        <v>37</v>
      </c>
      <c r="E45" s="218" t="s">
        <v>898</v>
      </c>
      <c r="F45" s="218" t="s">
        <v>713</v>
      </c>
      <c r="G45" s="218">
        <f>H45+I45</f>
        <v>214012126</v>
      </c>
      <c r="H45" s="218">
        <f>'dod3'!E41-H46</f>
        <v>200914712</v>
      </c>
      <c r="I45" s="218">
        <f>'dod3'!J41</f>
        <v>13097414</v>
      </c>
      <c r="J45" s="218">
        <f>'dod3'!K41</f>
        <v>10634714</v>
      </c>
    </row>
    <row r="46" spans="1:13" s="377" customFormat="1" ht="228.75" x14ac:dyDescent="0.2">
      <c r="A46" s="378" t="s">
        <v>319</v>
      </c>
      <c r="B46" s="378" t="s">
        <v>315</v>
      </c>
      <c r="C46" s="378" t="s">
        <v>320</v>
      </c>
      <c r="D46" s="378" t="s">
        <v>37</v>
      </c>
      <c r="E46" s="279" t="s">
        <v>747</v>
      </c>
      <c r="F46" s="308" t="s">
        <v>746</v>
      </c>
      <c r="G46" s="218">
        <f>H46+I46</f>
        <v>82930</v>
      </c>
      <c r="H46" s="218">
        <f>82930</f>
        <v>82930</v>
      </c>
      <c r="I46" s="218">
        <v>0</v>
      </c>
      <c r="J46" s="218">
        <v>0</v>
      </c>
    </row>
    <row r="47" spans="1:13" ht="139.5" x14ac:dyDescent="0.2">
      <c r="A47" s="255" t="s">
        <v>321</v>
      </c>
      <c r="B47" s="255" t="s">
        <v>322</v>
      </c>
      <c r="C47" s="255" t="s">
        <v>323</v>
      </c>
      <c r="D47" s="255" t="s">
        <v>324</v>
      </c>
      <c r="E47" s="218" t="s">
        <v>898</v>
      </c>
      <c r="F47" s="218" t="s">
        <v>713</v>
      </c>
      <c r="G47" s="218">
        <f t="shared" ref="G47:G54" si="7">H47+I47</f>
        <v>60255591</v>
      </c>
      <c r="H47" s="218">
        <f>'dod3'!E42</f>
        <v>59783500</v>
      </c>
      <c r="I47" s="218">
        <f>'dod3'!J42</f>
        <v>472091</v>
      </c>
      <c r="J47" s="218">
        <f>'dod3'!K42</f>
        <v>126000</v>
      </c>
    </row>
    <row r="48" spans="1:13" ht="172.5" customHeight="1" x14ac:dyDescent="0.2">
      <c r="A48" s="255" t="s">
        <v>325</v>
      </c>
      <c r="B48" s="255" t="s">
        <v>326</v>
      </c>
      <c r="C48" s="255" t="s">
        <v>327</v>
      </c>
      <c r="D48" s="255" t="s">
        <v>548</v>
      </c>
      <c r="E48" s="218" t="s">
        <v>898</v>
      </c>
      <c r="F48" s="218" t="s">
        <v>713</v>
      </c>
      <c r="G48" s="218">
        <f t="shared" si="7"/>
        <v>64143070</v>
      </c>
      <c r="H48" s="218">
        <f>'dod3'!E43</f>
        <v>61436770</v>
      </c>
      <c r="I48" s="218">
        <f>'dod3'!J43</f>
        <v>2706300</v>
      </c>
      <c r="J48" s="218">
        <f>'dod3'!K43</f>
        <v>840600</v>
      </c>
    </row>
    <row r="49" spans="1:13" ht="172.5" customHeight="1" x14ac:dyDescent="0.2">
      <c r="A49" s="255" t="s">
        <v>328</v>
      </c>
      <c r="B49" s="255" t="s">
        <v>329</v>
      </c>
      <c r="C49" s="255" t="s">
        <v>330</v>
      </c>
      <c r="D49" s="255" t="s">
        <v>331</v>
      </c>
      <c r="E49" s="218" t="s">
        <v>898</v>
      </c>
      <c r="F49" s="218" t="s">
        <v>713</v>
      </c>
      <c r="G49" s="218">
        <f t="shared" si="7"/>
        <v>12671250</v>
      </c>
      <c r="H49" s="218">
        <f>'dod3'!E44-H50</f>
        <v>9171950</v>
      </c>
      <c r="I49" s="218">
        <f>'dod3'!J44-I50</f>
        <v>3499300</v>
      </c>
      <c r="J49" s="218">
        <f>'dod3'!K44-J50</f>
        <v>1600000</v>
      </c>
    </row>
    <row r="50" spans="1:13" ht="320.25" x14ac:dyDescent="0.2">
      <c r="A50" s="255" t="s">
        <v>328</v>
      </c>
      <c r="B50" s="255" t="s">
        <v>329</v>
      </c>
      <c r="C50" s="255" t="s">
        <v>330</v>
      </c>
      <c r="D50" s="255" t="s">
        <v>331</v>
      </c>
      <c r="E50" s="279" t="s">
        <v>956</v>
      </c>
      <c r="F50" s="280" t="s">
        <v>708</v>
      </c>
      <c r="G50" s="218">
        <f t="shared" si="7"/>
        <v>700000</v>
      </c>
      <c r="H50" s="218">
        <f>700000-649000+649000</f>
        <v>700000</v>
      </c>
      <c r="I50" s="218"/>
      <c r="J50" s="218"/>
    </row>
    <row r="51" spans="1:13" ht="183" x14ac:dyDescent="0.2">
      <c r="A51" s="255" t="s">
        <v>332</v>
      </c>
      <c r="B51" s="253" t="s">
        <v>333</v>
      </c>
      <c r="C51" s="253" t="s">
        <v>549</v>
      </c>
      <c r="D51" s="255" t="s">
        <v>334</v>
      </c>
      <c r="E51" s="218" t="s">
        <v>898</v>
      </c>
      <c r="F51" s="218" t="s">
        <v>713</v>
      </c>
      <c r="G51" s="218">
        <f t="shared" si="7"/>
        <v>8952218</v>
      </c>
      <c r="H51" s="218">
        <f>'dod3'!E45</f>
        <v>8952218</v>
      </c>
      <c r="I51" s="218">
        <f>'dod3'!J45</f>
        <v>0</v>
      </c>
      <c r="J51" s="218">
        <f>'dod3'!K45</f>
        <v>0</v>
      </c>
    </row>
    <row r="52" spans="1:13" ht="183" x14ac:dyDescent="0.2">
      <c r="A52" s="255" t="s">
        <v>588</v>
      </c>
      <c r="B52" s="255" t="s">
        <v>589</v>
      </c>
      <c r="C52" s="253" t="s">
        <v>335</v>
      </c>
      <c r="D52" s="208" t="s">
        <v>590</v>
      </c>
      <c r="E52" s="218" t="s">
        <v>898</v>
      </c>
      <c r="F52" s="218" t="s">
        <v>713</v>
      </c>
      <c r="G52" s="218">
        <f t="shared" si="7"/>
        <v>13400746.379999999</v>
      </c>
      <c r="H52" s="218">
        <f>'dod3'!E46</f>
        <v>13400746.379999999</v>
      </c>
      <c r="I52" s="218"/>
      <c r="J52" s="218"/>
    </row>
    <row r="53" spans="1:13" ht="183" x14ac:dyDescent="0.2">
      <c r="A53" s="255" t="s">
        <v>593</v>
      </c>
      <c r="B53" s="255" t="s">
        <v>592</v>
      </c>
      <c r="C53" s="253" t="s">
        <v>335</v>
      </c>
      <c r="D53" s="208" t="s">
        <v>591</v>
      </c>
      <c r="E53" s="218" t="s">
        <v>898</v>
      </c>
      <c r="F53" s="218" t="s">
        <v>713</v>
      </c>
      <c r="G53" s="218">
        <f t="shared" si="7"/>
        <v>1734200</v>
      </c>
      <c r="H53" s="218">
        <f>'dod3'!E47</f>
        <v>1734200</v>
      </c>
      <c r="I53" s="218"/>
      <c r="J53" s="218"/>
    </row>
    <row r="54" spans="1:13" s="122" customFormat="1" ht="160.5" customHeight="1" x14ac:dyDescent="0.2">
      <c r="A54" s="255" t="s">
        <v>505</v>
      </c>
      <c r="B54" s="255" t="s">
        <v>507</v>
      </c>
      <c r="C54" s="253" t="s">
        <v>335</v>
      </c>
      <c r="D54" s="208" t="s">
        <v>503</v>
      </c>
      <c r="E54" s="218" t="s">
        <v>898</v>
      </c>
      <c r="F54" s="218" t="s">
        <v>713</v>
      </c>
      <c r="G54" s="218">
        <f t="shared" si="7"/>
        <v>2546374</v>
      </c>
      <c r="H54" s="218">
        <f>'dod3'!E48</f>
        <v>2416670</v>
      </c>
      <c r="I54" s="218">
        <f>'dod3'!J48</f>
        <v>129704</v>
      </c>
      <c r="J54" s="218">
        <f>'dod3'!K48</f>
        <v>107704</v>
      </c>
    </row>
    <row r="55" spans="1:13" s="122" customFormat="1" ht="166.7" customHeight="1" x14ac:dyDescent="0.2">
      <c r="A55" s="255" t="s">
        <v>506</v>
      </c>
      <c r="B55" s="255" t="s">
        <v>508</v>
      </c>
      <c r="C55" s="253" t="s">
        <v>335</v>
      </c>
      <c r="D55" s="208" t="s">
        <v>504</v>
      </c>
      <c r="E55" s="218" t="s">
        <v>898</v>
      </c>
      <c r="F55" s="218" t="s">
        <v>713</v>
      </c>
      <c r="G55" s="218">
        <f>H55+I55</f>
        <v>4062200</v>
      </c>
      <c r="H55" s="218">
        <f>'dod3'!E49</f>
        <v>4062200</v>
      </c>
      <c r="I55" s="218">
        <f>'dod3'!J49</f>
        <v>0</v>
      </c>
      <c r="J55" s="218">
        <f>'dod3'!K49</f>
        <v>0</v>
      </c>
    </row>
    <row r="56" spans="1:13" s="122" customFormat="1" ht="166.7" customHeight="1" x14ac:dyDescent="0.2">
      <c r="A56" s="255" t="s">
        <v>892</v>
      </c>
      <c r="B56" s="255" t="s">
        <v>293</v>
      </c>
      <c r="C56" s="255" t="s">
        <v>256</v>
      </c>
      <c r="D56" s="255" t="s">
        <v>57</v>
      </c>
      <c r="E56" s="218" t="s">
        <v>898</v>
      </c>
      <c r="F56" s="218" t="s">
        <v>713</v>
      </c>
      <c r="G56" s="218">
        <f>H56+I56</f>
        <v>6726942</v>
      </c>
      <c r="H56" s="218"/>
      <c r="I56" s="218">
        <f>'dod3'!J50-I57</f>
        <v>6726942</v>
      </c>
      <c r="J56" s="218">
        <f>'dod3'!K50-J57</f>
        <v>6726942</v>
      </c>
    </row>
    <row r="57" spans="1:13" s="122" customFormat="1" ht="232.5" customHeight="1" x14ac:dyDescent="0.2">
      <c r="A57" s="255" t="s">
        <v>892</v>
      </c>
      <c r="B57" s="255" t="s">
        <v>293</v>
      </c>
      <c r="C57" s="255" t="s">
        <v>256</v>
      </c>
      <c r="D57" s="255" t="s">
        <v>57</v>
      </c>
      <c r="E57" s="279" t="s">
        <v>747</v>
      </c>
      <c r="F57" s="308" t="s">
        <v>746</v>
      </c>
      <c r="G57" s="218">
        <f>H57+I57</f>
        <v>215650</v>
      </c>
      <c r="H57" s="218"/>
      <c r="I57" s="218">
        <v>215650</v>
      </c>
      <c r="J57" s="218">
        <v>215650</v>
      </c>
    </row>
    <row r="58" spans="1:13" s="122" customFormat="1" ht="166.7" customHeight="1" x14ac:dyDescent="0.2">
      <c r="A58" s="255" t="s">
        <v>894</v>
      </c>
      <c r="B58" s="255" t="s">
        <v>598</v>
      </c>
      <c r="C58" s="255" t="s">
        <v>71</v>
      </c>
      <c r="D58" s="255" t="s">
        <v>599</v>
      </c>
      <c r="E58" s="218" t="s">
        <v>898</v>
      </c>
      <c r="F58" s="218" t="s">
        <v>713</v>
      </c>
      <c r="G58" s="218">
        <f>H58+I58</f>
        <v>1254757</v>
      </c>
      <c r="H58" s="218">
        <f>'dod3'!E51</f>
        <v>100000</v>
      </c>
      <c r="I58" s="218">
        <f>'dod3'!J51</f>
        <v>1154757</v>
      </c>
      <c r="J58" s="218">
        <f>'dod3'!K51</f>
        <v>1154757</v>
      </c>
    </row>
    <row r="59" spans="1:13" ht="225" x14ac:dyDescent="0.2">
      <c r="A59" s="281" t="s">
        <v>242</v>
      </c>
      <c r="B59" s="281"/>
      <c r="C59" s="281"/>
      <c r="D59" s="282" t="s">
        <v>60</v>
      </c>
      <c r="E59" s="287"/>
      <c r="F59" s="286"/>
      <c r="G59" s="287">
        <f>G60</f>
        <v>751193534</v>
      </c>
      <c r="H59" s="287">
        <f t="shared" ref="H59:J59" si="8">H60</f>
        <v>741681554</v>
      </c>
      <c r="I59" s="287">
        <f t="shared" si="8"/>
        <v>9511980</v>
      </c>
      <c r="J59" s="287">
        <f t="shared" si="8"/>
        <v>9402580</v>
      </c>
      <c r="K59" s="195" t="b">
        <f>H59='dod3'!E53-'dod3'!E54</f>
        <v>1</v>
      </c>
      <c r="L59" s="195" t="b">
        <f>I59='dod3'!J52-'dod3'!J54-'dod3'!Q97</f>
        <v>1</v>
      </c>
      <c r="M59" s="196" t="b">
        <f>J59='dod3'!K53-'dod3'!K54</f>
        <v>1</v>
      </c>
    </row>
    <row r="60" spans="1:13" ht="225" x14ac:dyDescent="0.2">
      <c r="A60" s="284" t="s">
        <v>243</v>
      </c>
      <c r="B60" s="284"/>
      <c r="C60" s="284"/>
      <c r="D60" s="285" t="s">
        <v>61</v>
      </c>
      <c r="E60" s="286"/>
      <c r="F60" s="286"/>
      <c r="G60" s="286">
        <f>SUM(G61:G105)</f>
        <v>751193534</v>
      </c>
      <c r="H60" s="286">
        <f>SUM(H61:H105)</f>
        <v>741681554</v>
      </c>
      <c r="I60" s="286">
        <f>SUM(I61:I105)</f>
        <v>9511980</v>
      </c>
      <c r="J60" s="286">
        <f>SUM(J61:J105)</f>
        <v>9402580</v>
      </c>
      <c r="L60" s="152"/>
    </row>
    <row r="61" spans="1:13" ht="183" x14ac:dyDescent="0.2">
      <c r="A61" s="253" t="s">
        <v>356</v>
      </c>
      <c r="B61" s="253" t="s">
        <v>357</v>
      </c>
      <c r="C61" s="253" t="s">
        <v>302</v>
      </c>
      <c r="D61" s="210" t="s">
        <v>355</v>
      </c>
      <c r="E61" s="279" t="s">
        <v>753</v>
      </c>
      <c r="F61" s="280" t="s">
        <v>707</v>
      </c>
      <c r="G61" s="218">
        <f t="shared" ref="G61" si="9">H61+I61</f>
        <v>62640000</v>
      </c>
      <c r="H61" s="257">
        <f>'dod3'!E55</f>
        <v>62640000</v>
      </c>
      <c r="I61" s="257">
        <f>'dod3'!J55</f>
        <v>0</v>
      </c>
      <c r="J61" s="353">
        <f>'dod3'!K55</f>
        <v>0</v>
      </c>
    </row>
    <row r="62" spans="1:13" ht="183" x14ac:dyDescent="0.2">
      <c r="A62" s="211" t="s">
        <v>375</v>
      </c>
      <c r="B62" s="253" t="s">
        <v>376</v>
      </c>
      <c r="C62" s="253" t="s">
        <v>79</v>
      </c>
      <c r="D62" s="255" t="s">
        <v>8</v>
      </c>
      <c r="E62" s="279" t="s">
        <v>753</v>
      </c>
      <c r="F62" s="280" t="s">
        <v>707</v>
      </c>
      <c r="G62" s="218">
        <f>H62+I62</f>
        <v>174550900</v>
      </c>
      <c r="H62" s="257">
        <f>'dod3'!E56</f>
        <v>174550900</v>
      </c>
      <c r="I62" s="257">
        <f>'dod3'!J56</f>
        <v>0</v>
      </c>
      <c r="J62" s="353">
        <f>'dod3'!K56</f>
        <v>0</v>
      </c>
    </row>
    <row r="63" spans="1:13" ht="274.5" x14ac:dyDescent="0.2">
      <c r="A63" s="255" t="s">
        <v>378</v>
      </c>
      <c r="B63" s="255" t="s">
        <v>379</v>
      </c>
      <c r="C63" s="255" t="s">
        <v>302</v>
      </c>
      <c r="D63" s="212" t="s">
        <v>377</v>
      </c>
      <c r="E63" s="279" t="s">
        <v>753</v>
      </c>
      <c r="F63" s="280" t="s">
        <v>707</v>
      </c>
      <c r="G63" s="218">
        <f t="shared" ref="G63" si="10">H63+I63</f>
        <v>3000</v>
      </c>
      <c r="H63" s="257">
        <f>'dod3'!E57</f>
        <v>3000</v>
      </c>
      <c r="I63" s="257">
        <f>'dod3'!J57</f>
        <v>0</v>
      </c>
      <c r="J63" s="353">
        <f>'dod3'!K57</f>
        <v>0</v>
      </c>
    </row>
    <row r="64" spans="1:13" ht="228.75" x14ac:dyDescent="0.2">
      <c r="A64" s="255" t="s">
        <v>380</v>
      </c>
      <c r="B64" s="255" t="s">
        <v>381</v>
      </c>
      <c r="C64" s="212">
        <v>1060</v>
      </c>
      <c r="D64" s="213" t="s">
        <v>19</v>
      </c>
      <c r="E64" s="279" t="s">
        <v>753</v>
      </c>
      <c r="F64" s="280" t="s">
        <v>707</v>
      </c>
      <c r="G64" s="218">
        <f t="shared" ref="G64:G84" si="11">H64+I64</f>
        <v>46300</v>
      </c>
      <c r="H64" s="257">
        <f>'dod3'!E58</f>
        <v>46300</v>
      </c>
      <c r="I64" s="257">
        <f>'dod3'!J58</f>
        <v>0</v>
      </c>
      <c r="J64" s="353">
        <f>'dod3'!K58</f>
        <v>0</v>
      </c>
    </row>
    <row r="65" spans="1:10" s="122" customFormat="1" ht="183" x14ac:dyDescent="0.2">
      <c r="A65" s="253" t="s">
        <v>406</v>
      </c>
      <c r="B65" s="253" t="s">
        <v>407</v>
      </c>
      <c r="C65" s="253" t="s">
        <v>302</v>
      </c>
      <c r="D65" s="210" t="s">
        <v>408</v>
      </c>
      <c r="E65" s="279" t="s">
        <v>753</v>
      </c>
      <c r="F65" s="280" t="s">
        <v>707</v>
      </c>
      <c r="G65" s="218">
        <f t="shared" si="11"/>
        <v>612970</v>
      </c>
      <c r="H65" s="257">
        <f>'dod3'!E59</f>
        <v>512970</v>
      </c>
      <c r="I65" s="257">
        <f>'dod3'!J59</f>
        <v>100000</v>
      </c>
      <c r="J65" s="257">
        <f>'dod3'!K59</f>
        <v>100000</v>
      </c>
    </row>
    <row r="66" spans="1:10" s="122" customFormat="1" ht="183" x14ac:dyDescent="0.2">
      <c r="A66" s="255" t="s">
        <v>409</v>
      </c>
      <c r="B66" s="255" t="s">
        <v>410</v>
      </c>
      <c r="C66" s="255" t="s">
        <v>303</v>
      </c>
      <c r="D66" s="255" t="s">
        <v>16</v>
      </c>
      <c r="E66" s="279" t="s">
        <v>753</v>
      </c>
      <c r="F66" s="280" t="s">
        <v>707</v>
      </c>
      <c r="G66" s="218">
        <f t="shared" si="11"/>
        <v>1360000</v>
      </c>
      <c r="H66" s="218">
        <f>'dod3'!E60</f>
        <v>1360000</v>
      </c>
      <c r="I66" s="218">
        <f>'dod3'!J60</f>
        <v>0</v>
      </c>
      <c r="J66" s="335">
        <f>'dod3'!K60</f>
        <v>0</v>
      </c>
    </row>
    <row r="67" spans="1:10" s="122" customFormat="1" ht="183" x14ac:dyDescent="0.2">
      <c r="A67" s="255" t="s">
        <v>412</v>
      </c>
      <c r="B67" s="255" t="s">
        <v>413</v>
      </c>
      <c r="C67" s="255" t="s">
        <v>303</v>
      </c>
      <c r="D67" s="253" t="s">
        <v>17</v>
      </c>
      <c r="E67" s="279" t="s">
        <v>753</v>
      </c>
      <c r="F67" s="280" t="s">
        <v>707</v>
      </c>
      <c r="G67" s="218">
        <f t="shared" si="11"/>
        <v>8000000</v>
      </c>
      <c r="H67" s="218">
        <f>'dod3'!E61</f>
        <v>8000000</v>
      </c>
      <c r="I67" s="218">
        <f>'dod3'!J61</f>
        <v>0</v>
      </c>
      <c r="J67" s="218">
        <f>'dod3'!K61</f>
        <v>0</v>
      </c>
    </row>
    <row r="68" spans="1:10" s="122" customFormat="1" ht="183" x14ac:dyDescent="0.2">
      <c r="A68" s="253" t="s">
        <v>414</v>
      </c>
      <c r="B68" s="253" t="s">
        <v>411</v>
      </c>
      <c r="C68" s="253" t="s">
        <v>303</v>
      </c>
      <c r="D68" s="253" t="s">
        <v>18</v>
      </c>
      <c r="E68" s="279" t="s">
        <v>753</v>
      </c>
      <c r="F68" s="280" t="s">
        <v>707</v>
      </c>
      <c r="G68" s="218">
        <f t="shared" si="11"/>
        <v>600000</v>
      </c>
      <c r="H68" s="218">
        <f>'dod3'!E62</f>
        <v>600000</v>
      </c>
      <c r="I68" s="218">
        <f>'dod3'!J62</f>
        <v>0</v>
      </c>
      <c r="J68" s="218">
        <f>'dod3'!K62</f>
        <v>0</v>
      </c>
    </row>
    <row r="69" spans="1:10" s="122" customFormat="1" ht="183" x14ac:dyDescent="0.2">
      <c r="A69" s="253" t="s">
        <v>415</v>
      </c>
      <c r="B69" s="253" t="s">
        <v>416</v>
      </c>
      <c r="C69" s="253" t="s">
        <v>303</v>
      </c>
      <c r="D69" s="253" t="s">
        <v>21</v>
      </c>
      <c r="E69" s="279" t="s">
        <v>753</v>
      </c>
      <c r="F69" s="280" t="s">
        <v>707</v>
      </c>
      <c r="G69" s="218">
        <f t="shared" si="11"/>
        <v>82000000</v>
      </c>
      <c r="H69" s="218">
        <f>'dod3'!E63</f>
        <v>82000000</v>
      </c>
      <c r="I69" s="218">
        <f>'dod3'!J63</f>
        <v>0</v>
      </c>
      <c r="J69" s="218">
        <f>'dod3'!K63</f>
        <v>0</v>
      </c>
    </row>
    <row r="70" spans="1:10" s="122" customFormat="1" ht="183" x14ac:dyDescent="0.2">
      <c r="A70" s="255" t="s">
        <v>366</v>
      </c>
      <c r="B70" s="255" t="s">
        <v>358</v>
      </c>
      <c r="C70" s="255" t="s">
        <v>279</v>
      </c>
      <c r="D70" s="255" t="s">
        <v>10</v>
      </c>
      <c r="E70" s="279" t="s">
        <v>753</v>
      </c>
      <c r="F70" s="280" t="s">
        <v>707</v>
      </c>
      <c r="G70" s="218">
        <f t="shared" si="11"/>
        <v>2814000</v>
      </c>
      <c r="H70" s="218">
        <f>'dod3'!E64</f>
        <v>2814000</v>
      </c>
      <c r="I70" s="218">
        <f>'dod3'!J64</f>
        <v>0</v>
      </c>
      <c r="J70" s="218">
        <f>'dod3'!K64</f>
        <v>0</v>
      </c>
    </row>
    <row r="71" spans="1:10" s="122" customFormat="1" ht="183" x14ac:dyDescent="0.2">
      <c r="A71" s="255" t="s">
        <v>367</v>
      </c>
      <c r="B71" s="255" t="s">
        <v>359</v>
      </c>
      <c r="C71" s="255" t="s">
        <v>279</v>
      </c>
      <c r="D71" s="255" t="s">
        <v>365</v>
      </c>
      <c r="E71" s="279" t="s">
        <v>753</v>
      </c>
      <c r="F71" s="280" t="s">
        <v>707</v>
      </c>
      <c r="G71" s="218">
        <f t="shared" si="11"/>
        <v>571520</v>
      </c>
      <c r="H71" s="218">
        <f>'dod3'!E65</f>
        <v>571520</v>
      </c>
      <c r="I71" s="218">
        <f>'dod3'!J65</f>
        <v>0</v>
      </c>
      <c r="J71" s="218">
        <f>'dod3'!K65</f>
        <v>0</v>
      </c>
    </row>
    <row r="72" spans="1:10" s="122" customFormat="1" ht="183" x14ac:dyDescent="0.2">
      <c r="A72" s="255" t="s">
        <v>368</v>
      </c>
      <c r="B72" s="255" t="s">
        <v>360</v>
      </c>
      <c r="C72" s="255" t="s">
        <v>279</v>
      </c>
      <c r="D72" s="255" t="s">
        <v>11</v>
      </c>
      <c r="E72" s="279" t="s">
        <v>753</v>
      </c>
      <c r="F72" s="280" t="s">
        <v>707</v>
      </c>
      <c r="G72" s="218">
        <f t="shared" si="11"/>
        <v>135697220</v>
      </c>
      <c r="H72" s="218">
        <f>'dod3'!E66</f>
        <v>135697220</v>
      </c>
      <c r="I72" s="218">
        <f>'dod3'!J66</f>
        <v>0</v>
      </c>
      <c r="J72" s="218">
        <f>'dod3'!K66</f>
        <v>0</v>
      </c>
    </row>
    <row r="73" spans="1:10" s="122" customFormat="1" ht="183" x14ac:dyDescent="0.2">
      <c r="A73" s="255" t="s">
        <v>369</v>
      </c>
      <c r="B73" s="255" t="s">
        <v>361</v>
      </c>
      <c r="C73" s="255" t="s">
        <v>279</v>
      </c>
      <c r="D73" s="255" t="s">
        <v>12</v>
      </c>
      <c r="E73" s="279" t="s">
        <v>753</v>
      </c>
      <c r="F73" s="280" t="s">
        <v>707</v>
      </c>
      <c r="G73" s="218">
        <f t="shared" si="11"/>
        <v>4266000</v>
      </c>
      <c r="H73" s="218">
        <f>'dod3'!E67</f>
        <v>4266000</v>
      </c>
      <c r="I73" s="218">
        <f>'dod3'!J67</f>
        <v>0</v>
      </c>
      <c r="J73" s="218">
        <f>'dod3'!K67</f>
        <v>0</v>
      </c>
    </row>
    <row r="74" spans="1:10" s="122" customFormat="1" ht="183" x14ac:dyDescent="0.2">
      <c r="A74" s="255" t="s">
        <v>370</v>
      </c>
      <c r="B74" s="255" t="s">
        <v>362</v>
      </c>
      <c r="C74" s="255" t="s">
        <v>279</v>
      </c>
      <c r="D74" s="255" t="s">
        <v>13</v>
      </c>
      <c r="E74" s="279" t="s">
        <v>753</v>
      </c>
      <c r="F74" s="280" t="s">
        <v>707</v>
      </c>
      <c r="G74" s="218">
        <f t="shared" si="11"/>
        <v>27062400</v>
      </c>
      <c r="H74" s="218">
        <f>'dod3'!E68</f>
        <v>27062400</v>
      </c>
      <c r="I74" s="218">
        <f>'dod3'!J68</f>
        <v>0</v>
      </c>
      <c r="J74" s="218">
        <f>'dod3'!K68</f>
        <v>0</v>
      </c>
    </row>
    <row r="75" spans="1:10" s="122" customFormat="1" ht="183" x14ac:dyDescent="0.2">
      <c r="A75" s="255" t="s">
        <v>371</v>
      </c>
      <c r="B75" s="255" t="s">
        <v>363</v>
      </c>
      <c r="C75" s="255" t="s">
        <v>279</v>
      </c>
      <c r="D75" s="255" t="s">
        <v>14</v>
      </c>
      <c r="E75" s="279" t="s">
        <v>753</v>
      </c>
      <c r="F75" s="280" t="s">
        <v>707</v>
      </c>
      <c r="G75" s="218">
        <f t="shared" si="11"/>
        <v>2700000</v>
      </c>
      <c r="H75" s="218">
        <f>'dod3'!E69</f>
        <v>2700000</v>
      </c>
      <c r="I75" s="218">
        <f>'dod3'!J69</f>
        <v>0</v>
      </c>
      <c r="J75" s="218">
        <f>'dod3'!K69</f>
        <v>0</v>
      </c>
    </row>
    <row r="76" spans="1:10" s="122" customFormat="1" ht="183" x14ac:dyDescent="0.2">
      <c r="A76" s="255" t="s">
        <v>372</v>
      </c>
      <c r="B76" s="255" t="s">
        <v>364</v>
      </c>
      <c r="C76" s="255" t="s">
        <v>279</v>
      </c>
      <c r="D76" s="255" t="s">
        <v>15</v>
      </c>
      <c r="E76" s="279" t="s">
        <v>753</v>
      </c>
      <c r="F76" s="280" t="s">
        <v>707</v>
      </c>
      <c r="G76" s="218">
        <f>H76+I76</f>
        <v>39337958</v>
      </c>
      <c r="H76" s="218">
        <f>'dod3'!E70</f>
        <v>39337958</v>
      </c>
      <c r="I76" s="218">
        <f>'dod3'!J70</f>
        <v>0</v>
      </c>
      <c r="J76" s="218">
        <f>'dod3'!K70</f>
        <v>0</v>
      </c>
    </row>
    <row r="77" spans="1:10" s="122" customFormat="1" ht="183" x14ac:dyDescent="0.2">
      <c r="A77" s="255" t="s">
        <v>916</v>
      </c>
      <c r="B77" s="255" t="s">
        <v>918</v>
      </c>
      <c r="C77" s="255" t="s">
        <v>279</v>
      </c>
      <c r="D77" s="255" t="s">
        <v>917</v>
      </c>
      <c r="E77" s="279" t="s">
        <v>753</v>
      </c>
      <c r="F77" s="280" t="s">
        <v>707</v>
      </c>
      <c r="G77" s="218">
        <f>H77+I77</f>
        <v>150000</v>
      </c>
      <c r="H77" s="218">
        <f>'dod3'!E71</f>
        <v>150000</v>
      </c>
      <c r="I77" s="218">
        <f>'dod3'!J71</f>
        <v>0</v>
      </c>
      <c r="J77" s="218">
        <f>'dod3'!K71</f>
        <v>0</v>
      </c>
    </row>
    <row r="78" spans="1:10" ht="183" x14ac:dyDescent="0.2">
      <c r="A78" s="255" t="s">
        <v>382</v>
      </c>
      <c r="B78" s="255" t="s">
        <v>373</v>
      </c>
      <c r="C78" s="255" t="s">
        <v>303</v>
      </c>
      <c r="D78" s="255" t="s">
        <v>9</v>
      </c>
      <c r="E78" s="279" t="s">
        <v>753</v>
      </c>
      <c r="F78" s="280" t="s">
        <v>707</v>
      </c>
      <c r="G78" s="218">
        <f t="shared" si="11"/>
        <v>179080</v>
      </c>
      <c r="H78" s="218">
        <f>'dod3'!E72</f>
        <v>179080</v>
      </c>
      <c r="I78" s="218">
        <f>'dod3'!J72</f>
        <v>0</v>
      </c>
      <c r="J78" s="218">
        <f>'dod3'!K72</f>
        <v>0</v>
      </c>
    </row>
    <row r="79" spans="1:10" s="122" customFormat="1" ht="183" x14ac:dyDescent="0.2">
      <c r="A79" s="255" t="s">
        <v>553</v>
      </c>
      <c r="B79" s="255" t="s">
        <v>554</v>
      </c>
      <c r="C79" s="255" t="s">
        <v>295</v>
      </c>
      <c r="D79" s="255" t="s">
        <v>552</v>
      </c>
      <c r="E79" s="279" t="s">
        <v>753</v>
      </c>
      <c r="F79" s="280" t="s">
        <v>707</v>
      </c>
      <c r="G79" s="218">
        <f t="shared" si="11"/>
        <v>78472603.400000006</v>
      </c>
      <c r="H79" s="218">
        <f>'dod3'!E73</f>
        <v>78472603.400000006</v>
      </c>
      <c r="I79" s="218">
        <f>'dod3'!J73</f>
        <v>0</v>
      </c>
      <c r="J79" s="218">
        <f>'dod3'!K73</f>
        <v>0</v>
      </c>
    </row>
    <row r="80" spans="1:10" s="122" customFormat="1" ht="228.75" x14ac:dyDescent="0.2">
      <c r="A80" s="255" t="s">
        <v>612</v>
      </c>
      <c r="B80" s="255" t="s">
        <v>613</v>
      </c>
      <c r="C80" s="255" t="s">
        <v>295</v>
      </c>
      <c r="D80" s="255" t="s">
        <v>614</v>
      </c>
      <c r="E80" s="279" t="s">
        <v>753</v>
      </c>
      <c r="F80" s="280" t="s">
        <v>707</v>
      </c>
      <c r="G80" s="218">
        <f t="shared" si="11"/>
        <v>25694626.600000001</v>
      </c>
      <c r="H80" s="218">
        <f>'dod3'!E74</f>
        <v>25694626.600000001</v>
      </c>
      <c r="I80" s="218">
        <f>'dod3'!J74</f>
        <v>0</v>
      </c>
      <c r="J80" s="218">
        <f>'dod3'!K74</f>
        <v>0</v>
      </c>
    </row>
    <row r="81" spans="1:10" s="122" customFormat="1" ht="183" x14ac:dyDescent="0.2">
      <c r="A81" s="255" t="s">
        <v>550</v>
      </c>
      <c r="B81" s="255" t="s">
        <v>551</v>
      </c>
      <c r="C81" s="255" t="s">
        <v>295</v>
      </c>
      <c r="D81" s="255" t="s">
        <v>509</v>
      </c>
      <c r="E81" s="279" t="s">
        <v>753</v>
      </c>
      <c r="F81" s="280" t="s">
        <v>707</v>
      </c>
      <c r="G81" s="218">
        <f t="shared" si="11"/>
        <v>13918200</v>
      </c>
      <c r="H81" s="218">
        <f>'dod3'!E75</f>
        <v>13918200</v>
      </c>
      <c r="I81" s="218">
        <f>'dod3'!J75</f>
        <v>0</v>
      </c>
      <c r="J81" s="218">
        <f>'dod3'!K75</f>
        <v>0</v>
      </c>
    </row>
    <row r="82" spans="1:10" s="122" customFormat="1" ht="274.5" x14ac:dyDescent="0.2">
      <c r="A82" s="255" t="s">
        <v>557</v>
      </c>
      <c r="B82" s="255" t="s">
        <v>558</v>
      </c>
      <c r="C82" s="255" t="s">
        <v>279</v>
      </c>
      <c r="D82" s="255" t="s">
        <v>559</v>
      </c>
      <c r="E82" s="279" t="s">
        <v>753</v>
      </c>
      <c r="F82" s="280" t="s">
        <v>707</v>
      </c>
      <c r="G82" s="218">
        <f t="shared" si="11"/>
        <v>1200000</v>
      </c>
      <c r="H82" s="218">
        <f>'dod3'!E76</f>
        <v>1200000</v>
      </c>
      <c r="I82" s="218">
        <f>'dod3'!J76</f>
        <v>0</v>
      </c>
      <c r="J82" s="218">
        <f>'dod3'!K76</f>
        <v>0</v>
      </c>
    </row>
    <row r="83" spans="1:10" s="122" customFormat="1" ht="320.25" x14ac:dyDescent="0.2">
      <c r="A83" s="255" t="s">
        <v>555</v>
      </c>
      <c r="B83" s="255" t="s">
        <v>556</v>
      </c>
      <c r="C83" s="255" t="s">
        <v>295</v>
      </c>
      <c r="D83" s="255" t="s">
        <v>560</v>
      </c>
      <c r="E83" s="279" t="s">
        <v>753</v>
      </c>
      <c r="F83" s="280" t="s">
        <v>707</v>
      </c>
      <c r="G83" s="218">
        <f t="shared" si="11"/>
        <v>264192</v>
      </c>
      <c r="H83" s="218">
        <f>'dod3'!E77</f>
        <v>264192</v>
      </c>
      <c r="I83" s="218">
        <f>'dod3'!J77</f>
        <v>0</v>
      </c>
      <c r="J83" s="218">
        <f>'dod3'!K77</f>
        <v>0</v>
      </c>
    </row>
    <row r="84" spans="1:10" s="122" customFormat="1" ht="370.5" customHeight="1" x14ac:dyDescent="0.65">
      <c r="A84" s="425" t="s">
        <v>899</v>
      </c>
      <c r="B84" s="425" t="s">
        <v>900</v>
      </c>
      <c r="C84" s="425" t="s">
        <v>279</v>
      </c>
      <c r="D84" s="364" t="s">
        <v>901</v>
      </c>
      <c r="E84" s="487" t="s">
        <v>753</v>
      </c>
      <c r="F84" s="407" t="s">
        <v>707</v>
      </c>
      <c r="G84" s="419">
        <f t="shared" si="11"/>
        <v>67000</v>
      </c>
      <c r="H84" s="419">
        <f>'dod3'!Q78</f>
        <v>67000</v>
      </c>
      <c r="I84" s="419">
        <f>'dod3'!R78</f>
        <v>0</v>
      </c>
      <c r="J84" s="419">
        <f>'dod3'!T78</f>
        <v>0</v>
      </c>
    </row>
    <row r="85" spans="1:10" s="122" customFormat="1" ht="331.5" customHeight="1" x14ac:dyDescent="0.2">
      <c r="A85" s="406"/>
      <c r="B85" s="406"/>
      <c r="C85" s="406"/>
      <c r="D85" s="209" t="s">
        <v>902</v>
      </c>
      <c r="E85" s="406"/>
      <c r="F85" s="406"/>
      <c r="G85" s="406"/>
      <c r="H85" s="406"/>
      <c r="I85" s="406"/>
      <c r="J85" s="406"/>
    </row>
    <row r="86" spans="1:10" s="122" customFormat="1" ht="183" x14ac:dyDescent="0.2">
      <c r="A86" s="372" t="s">
        <v>949</v>
      </c>
      <c r="B86" s="372" t="s">
        <v>950</v>
      </c>
      <c r="C86" s="372" t="s">
        <v>279</v>
      </c>
      <c r="D86" s="372" t="s">
        <v>951</v>
      </c>
      <c r="E86" s="279" t="s">
        <v>753</v>
      </c>
      <c r="F86" s="280" t="s">
        <v>707</v>
      </c>
      <c r="G86" s="218">
        <f t="shared" ref="G86:G87" si="12">H86+I86</f>
        <v>21813780</v>
      </c>
      <c r="H86" s="218">
        <f>'dod3'!E80</f>
        <v>21813780</v>
      </c>
      <c r="I86" s="218">
        <f>'dod3'!J80</f>
        <v>0</v>
      </c>
      <c r="J86" s="218">
        <f>'dod3'!K80</f>
        <v>0</v>
      </c>
    </row>
    <row r="87" spans="1:10" ht="163.5" customHeight="1" x14ac:dyDescent="0.2">
      <c r="A87" s="255" t="s">
        <v>383</v>
      </c>
      <c r="B87" s="255" t="s">
        <v>374</v>
      </c>
      <c r="C87" s="255" t="s">
        <v>302</v>
      </c>
      <c r="D87" s="255" t="s">
        <v>510</v>
      </c>
      <c r="E87" s="279" t="s">
        <v>753</v>
      </c>
      <c r="F87" s="280" t="s">
        <v>707</v>
      </c>
      <c r="G87" s="218">
        <f t="shared" si="12"/>
        <v>152280</v>
      </c>
      <c r="H87" s="218">
        <f>'dod3'!E81</f>
        <v>152280</v>
      </c>
      <c r="I87" s="218">
        <f>'dod3'!J81</f>
        <v>0</v>
      </c>
      <c r="J87" s="218">
        <f>'dod3'!K81</f>
        <v>0</v>
      </c>
    </row>
    <row r="88" spans="1:10" ht="301.7" customHeight="1" x14ac:dyDescent="0.2">
      <c r="A88" s="255" t="s">
        <v>404</v>
      </c>
      <c r="B88" s="255" t="s">
        <v>402</v>
      </c>
      <c r="C88" s="255" t="s">
        <v>296</v>
      </c>
      <c r="D88" s="255" t="s">
        <v>35</v>
      </c>
      <c r="E88" s="279" t="s">
        <v>753</v>
      </c>
      <c r="F88" s="280" t="s">
        <v>707</v>
      </c>
      <c r="G88" s="218">
        <f>H88+I88</f>
        <v>18300084</v>
      </c>
      <c r="H88" s="218">
        <f>'dod3'!E82</f>
        <v>17985684</v>
      </c>
      <c r="I88" s="218">
        <f>'dod3'!J82</f>
        <v>314400</v>
      </c>
      <c r="J88" s="218">
        <f>'dod3'!K82</f>
        <v>205000</v>
      </c>
    </row>
    <row r="89" spans="1:10" ht="183" x14ac:dyDescent="0.2">
      <c r="A89" s="255" t="s">
        <v>405</v>
      </c>
      <c r="B89" s="255" t="s">
        <v>403</v>
      </c>
      <c r="C89" s="255" t="s">
        <v>295</v>
      </c>
      <c r="D89" s="255" t="s">
        <v>511</v>
      </c>
      <c r="E89" s="279" t="s">
        <v>753</v>
      </c>
      <c r="F89" s="280" t="s">
        <v>707</v>
      </c>
      <c r="G89" s="218">
        <f>H89+I89</f>
        <v>5516573</v>
      </c>
      <c r="H89" s="218">
        <f>'dod3'!E83-H90</f>
        <v>5287323</v>
      </c>
      <c r="I89" s="218">
        <f>'dod3'!J83-I90</f>
        <v>229250</v>
      </c>
      <c r="J89" s="218">
        <f>'dod3'!K83-J90</f>
        <v>229250</v>
      </c>
    </row>
    <row r="90" spans="1:10" ht="228.75" x14ac:dyDescent="0.2">
      <c r="A90" s="255" t="s">
        <v>405</v>
      </c>
      <c r="B90" s="255" t="s">
        <v>403</v>
      </c>
      <c r="C90" s="255" t="s">
        <v>295</v>
      </c>
      <c r="D90" s="255" t="s">
        <v>511</v>
      </c>
      <c r="E90" s="279" t="s">
        <v>747</v>
      </c>
      <c r="F90" s="308" t="s">
        <v>746</v>
      </c>
      <c r="G90" s="218">
        <f>H90+I90</f>
        <v>115000</v>
      </c>
      <c r="H90" s="218">
        <f>49000+21000</f>
        <v>70000</v>
      </c>
      <c r="I90" s="218">
        <v>45000</v>
      </c>
      <c r="J90" s="218">
        <v>45000</v>
      </c>
    </row>
    <row r="91" spans="1:10" ht="409.5" x14ac:dyDescent="0.2">
      <c r="A91" s="255" t="s">
        <v>400</v>
      </c>
      <c r="B91" s="255" t="s">
        <v>401</v>
      </c>
      <c r="C91" s="255" t="s">
        <v>295</v>
      </c>
      <c r="D91" s="255" t="s">
        <v>512</v>
      </c>
      <c r="E91" s="279" t="s">
        <v>753</v>
      </c>
      <c r="F91" s="280" t="s">
        <v>707</v>
      </c>
      <c r="G91" s="218">
        <f>H91+I91</f>
        <v>1554600</v>
      </c>
      <c r="H91" s="218">
        <f>'dod3'!E84</f>
        <v>1554600</v>
      </c>
      <c r="I91" s="218">
        <f>'dod3'!J84</f>
        <v>0</v>
      </c>
      <c r="J91" s="218">
        <f>'dod3'!K84</f>
        <v>0</v>
      </c>
    </row>
    <row r="92" spans="1:10" ht="274.5" x14ac:dyDescent="0.2">
      <c r="A92" s="255" t="s">
        <v>513</v>
      </c>
      <c r="B92" s="255" t="s">
        <v>514</v>
      </c>
      <c r="C92" s="255" t="s">
        <v>295</v>
      </c>
      <c r="D92" s="255" t="s">
        <v>561</v>
      </c>
      <c r="E92" s="279" t="s">
        <v>753</v>
      </c>
      <c r="F92" s="280" t="s">
        <v>707</v>
      </c>
      <c r="G92" s="218">
        <f>H92+I92</f>
        <v>135534</v>
      </c>
      <c r="H92" s="218">
        <f>'dod3'!E85</f>
        <v>135534</v>
      </c>
      <c r="I92" s="218">
        <f>'dod3'!J85</f>
        <v>0</v>
      </c>
      <c r="J92" s="218">
        <f>'dod3'!K85</f>
        <v>0</v>
      </c>
    </row>
    <row r="93" spans="1:10" ht="183" x14ac:dyDescent="0.2">
      <c r="A93" s="255" t="s">
        <v>515</v>
      </c>
      <c r="B93" s="255" t="s">
        <v>516</v>
      </c>
      <c r="C93" s="255" t="s">
        <v>295</v>
      </c>
      <c r="D93" s="255" t="s">
        <v>562</v>
      </c>
      <c r="E93" s="279" t="s">
        <v>753</v>
      </c>
      <c r="F93" s="280" t="s">
        <v>707</v>
      </c>
      <c r="G93" s="218">
        <f t="shared" ref="G93" si="13">H93+I93</f>
        <v>168</v>
      </c>
      <c r="H93" s="218">
        <f>'dod3'!E86</f>
        <v>168</v>
      </c>
      <c r="I93" s="218">
        <f>'dod3'!J86</f>
        <v>0</v>
      </c>
      <c r="J93" s="218">
        <f>'dod3'!K86</f>
        <v>0</v>
      </c>
    </row>
    <row r="94" spans="1:10" ht="366" x14ac:dyDescent="0.2">
      <c r="A94" s="255" t="s">
        <v>565</v>
      </c>
      <c r="B94" s="255" t="s">
        <v>564</v>
      </c>
      <c r="C94" s="255" t="s">
        <v>79</v>
      </c>
      <c r="D94" s="255" t="s">
        <v>563</v>
      </c>
      <c r="E94" s="279" t="s">
        <v>753</v>
      </c>
      <c r="F94" s="280" t="s">
        <v>707</v>
      </c>
      <c r="G94" s="218">
        <f>H94+I94</f>
        <v>828500</v>
      </c>
      <c r="H94" s="218">
        <f>'dod3'!E87-H95</f>
        <v>828500</v>
      </c>
      <c r="I94" s="218">
        <f>'dod3'!J87-I95</f>
        <v>0</v>
      </c>
      <c r="J94" s="218">
        <f>'dod3'!K87-J95</f>
        <v>0</v>
      </c>
    </row>
    <row r="95" spans="1:10" ht="366" x14ac:dyDescent="0.2">
      <c r="A95" s="255" t="s">
        <v>565</v>
      </c>
      <c r="B95" s="255" t="s">
        <v>564</v>
      </c>
      <c r="C95" s="255" t="s">
        <v>79</v>
      </c>
      <c r="D95" s="255" t="s">
        <v>563</v>
      </c>
      <c r="E95" s="279" t="s">
        <v>957</v>
      </c>
      <c r="F95" s="280" t="s">
        <v>708</v>
      </c>
      <c r="G95" s="218">
        <f>H95+I95</f>
        <v>980000</v>
      </c>
      <c r="H95" s="218">
        <v>980000</v>
      </c>
      <c r="I95" s="218">
        <v>0</v>
      </c>
      <c r="J95" s="218">
        <v>0</v>
      </c>
    </row>
    <row r="96" spans="1:10" ht="228.75" x14ac:dyDescent="0.2">
      <c r="A96" s="255" t="s">
        <v>517</v>
      </c>
      <c r="B96" s="255" t="s">
        <v>518</v>
      </c>
      <c r="C96" s="255" t="s">
        <v>302</v>
      </c>
      <c r="D96" s="255" t="s">
        <v>566</v>
      </c>
      <c r="E96" s="279" t="s">
        <v>753</v>
      </c>
      <c r="F96" s="280" t="s">
        <v>707</v>
      </c>
      <c r="G96" s="218">
        <f>H96+I96</f>
        <v>550000</v>
      </c>
      <c r="H96" s="218">
        <f>'dod3'!E88</f>
        <v>550000</v>
      </c>
      <c r="I96" s="218">
        <f>'dod3'!J88</f>
        <v>0</v>
      </c>
      <c r="J96" s="218">
        <f>'dod3'!K88</f>
        <v>0</v>
      </c>
    </row>
    <row r="97" spans="1:13" ht="137.25" x14ac:dyDescent="0.2">
      <c r="A97" s="255" t="s">
        <v>788</v>
      </c>
      <c r="B97" s="255" t="s">
        <v>629</v>
      </c>
      <c r="C97" s="255" t="s">
        <v>630</v>
      </c>
      <c r="D97" s="255" t="s">
        <v>628</v>
      </c>
      <c r="E97" s="354" t="s">
        <v>807</v>
      </c>
      <c r="F97" s="280" t="s">
        <v>808</v>
      </c>
      <c r="G97" s="218">
        <f>H97+I97</f>
        <v>250000</v>
      </c>
      <c r="H97" s="257">
        <f>'dod3'!E89</f>
        <v>250000</v>
      </c>
      <c r="I97" s="257">
        <f>'dod3'!J89</f>
        <v>0</v>
      </c>
      <c r="J97" s="257">
        <f>'dod3'!K89</f>
        <v>0</v>
      </c>
    </row>
    <row r="98" spans="1:13" ht="409.5" x14ac:dyDescent="0.2">
      <c r="A98" s="425" t="s">
        <v>399</v>
      </c>
      <c r="B98" s="425" t="s">
        <v>286</v>
      </c>
      <c r="C98" s="425" t="s">
        <v>279</v>
      </c>
      <c r="D98" s="207" t="s">
        <v>519</v>
      </c>
      <c r="E98" s="487" t="s">
        <v>753</v>
      </c>
      <c r="F98" s="407" t="s">
        <v>707</v>
      </c>
      <c r="G98" s="419">
        <f t="shared" ref="G98" si="14">H98+I98</f>
        <v>1030700</v>
      </c>
      <c r="H98" s="419">
        <f>'dod3'!E90</f>
        <v>1030700</v>
      </c>
      <c r="I98" s="419">
        <f>'dod3'!J90</f>
        <v>0</v>
      </c>
      <c r="J98" s="419">
        <f>'dod3'!K90</f>
        <v>0</v>
      </c>
    </row>
    <row r="99" spans="1:13" ht="327.75" customHeight="1" x14ac:dyDescent="0.2">
      <c r="A99" s="420"/>
      <c r="B99" s="420"/>
      <c r="C99" s="420"/>
      <c r="D99" s="209" t="s">
        <v>802</v>
      </c>
      <c r="E99" s="420"/>
      <c r="F99" s="420"/>
      <c r="G99" s="494"/>
      <c r="H99" s="420"/>
      <c r="I99" s="420"/>
      <c r="J99" s="420"/>
    </row>
    <row r="100" spans="1:13" ht="91.5" x14ac:dyDescent="0.2">
      <c r="A100" s="406"/>
      <c r="B100" s="406"/>
      <c r="C100" s="406"/>
      <c r="D100" s="209" t="s">
        <v>803</v>
      </c>
      <c r="E100" s="406"/>
      <c r="F100" s="406"/>
      <c r="G100" s="495"/>
      <c r="H100" s="406"/>
      <c r="I100" s="406"/>
      <c r="J100" s="406"/>
    </row>
    <row r="101" spans="1:13" ht="183" x14ac:dyDescent="0.2">
      <c r="A101" s="255" t="s">
        <v>520</v>
      </c>
      <c r="B101" s="255" t="s">
        <v>522</v>
      </c>
      <c r="C101" s="255" t="s">
        <v>287</v>
      </c>
      <c r="D101" s="208" t="s">
        <v>524</v>
      </c>
      <c r="E101" s="279" t="s">
        <v>753</v>
      </c>
      <c r="F101" s="280" t="s">
        <v>707</v>
      </c>
      <c r="G101" s="218">
        <f>H101+I101</f>
        <v>8153805</v>
      </c>
      <c r="H101" s="111">
        <f>'dod3'!E93</f>
        <v>5249475</v>
      </c>
      <c r="I101" s="218">
        <f>'dod3'!J93</f>
        <v>2904330</v>
      </c>
      <c r="J101" s="218">
        <f>'dod3'!K93</f>
        <v>2904330</v>
      </c>
    </row>
    <row r="102" spans="1:13" ht="183" x14ac:dyDescent="0.2">
      <c r="A102" s="255" t="s">
        <v>521</v>
      </c>
      <c r="B102" s="255" t="s">
        <v>523</v>
      </c>
      <c r="C102" s="255" t="s">
        <v>287</v>
      </c>
      <c r="D102" s="208" t="s">
        <v>525</v>
      </c>
      <c r="E102" s="279" t="s">
        <v>753</v>
      </c>
      <c r="F102" s="280" t="s">
        <v>707</v>
      </c>
      <c r="G102" s="218">
        <f>H102+I102</f>
        <v>21659540</v>
      </c>
      <c r="H102" s="218">
        <f>'dod3'!E94-H103</f>
        <v>21460540</v>
      </c>
      <c r="I102" s="218">
        <f>'dod3'!J94-I103</f>
        <v>199000</v>
      </c>
      <c r="J102" s="218">
        <f>'dod3'!K94-J103</f>
        <v>199000</v>
      </c>
    </row>
    <row r="103" spans="1:13" ht="320.25" x14ac:dyDescent="0.2">
      <c r="A103" s="255" t="s">
        <v>521</v>
      </c>
      <c r="B103" s="255" t="s">
        <v>523</v>
      </c>
      <c r="C103" s="255" t="s">
        <v>287</v>
      </c>
      <c r="D103" s="208" t="s">
        <v>525</v>
      </c>
      <c r="E103" s="279" t="s">
        <v>956</v>
      </c>
      <c r="F103" s="280" t="s">
        <v>708</v>
      </c>
      <c r="G103" s="218">
        <f>H103+I103</f>
        <v>2445000</v>
      </c>
      <c r="H103" s="218">
        <f>1925000+300000</f>
        <v>2225000</v>
      </c>
      <c r="I103" s="218">
        <v>220000</v>
      </c>
      <c r="J103" s="218">
        <v>220000</v>
      </c>
      <c r="K103" s="217"/>
    </row>
    <row r="104" spans="1:13" ht="320.25" x14ac:dyDescent="0.2">
      <c r="A104" s="255" t="s">
        <v>605</v>
      </c>
      <c r="B104" s="255" t="s">
        <v>603</v>
      </c>
      <c r="C104" s="255" t="s">
        <v>539</v>
      </c>
      <c r="D104" s="208" t="s">
        <v>604</v>
      </c>
      <c r="E104" s="279" t="s">
        <v>956</v>
      </c>
      <c r="F104" s="280" t="s">
        <v>708</v>
      </c>
      <c r="G104" s="218">
        <f>H104+I104</f>
        <v>3500000</v>
      </c>
      <c r="H104" s="218">
        <f>'dod3'!E95</f>
        <v>0</v>
      </c>
      <c r="I104" s="218">
        <f>'dod3'!J95</f>
        <v>3500000</v>
      </c>
      <c r="J104" s="218">
        <f>'dod3'!K95</f>
        <v>3500000</v>
      </c>
    </row>
    <row r="105" spans="1:13" ht="183" x14ac:dyDescent="0.2">
      <c r="A105" s="255" t="s">
        <v>703</v>
      </c>
      <c r="B105" s="255" t="s">
        <v>704</v>
      </c>
      <c r="C105" s="255" t="s">
        <v>450</v>
      </c>
      <c r="D105" s="208" t="s">
        <v>705</v>
      </c>
      <c r="E105" s="279" t="s">
        <v>753</v>
      </c>
      <c r="F105" s="280" t="s">
        <v>707</v>
      </c>
      <c r="G105" s="218">
        <f>H105+I105</f>
        <v>2000000</v>
      </c>
      <c r="H105" s="218">
        <f>'dod3'!E96</f>
        <v>0</v>
      </c>
      <c r="I105" s="218">
        <f>'dod3'!J96</f>
        <v>2000000</v>
      </c>
      <c r="J105" s="335">
        <f>'dod3'!K96</f>
        <v>2000000</v>
      </c>
    </row>
    <row r="106" spans="1:13" ht="180" x14ac:dyDescent="0.2">
      <c r="A106" s="291">
        <v>1000000</v>
      </c>
      <c r="B106" s="291"/>
      <c r="C106" s="291"/>
      <c r="D106" s="281" t="s">
        <v>43</v>
      </c>
      <c r="E106" s="287"/>
      <c r="F106" s="286"/>
      <c r="G106" s="287">
        <f>G107</f>
        <v>97201613</v>
      </c>
      <c r="H106" s="287">
        <f t="shared" ref="H106:J106" si="15">H107</f>
        <v>81434879</v>
      </c>
      <c r="I106" s="287">
        <f t="shared" si="15"/>
        <v>15766734</v>
      </c>
      <c r="J106" s="287">
        <f t="shared" si="15"/>
        <v>8279954</v>
      </c>
      <c r="K106" s="195" t="b">
        <f>H106='dod3'!E100</f>
        <v>1</v>
      </c>
      <c r="L106" s="195" t="b">
        <f>I106='dod3'!J100</f>
        <v>1</v>
      </c>
      <c r="M106" s="196" t="b">
        <f>J106='dod3'!K100</f>
        <v>1</v>
      </c>
    </row>
    <row r="107" spans="1:13" ht="180" x14ac:dyDescent="0.2">
      <c r="A107" s="292">
        <v>1010000</v>
      </c>
      <c r="B107" s="292"/>
      <c r="C107" s="292"/>
      <c r="D107" s="284" t="s">
        <v>62</v>
      </c>
      <c r="E107" s="286"/>
      <c r="F107" s="286"/>
      <c r="G107" s="286">
        <f>SUM(G108:G120)</f>
        <v>97201613</v>
      </c>
      <c r="H107" s="286">
        <f>SUM(H108:H120)</f>
        <v>81434879</v>
      </c>
      <c r="I107" s="286">
        <f t="shared" ref="I107:J107" si="16">SUM(I108:I120)</f>
        <v>15766734</v>
      </c>
      <c r="J107" s="286">
        <f t="shared" si="16"/>
        <v>8279954</v>
      </c>
    </row>
    <row r="108" spans="1:13" ht="274.5" x14ac:dyDescent="0.2">
      <c r="A108" s="255" t="s">
        <v>34</v>
      </c>
      <c r="B108" s="255" t="s">
        <v>274</v>
      </c>
      <c r="C108" s="255" t="s">
        <v>275</v>
      </c>
      <c r="D108" s="255" t="s">
        <v>273</v>
      </c>
      <c r="E108" s="218" t="s">
        <v>20</v>
      </c>
      <c r="F108" s="218" t="s">
        <v>699</v>
      </c>
      <c r="G108" s="218">
        <f>H108+I108</f>
        <v>54555599</v>
      </c>
      <c r="H108" s="218">
        <f>'dod3'!E101</f>
        <v>46291215</v>
      </c>
      <c r="I108" s="218">
        <f>'dod3'!J101</f>
        <v>8264384</v>
      </c>
      <c r="J108" s="218">
        <f>'dod3'!K101</f>
        <v>1433004</v>
      </c>
    </row>
    <row r="109" spans="1:13" ht="243" customHeight="1" x14ac:dyDescent="0.2">
      <c r="A109" s="255" t="s">
        <v>257</v>
      </c>
      <c r="B109" s="255" t="s">
        <v>258</v>
      </c>
      <c r="C109" s="255" t="s">
        <v>261</v>
      </c>
      <c r="D109" s="255" t="s">
        <v>262</v>
      </c>
      <c r="E109" s="218" t="s">
        <v>20</v>
      </c>
      <c r="F109" s="218" t="s">
        <v>699</v>
      </c>
      <c r="G109" s="218">
        <f t="shared" ref="G109:G116" si="17">H109+I109</f>
        <v>726700</v>
      </c>
      <c r="H109" s="218">
        <f>'dod3'!E102</f>
        <v>726700</v>
      </c>
      <c r="I109" s="218">
        <f>'dod3'!J102</f>
        <v>0</v>
      </c>
      <c r="J109" s="218">
        <f>'dod3'!K102</f>
        <v>0</v>
      </c>
    </row>
    <row r="110" spans="1:13" ht="186" x14ac:dyDescent="0.2">
      <c r="A110" s="255" t="s">
        <v>263</v>
      </c>
      <c r="B110" s="255" t="s">
        <v>264</v>
      </c>
      <c r="C110" s="255" t="s">
        <v>265</v>
      </c>
      <c r="D110" s="255" t="s">
        <v>266</v>
      </c>
      <c r="E110" s="218" t="s">
        <v>20</v>
      </c>
      <c r="F110" s="218" t="s">
        <v>699</v>
      </c>
      <c r="G110" s="218">
        <f t="shared" si="17"/>
        <v>8213475</v>
      </c>
      <c r="H110" s="218">
        <f>'dod3'!E103-H111</f>
        <v>7728475</v>
      </c>
      <c r="I110" s="218">
        <f>'dod3'!J103-I111</f>
        <v>485000</v>
      </c>
      <c r="J110" s="218">
        <f>'dod3'!K103-J111</f>
        <v>400000</v>
      </c>
    </row>
    <row r="111" spans="1:13" ht="228.75" x14ac:dyDescent="0.2">
      <c r="A111" s="255" t="s">
        <v>263</v>
      </c>
      <c r="B111" s="255" t="s">
        <v>264</v>
      </c>
      <c r="C111" s="255" t="s">
        <v>265</v>
      </c>
      <c r="D111" s="255" t="s">
        <v>266</v>
      </c>
      <c r="E111" s="279" t="s">
        <v>747</v>
      </c>
      <c r="F111" s="308" t="s">
        <v>746</v>
      </c>
      <c r="G111" s="218">
        <f t="shared" si="17"/>
        <v>300000</v>
      </c>
      <c r="H111" s="218">
        <f>16250+46800+5000</f>
        <v>68050</v>
      </c>
      <c r="I111" s="218">
        <f>87250+46500+98200</f>
        <v>231950</v>
      </c>
      <c r="J111" s="218">
        <f>87250+46500+98200</f>
        <v>231950</v>
      </c>
    </row>
    <row r="112" spans="1:13" ht="186" x14ac:dyDescent="0.2">
      <c r="A112" s="255" t="s">
        <v>267</v>
      </c>
      <c r="B112" s="255" t="s">
        <v>268</v>
      </c>
      <c r="C112" s="255" t="s">
        <v>265</v>
      </c>
      <c r="D112" s="255" t="s">
        <v>269</v>
      </c>
      <c r="E112" s="218" t="s">
        <v>20</v>
      </c>
      <c r="F112" s="218" t="s">
        <v>699</v>
      </c>
      <c r="G112" s="218">
        <f t="shared" si="17"/>
        <v>6295535</v>
      </c>
      <c r="H112" s="218">
        <f>'dod3'!E104</f>
        <v>1220535</v>
      </c>
      <c r="I112" s="218">
        <f>'dod3'!J104</f>
        <v>5075000</v>
      </c>
      <c r="J112" s="218">
        <f>'dod3'!K104</f>
        <v>5000000</v>
      </c>
    </row>
    <row r="113" spans="1:13" ht="186" x14ac:dyDescent="0.2">
      <c r="A113" s="255" t="s">
        <v>270</v>
      </c>
      <c r="B113" s="255" t="s">
        <v>259</v>
      </c>
      <c r="C113" s="255" t="s">
        <v>271</v>
      </c>
      <c r="D113" s="255" t="s">
        <v>272</v>
      </c>
      <c r="E113" s="218" t="s">
        <v>20</v>
      </c>
      <c r="F113" s="218" t="s">
        <v>699</v>
      </c>
      <c r="G113" s="218">
        <f t="shared" si="17"/>
        <v>7255042</v>
      </c>
      <c r="H113" s="218">
        <f>'dod3'!E105-H114</f>
        <v>5699642</v>
      </c>
      <c r="I113" s="218">
        <f>'dod3'!J105-I114</f>
        <v>1555400</v>
      </c>
      <c r="J113" s="218">
        <f>'dod3'!K105-J114</f>
        <v>1190000</v>
      </c>
    </row>
    <row r="114" spans="1:13" ht="228.75" x14ac:dyDescent="0.2">
      <c r="A114" s="255" t="s">
        <v>270</v>
      </c>
      <c r="B114" s="255" t="s">
        <v>259</v>
      </c>
      <c r="C114" s="255" t="s">
        <v>271</v>
      </c>
      <c r="D114" s="255" t="s">
        <v>272</v>
      </c>
      <c r="E114" s="279" t="s">
        <v>747</v>
      </c>
      <c r="F114" s="308" t="s">
        <v>746</v>
      </c>
      <c r="G114" s="218">
        <f t="shared" si="17"/>
        <v>116500</v>
      </c>
      <c r="H114" s="218">
        <f>86500+30000</f>
        <v>116500</v>
      </c>
      <c r="I114" s="218"/>
      <c r="J114" s="218"/>
    </row>
    <row r="115" spans="1:13" ht="186" x14ac:dyDescent="0.2">
      <c r="A115" s="255" t="s">
        <v>527</v>
      </c>
      <c r="B115" s="255" t="s">
        <v>528</v>
      </c>
      <c r="C115" s="255" t="s">
        <v>276</v>
      </c>
      <c r="D115" s="255" t="s">
        <v>526</v>
      </c>
      <c r="E115" s="218" t="s">
        <v>20</v>
      </c>
      <c r="F115" s="218" t="s">
        <v>699</v>
      </c>
      <c r="G115" s="218">
        <f t="shared" si="17"/>
        <v>12898962</v>
      </c>
      <c r="H115" s="218">
        <f>'dod3'!E106-H116</f>
        <v>12768962</v>
      </c>
      <c r="I115" s="218">
        <f>'dod3'!J106-I116</f>
        <v>130000</v>
      </c>
      <c r="J115" s="218">
        <f>'dod3'!K106-J116</f>
        <v>0</v>
      </c>
    </row>
    <row r="116" spans="1:13" ht="186" x14ac:dyDescent="0.2">
      <c r="A116" s="255" t="s">
        <v>527</v>
      </c>
      <c r="B116" s="255" t="s">
        <v>528</v>
      </c>
      <c r="C116" s="255" t="s">
        <v>276</v>
      </c>
      <c r="D116" s="255" t="s">
        <v>526</v>
      </c>
      <c r="E116" s="218" t="s">
        <v>700</v>
      </c>
      <c r="F116" s="218" t="s">
        <v>701</v>
      </c>
      <c r="G116" s="218">
        <f t="shared" si="17"/>
        <v>514800</v>
      </c>
      <c r="H116" s="218">
        <v>514800</v>
      </c>
      <c r="I116" s="218"/>
      <c r="J116" s="218"/>
    </row>
    <row r="117" spans="1:13" ht="204" customHeight="1" x14ac:dyDescent="0.2">
      <c r="A117" s="255" t="s">
        <v>529</v>
      </c>
      <c r="B117" s="255" t="s">
        <v>530</v>
      </c>
      <c r="C117" s="255" t="s">
        <v>276</v>
      </c>
      <c r="D117" s="255" t="s">
        <v>531</v>
      </c>
      <c r="E117" s="218" t="s">
        <v>20</v>
      </c>
      <c r="F117" s="218" t="s">
        <v>699</v>
      </c>
      <c r="G117" s="218">
        <f t="shared" ref="G117:G120" si="18">H117+I117</f>
        <v>5544680</v>
      </c>
      <c r="H117" s="218">
        <f>'dod3'!E107-H119-H118</f>
        <v>5544680</v>
      </c>
      <c r="I117" s="218">
        <f>'dod3'!J107-I119-I118</f>
        <v>0</v>
      </c>
      <c r="J117" s="218">
        <f>'dod3'!K107-J119-J118</f>
        <v>0</v>
      </c>
    </row>
    <row r="118" spans="1:13" ht="279" x14ac:dyDescent="0.2">
      <c r="A118" s="255" t="s">
        <v>529</v>
      </c>
      <c r="B118" s="255" t="s">
        <v>530</v>
      </c>
      <c r="C118" s="255" t="s">
        <v>276</v>
      </c>
      <c r="D118" s="255" t="s">
        <v>531</v>
      </c>
      <c r="E118" s="218" t="s">
        <v>602</v>
      </c>
      <c r="F118" s="218" t="s">
        <v>714</v>
      </c>
      <c r="G118" s="218">
        <f t="shared" si="18"/>
        <v>395000</v>
      </c>
      <c r="H118" s="218">
        <v>395000</v>
      </c>
      <c r="I118" s="218"/>
      <c r="J118" s="218"/>
    </row>
    <row r="119" spans="1:13" ht="178.5" customHeight="1" x14ac:dyDescent="0.2">
      <c r="A119" s="255" t="s">
        <v>529</v>
      </c>
      <c r="B119" s="255" t="s">
        <v>530</v>
      </c>
      <c r="C119" s="255" t="s">
        <v>276</v>
      </c>
      <c r="D119" s="255" t="s">
        <v>531</v>
      </c>
      <c r="E119" s="218" t="s">
        <v>700</v>
      </c>
      <c r="F119" s="218" t="s">
        <v>701</v>
      </c>
      <c r="G119" s="218">
        <f t="shared" si="18"/>
        <v>360320</v>
      </c>
      <c r="H119" s="218">
        <v>360320</v>
      </c>
      <c r="I119" s="218"/>
      <c r="J119" s="218"/>
    </row>
    <row r="120" spans="1:13" ht="232.5" customHeight="1" x14ac:dyDescent="0.2">
      <c r="A120" s="255" t="s">
        <v>856</v>
      </c>
      <c r="B120" s="255" t="s">
        <v>293</v>
      </c>
      <c r="C120" s="255" t="s">
        <v>256</v>
      </c>
      <c r="D120" s="255" t="s">
        <v>57</v>
      </c>
      <c r="E120" s="218" t="s">
        <v>20</v>
      </c>
      <c r="F120" s="218" t="s">
        <v>699</v>
      </c>
      <c r="G120" s="218">
        <f t="shared" si="18"/>
        <v>25000</v>
      </c>
      <c r="H120" s="218">
        <f>'dod3'!E108</f>
        <v>0</v>
      </c>
      <c r="I120" s="218">
        <f>'dod3'!J108</f>
        <v>25000</v>
      </c>
      <c r="J120" s="218">
        <f>'dod3'!K108</f>
        <v>25000</v>
      </c>
    </row>
    <row r="121" spans="1:13" ht="135" x14ac:dyDescent="0.2">
      <c r="A121" s="291" t="s">
        <v>40</v>
      </c>
      <c r="B121" s="291"/>
      <c r="C121" s="291"/>
      <c r="D121" s="281" t="s">
        <v>41</v>
      </c>
      <c r="E121" s="287"/>
      <c r="F121" s="286"/>
      <c r="G121" s="287">
        <f>G122</f>
        <v>57549232</v>
      </c>
      <c r="H121" s="287">
        <f t="shared" ref="H121:J121" si="19">H122</f>
        <v>52259167</v>
      </c>
      <c r="I121" s="287">
        <f t="shared" si="19"/>
        <v>5290065</v>
      </c>
      <c r="J121" s="287">
        <f t="shared" si="19"/>
        <v>3183421</v>
      </c>
      <c r="K121" s="195" t="b">
        <f>H121='dod3'!E110+'dod4'!F12</f>
        <v>1</v>
      </c>
      <c r="L121" s="195" t="b">
        <f>I121='dod3'!J110+'dod4'!G12</f>
        <v>1</v>
      </c>
      <c r="M121" s="196" t="b">
        <f>J121='dod3'!K110+'dod4'!H12</f>
        <v>1</v>
      </c>
    </row>
    <row r="122" spans="1:13" ht="135" x14ac:dyDescent="0.2">
      <c r="A122" s="292" t="s">
        <v>39</v>
      </c>
      <c r="B122" s="292"/>
      <c r="C122" s="292"/>
      <c r="D122" s="284" t="s">
        <v>58</v>
      </c>
      <c r="E122" s="286"/>
      <c r="F122" s="286"/>
      <c r="G122" s="286">
        <f>SUM(G123:G140)</f>
        <v>57549232</v>
      </c>
      <c r="H122" s="286">
        <f>SUM(H123:H140)</f>
        <v>52259167</v>
      </c>
      <c r="I122" s="286">
        <f t="shared" ref="I122:J122" si="20">SUM(I123:I140)</f>
        <v>5290065</v>
      </c>
      <c r="J122" s="286">
        <f t="shared" si="20"/>
        <v>3183421</v>
      </c>
    </row>
    <row r="123" spans="1:13" ht="228.75" x14ac:dyDescent="0.2">
      <c r="A123" s="255" t="s">
        <v>277</v>
      </c>
      <c r="B123" s="255" t="s">
        <v>278</v>
      </c>
      <c r="C123" s="255" t="s">
        <v>279</v>
      </c>
      <c r="D123" s="255" t="s">
        <v>280</v>
      </c>
      <c r="E123" s="279" t="s">
        <v>960</v>
      </c>
      <c r="F123" s="218" t="s">
        <v>709</v>
      </c>
      <c r="G123" s="218">
        <f t="shared" ref="G123" si="21">H123+I123</f>
        <v>3446621</v>
      </c>
      <c r="H123" s="111">
        <f>'dod3'!E111</f>
        <v>3393343</v>
      </c>
      <c r="I123" s="153">
        <f>'dod3'!J111</f>
        <v>53278</v>
      </c>
      <c r="J123" s="218">
        <f>'dod3'!K111</f>
        <v>53278</v>
      </c>
    </row>
    <row r="124" spans="1:13" ht="228.75" x14ac:dyDescent="0.2">
      <c r="A124" s="255" t="s">
        <v>72</v>
      </c>
      <c r="B124" s="255" t="s">
        <v>260</v>
      </c>
      <c r="C124" s="255" t="s">
        <v>279</v>
      </c>
      <c r="D124" s="255" t="s">
        <v>22</v>
      </c>
      <c r="E124" s="279" t="s">
        <v>960</v>
      </c>
      <c r="F124" s="218" t="s">
        <v>709</v>
      </c>
      <c r="G124" s="218">
        <f t="shared" ref="G124:G125" si="22">H124+I124</f>
        <v>1225790</v>
      </c>
      <c r="H124" s="111">
        <f>'dod3'!E112</f>
        <v>1225790</v>
      </c>
      <c r="I124" s="153">
        <f>'dod3'!J112</f>
        <v>0</v>
      </c>
      <c r="J124" s="218">
        <f>'dod3'!K112</f>
        <v>0</v>
      </c>
    </row>
    <row r="125" spans="1:13" ht="228.75" x14ac:dyDescent="0.2">
      <c r="A125" s="255" t="s">
        <v>284</v>
      </c>
      <c r="B125" s="255" t="s">
        <v>285</v>
      </c>
      <c r="C125" s="255" t="s">
        <v>279</v>
      </c>
      <c r="D125" s="255" t="s">
        <v>23</v>
      </c>
      <c r="E125" s="279" t="s">
        <v>960</v>
      </c>
      <c r="F125" s="218" t="s">
        <v>709</v>
      </c>
      <c r="G125" s="218">
        <f t="shared" si="22"/>
        <v>4748304</v>
      </c>
      <c r="H125" s="111">
        <f>'dod3'!E113</f>
        <v>3279368</v>
      </c>
      <c r="I125" s="153">
        <f>'dod3'!J113</f>
        <v>1468936</v>
      </c>
      <c r="J125" s="218">
        <f>'dod3'!K113</f>
        <v>1143936</v>
      </c>
    </row>
    <row r="126" spans="1:13" ht="228.75" x14ac:dyDescent="0.2">
      <c r="A126" s="255" t="s">
        <v>571</v>
      </c>
      <c r="B126" s="255" t="s">
        <v>572</v>
      </c>
      <c r="C126" s="255" t="s">
        <v>279</v>
      </c>
      <c r="D126" s="255" t="s">
        <v>573</v>
      </c>
      <c r="E126" s="279" t="s">
        <v>960</v>
      </c>
      <c r="F126" s="218" t="s">
        <v>709</v>
      </c>
      <c r="G126" s="218">
        <f t="shared" ref="G126:G129" si="23">H126+I126</f>
        <v>7567144</v>
      </c>
      <c r="H126" s="111">
        <f>'dod3'!E114-H127</f>
        <v>6200441</v>
      </c>
      <c r="I126" s="153">
        <f>'dod3'!J114-I127</f>
        <v>1366703</v>
      </c>
      <c r="J126" s="218">
        <f>'dod3'!K114-J127</f>
        <v>1366703</v>
      </c>
    </row>
    <row r="127" spans="1:13" ht="228.75" x14ac:dyDescent="0.2">
      <c r="A127" s="255" t="s">
        <v>571</v>
      </c>
      <c r="B127" s="255" t="s">
        <v>572</v>
      </c>
      <c r="C127" s="255" t="s">
        <v>279</v>
      </c>
      <c r="D127" s="255" t="s">
        <v>573</v>
      </c>
      <c r="E127" s="279" t="s">
        <v>747</v>
      </c>
      <c r="F127" s="308" t="s">
        <v>746</v>
      </c>
      <c r="G127" s="218">
        <f t="shared" si="23"/>
        <v>104955</v>
      </c>
      <c r="H127" s="111">
        <v>104955</v>
      </c>
      <c r="I127" s="153"/>
      <c r="J127" s="218"/>
    </row>
    <row r="128" spans="1:13" ht="228.75" x14ac:dyDescent="0.2">
      <c r="A128" s="255" t="s">
        <v>73</v>
      </c>
      <c r="B128" s="255" t="s">
        <v>281</v>
      </c>
      <c r="C128" s="255" t="s">
        <v>291</v>
      </c>
      <c r="D128" s="255" t="s">
        <v>74</v>
      </c>
      <c r="E128" s="279" t="s">
        <v>960</v>
      </c>
      <c r="F128" s="218" t="s">
        <v>709</v>
      </c>
      <c r="G128" s="218">
        <f t="shared" si="23"/>
        <v>10046475</v>
      </c>
      <c r="H128" s="218">
        <f>'dod3'!E115</f>
        <v>10046475</v>
      </c>
      <c r="I128" s="153">
        <f>'dod3'!J115</f>
        <v>0</v>
      </c>
      <c r="J128" s="218">
        <f>'dod3'!K115</f>
        <v>0</v>
      </c>
    </row>
    <row r="129" spans="1:13" ht="228.75" x14ac:dyDescent="0.2">
      <c r="A129" s="255" t="s">
        <v>75</v>
      </c>
      <c r="B129" s="255" t="s">
        <v>282</v>
      </c>
      <c r="C129" s="255" t="s">
        <v>291</v>
      </c>
      <c r="D129" s="255" t="s">
        <v>6</v>
      </c>
      <c r="E129" s="279" t="s">
        <v>960</v>
      </c>
      <c r="F129" s="218" t="s">
        <v>709</v>
      </c>
      <c r="G129" s="218">
        <f t="shared" si="23"/>
        <v>1757513</v>
      </c>
      <c r="H129" s="218">
        <f>'dod3'!E116</f>
        <v>1757513</v>
      </c>
      <c r="I129" s="153">
        <f>'dod3'!J116</f>
        <v>0</v>
      </c>
      <c r="J129" s="218">
        <f>'dod3'!K116</f>
        <v>0</v>
      </c>
    </row>
    <row r="130" spans="1:13" ht="228.75" x14ac:dyDescent="0.2">
      <c r="A130" s="255" t="s">
        <v>76</v>
      </c>
      <c r="B130" s="255" t="s">
        <v>283</v>
      </c>
      <c r="C130" s="255" t="s">
        <v>291</v>
      </c>
      <c r="D130" s="255" t="s">
        <v>567</v>
      </c>
      <c r="E130" s="279" t="s">
        <v>960</v>
      </c>
      <c r="F130" s="218" t="s">
        <v>709</v>
      </c>
      <c r="G130" s="218">
        <f t="shared" ref="G130:G131" si="24">H130+I130</f>
        <v>53014</v>
      </c>
      <c r="H130" s="218">
        <f>'dod3'!E117</f>
        <v>53014</v>
      </c>
      <c r="I130" s="153">
        <f>'dod3'!J117</f>
        <v>0</v>
      </c>
      <c r="J130" s="218">
        <f>'dod3'!K117</f>
        <v>0</v>
      </c>
    </row>
    <row r="131" spans="1:13" ht="228.75" x14ac:dyDescent="0.2">
      <c r="A131" s="255" t="s">
        <v>49</v>
      </c>
      <c r="B131" s="255" t="s">
        <v>288</v>
      </c>
      <c r="C131" s="255" t="s">
        <v>291</v>
      </c>
      <c r="D131" s="255" t="s">
        <v>77</v>
      </c>
      <c r="E131" s="279" t="s">
        <v>960</v>
      </c>
      <c r="F131" s="218" t="s">
        <v>709</v>
      </c>
      <c r="G131" s="218">
        <f t="shared" si="24"/>
        <v>20910551</v>
      </c>
      <c r="H131" s="218">
        <f>'dod3'!E118</f>
        <v>18741107</v>
      </c>
      <c r="I131" s="153">
        <f>'dod3'!J118</f>
        <v>2169444</v>
      </c>
      <c r="J131" s="218">
        <f>'dod3'!K118</f>
        <v>519800</v>
      </c>
    </row>
    <row r="132" spans="1:13" ht="228.75" x14ac:dyDescent="0.2">
      <c r="A132" s="255" t="s">
        <v>50</v>
      </c>
      <c r="B132" s="255" t="s">
        <v>289</v>
      </c>
      <c r="C132" s="255" t="s">
        <v>291</v>
      </c>
      <c r="D132" s="255" t="s">
        <v>78</v>
      </c>
      <c r="E132" s="279" t="s">
        <v>960</v>
      </c>
      <c r="F132" s="218" t="s">
        <v>709</v>
      </c>
      <c r="G132" s="218">
        <f t="shared" ref="G132:G133" si="25">H132+I132</f>
        <v>4254685</v>
      </c>
      <c r="H132" s="218">
        <f>'dod3'!E119</f>
        <v>4254685</v>
      </c>
      <c r="I132" s="153">
        <f>'dod3'!J119</f>
        <v>0</v>
      </c>
      <c r="J132" s="218">
        <f>'dod3'!K119</f>
        <v>0</v>
      </c>
    </row>
    <row r="133" spans="1:13" ht="320.25" x14ac:dyDescent="0.2">
      <c r="A133" s="255" t="s">
        <v>905</v>
      </c>
      <c r="B133" s="255" t="s">
        <v>906</v>
      </c>
      <c r="C133" s="255" t="s">
        <v>291</v>
      </c>
      <c r="D133" s="255" t="s">
        <v>907</v>
      </c>
      <c r="E133" s="279" t="s">
        <v>960</v>
      </c>
      <c r="F133" s="218" t="s">
        <v>709</v>
      </c>
      <c r="G133" s="218">
        <f t="shared" si="25"/>
        <v>68296</v>
      </c>
      <c r="H133" s="218">
        <f>'dod3'!E120</f>
        <v>68296</v>
      </c>
      <c r="I133" s="153">
        <f>'dod3'!J120</f>
        <v>0</v>
      </c>
      <c r="J133" s="153">
        <f>'dod3'!K120</f>
        <v>0</v>
      </c>
    </row>
    <row r="134" spans="1:13" ht="274.5" x14ac:dyDescent="0.2">
      <c r="A134" s="197" t="s">
        <v>51</v>
      </c>
      <c r="B134" s="197" t="s">
        <v>290</v>
      </c>
      <c r="C134" s="197" t="s">
        <v>291</v>
      </c>
      <c r="D134" s="255" t="s">
        <v>52</v>
      </c>
      <c r="E134" s="279" t="s">
        <v>960</v>
      </c>
      <c r="F134" s="218" t="s">
        <v>709</v>
      </c>
      <c r="G134" s="218">
        <f t="shared" ref="G134:G135" si="26">H134+I134</f>
        <v>1456611</v>
      </c>
      <c r="H134" s="218">
        <f>'dod3'!E121-H135</f>
        <v>1456611</v>
      </c>
      <c r="I134" s="153">
        <f>'dod3'!J121</f>
        <v>0</v>
      </c>
      <c r="J134" s="218">
        <f>'dod3'!K121</f>
        <v>0</v>
      </c>
    </row>
    <row r="135" spans="1:13" s="377" customFormat="1" ht="274.5" x14ac:dyDescent="0.2">
      <c r="A135" s="197" t="s">
        <v>51</v>
      </c>
      <c r="B135" s="197" t="s">
        <v>290</v>
      </c>
      <c r="C135" s="197" t="s">
        <v>291</v>
      </c>
      <c r="D135" s="378" t="s">
        <v>52</v>
      </c>
      <c r="E135" s="218" t="s">
        <v>904</v>
      </c>
      <c r="F135" s="308" t="s">
        <v>903</v>
      </c>
      <c r="G135" s="218">
        <f t="shared" si="26"/>
        <v>129155</v>
      </c>
      <c r="H135" s="218">
        <v>129155</v>
      </c>
      <c r="I135" s="153"/>
      <c r="J135" s="218"/>
    </row>
    <row r="136" spans="1:13" ht="228.75" x14ac:dyDescent="0.2">
      <c r="A136" s="197" t="s">
        <v>53</v>
      </c>
      <c r="B136" s="197" t="s">
        <v>292</v>
      </c>
      <c r="C136" s="197" t="s">
        <v>291</v>
      </c>
      <c r="D136" s="255" t="s">
        <v>54</v>
      </c>
      <c r="E136" s="279" t="s">
        <v>960</v>
      </c>
      <c r="F136" s="218" t="s">
        <v>709</v>
      </c>
      <c r="G136" s="218">
        <f t="shared" ref="G136:G137" si="27">H136+I136</f>
        <v>1221249</v>
      </c>
      <c r="H136" s="218">
        <f>'dod3'!E122-H137</f>
        <v>1179249</v>
      </c>
      <c r="I136" s="153">
        <f>'dod3'!J122-I137</f>
        <v>42000</v>
      </c>
      <c r="J136" s="218">
        <f>'dod3'!K122-J137</f>
        <v>0</v>
      </c>
    </row>
    <row r="137" spans="1:13" ht="228.75" x14ac:dyDescent="0.2">
      <c r="A137" s="197" t="s">
        <v>53</v>
      </c>
      <c r="B137" s="197" t="s">
        <v>292</v>
      </c>
      <c r="C137" s="197" t="s">
        <v>291</v>
      </c>
      <c r="D137" s="255" t="s">
        <v>54</v>
      </c>
      <c r="E137" s="279" t="s">
        <v>747</v>
      </c>
      <c r="F137" s="308" t="s">
        <v>746</v>
      </c>
      <c r="G137" s="218">
        <f t="shared" si="27"/>
        <v>88165</v>
      </c>
      <c r="H137" s="218">
        <v>88165</v>
      </c>
      <c r="I137" s="153"/>
      <c r="J137" s="218"/>
    </row>
    <row r="138" spans="1:13" ht="274.5" x14ac:dyDescent="0.2">
      <c r="A138" s="197" t="s">
        <v>541</v>
      </c>
      <c r="B138" s="197" t="s">
        <v>540</v>
      </c>
      <c r="C138" s="197" t="s">
        <v>539</v>
      </c>
      <c r="D138" s="255" t="s">
        <v>538</v>
      </c>
      <c r="E138" s="279" t="s">
        <v>960</v>
      </c>
      <c r="F138" s="218" t="s">
        <v>709</v>
      </c>
      <c r="G138" s="218">
        <f t="shared" ref="G138:G140" si="28">H138+I138</f>
        <v>21000</v>
      </c>
      <c r="H138" s="218">
        <f>'dod3'!E123</f>
        <v>21000</v>
      </c>
      <c r="I138" s="153">
        <f>'dod3'!J123</f>
        <v>0</v>
      </c>
      <c r="J138" s="218">
        <f>'dod3'!K123</f>
        <v>0</v>
      </c>
    </row>
    <row r="139" spans="1:13" ht="228.75" x14ac:dyDescent="0.2">
      <c r="A139" s="255" t="s">
        <v>908</v>
      </c>
      <c r="B139" s="255" t="s">
        <v>293</v>
      </c>
      <c r="C139" s="255" t="s">
        <v>256</v>
      </c>
      <c r="D139" s="255" t="s">
        <v>57</v>
      </c>
      <c r="E139" s="279" t="s">
        <v>747</v>
      </c>
      <c r="F139" s="308" t="s">
        <v>746</v>
      </c>
      <c r="G139" s="218">
        <f t="shared" si="28"/>
        <v>99704</v>
      </c>
      <c r="H139" s="218">
        <f>'dod3'!E124</f>
        <v>0</v>
      </c>
      <c r="I139" s="153">
        <f>'dod3'!J124</f>
        <v>99704</v>
      </c>
      <c r="J139" s="153">
        <f>'dod3'!K124</f>
        <v>99704</v>
      </c>
    </row>
    <row r="140" spans="1:13" ht="228.75" x14ac:dyDescent="0.2">
      <c r="A140" s="370" t="s">
        <v>594</v>
      </c>
      <c r="B140" s="370" t="s">
        <v>596</v>
      </c>
      <c r="C140" s="370" t="s">
        <v>79</v>
      </c>
      <c r="D140" s="371" t="s">
        <v>805</v>
      </c>
      <c r="E140" s="279" t="s">
        <v>960</v>
      </c>
      <c r="F140" s="218" t="s">
        <v>709</v>
      </c>
      <c r="G140" s="218">
        <f t="shared" si="28"/>
        <v>350000</v>
      </c>
      <c r="H140" s="218">
        <f>'dod4'!F12</f>
        <v>260000</v>
      </c>
      <c r="I140" s="153">
        <f>'dod4'!G12</f>
        <v>90000</v>
      </c>
      <c r="J140" s="218">
        <f>'dod4'!H12</f>
        <v>0</v>
      </c>
    </row>
    <row r="141" spans="1:13" ht="91.5" hidden="1" x14ac:dyDescent="0.2">
      <c r="A141" s="258" t="s">
        <v>636</v>
      </c>
      <c r="B141" s="263" t="s">
        <v>598</v>
      </c>
      <c r="C141" s="263" t="s">
        <v>71</v>
      </c>
      <c r="D141" s="263" t="s">
        <v>599</v>
      </c>
      <c r="E141" s="264"/>
      <c r="F141" s="260"/>
      <c r="G141" s="260"/>
      <c r="H141" s="260"/>
      <c r="I141" s="261"/>
      <c r="J141" s="259"/>
    </row>
    <row r="142" spans="1:13" ht="180" x14ac:dyDescent="0.2">
      <c r="A142" s="281" t="s">
        <v>244</v>
      </c>
      <c r="B142" s="281"/>
      <c r="C142" s="281"/>
      <c r="D142" s="281" t="s">
        <v>42</v>
      </c>
      <c r="E142" s="287"/>
      <c r="F142" s="286"/>
      <c r="G142" s="287">
        <f>G143</f>
        <v>481377299.79000002</v>
      </c>
      <c r="H142" s="287">
        <f t="shared" ref="H142:J142" si="29">H143</f>
        <v>260839789</v>
      </c>
      <c r="I142" s="287">
        <f t="shared" si="29"/>
        <v>220537510.79000002</v>
      </c>
      <c r="J142" s="287">
        <f t="shared" si="29"/>
        <v>220506267.31</v>
      </c>
      <c r="K142" s="195" t="b">
        <f>H142='dod3'!E125-'dod3'!E127+160000</f>
        <v>1</v>
      </c>
      <c r="L142" s="195" t="b">
        <f>I142='dod3'!J126-'dod3'!J127-'dod3'!Q143</f>
        <v>1</v>
      </c>
      <c r="M142" s="196" t="b">
        <f>J142='dod3'!K126-'dod3'!K127</f>
        <v>1</v>
      </c>
    </row>
    <row r="143" spans="1:13" ht="180" x14ac:dyDescent="0.2">
      <c r="A143" s="284" t="s">
        <v>245</v>
      </c>
      <c r="B143" s="284"/>
      <c r="C143" s="284"/>
      <c r="D143" s="284" t="s">
        <v>63</v>
      </c>
      <c r="E143" s="286"/>
      <c r="F143" s="286"/>
      <c r="G143" s="286">
        <f>SUM(G144:G173)</f>
        <v>481377299.79000002</v>
      </c>
      <c r="H143" s="286">
        <f t="shared" ref="H143:J143" si="30">SUM(H144:H173)</f>
        <v>260839789</v>
      </c>
      <c r="I143" s="286">
        <f t="shared" si="30"/>
        <v>220537510.79000002</v>
      </c>
      <c r="J143" s="286">
        <f t="shared" si="30"/>
        <v>220506267.31</v>
      </c>
    </row>
    <row r="144" spans="1:13" ht="228.75" x14ac:dyDescent="0.2">
      <c r="A144" s="255" t="s">
        <v>738</v>
      </c>
      <c r="B144" s="255" t="s">
        <v>341</v>
      </c>
      <c r="C144" s="255" t="s">
        <v>339</v>
      </c>
      <c r="D144" s="255" t="s">
        <v>340</v>
      </c>
      <c r="E144" s="279" t="s">
        <v>741</v>
      </c>
      <c r="F144" s="218" t="s">
        <v>740</v>
      </c>
      <c r="G144" s="111">
        <f t="shared" ref="G144:G145" si="31">H144+I144</f>
        <v>160000</v>
      </c>
      <c r="H144" s="257">
        <v>160000</v>
      </c>
      <c r="I144" s="257">
        <v>0</v>
      </c>
      <c r="J144" s="257">
        <v>0</v>
      </c>
    </row>
    <row r="145" spans="1:10" ht="232.5" x14ac:dyDescent="0.2">
      <c r="A145" s="255" t="s">
        <v>834</v>
      </c>
      <c r="B145" s="255" t="s">
        <v>71</v>
      </c>
      <c r="C145" s="255" t="s">
        <v>70</v>
      </c>
      <c r="D145" s="255" t="s">
        <v>354</v>
      </c>
      <c r="E145" s="111" t="s">
        <v>723</v>
      </c>
      <c r="F145" s="308" t="s">
        <v>727</v>
      </c>
      <c r="G145" s="111">
        <f t="shared" si="31"/>
        <v>49300</v>
      </c>
      <c r="H145" s="257">
        <f>'dod3'!E128</f>
        <v>49300</v>
      </c>
      <c r="I145" s="257">
        <f>'dod3'!J128</f>
        <v>0</v>
      </c>
      <c r="J145" s="257">
        <f>'dod3'!K128</f>
        <v>0</v>
      </c>
    </row>
    <row r="146" spans="1:10" ht="232.5" x14ac:dyDescent="0.2">
      <c r="A146" s="425" t="s">
        <v>417</v>
      </c>
      <c r="B146" s="425" t="s">
        <v>418</v>
      </c>
      <c r="C146" s="425" t="s">
        <v>539</v>
      </c>
      <c r="D146" s="425" t="s">
        <v>419</v>
      </c>
      <c r="E146" s="111" t="s">
        <v>723</v>
      </c>
      <c r="F146" s="308" t="s">
        <v>727</v>
      </c>
      <c r="G146" s="488">
        <f>H146+I146</f>
        <v>4600000</v>
      </c>
      <c r="H146" s="488">
        <f>'dod3'!E129-H147</f>
        <v>50000</v>
      </c>
      <c r="I146" s="491">
        <f>'dod3'!J129-I147</f>
        <v>4550000</v>
      </c>
      <c r="J146" s="419">
        <f>'dod3'!K129-J147</f>
        <v>4550000</v>
      </c>
    </row>
    <row r="147" spans="1:10" ht="228.75" x14ac:dyDescent="0.2">
      <c r="A147" s="486"/>
      <c r="B147" s="486"/>
      <c r="C147" s="486"/>
      <c r="D147" s="486"/>
      <c r="E147" s="308" t="s">
        <v>724</v>
      </c>
      <c r="F147" s="308" t="s">
        <v>728</v>
      </c>
      <c r="G147" s="489"/>
      <c r="H147" s="489"/>
      <c r="I147" s="492"/>
      <c r="J147" s="493"/>
    </row>
    <row r="148" spans="1:10" ht="228.75" x14ac:dyDescent="0.2">
      <c r="A148" s="486"/>
      <c r="B148" s="486"/>
      <c r="C148" s="486"/>
      <c r="D148" s="486"/>
      <c r="E148" s="308" t="s">
        <v>937</v>
      </c>
      <c r="F148" s="308" t="s">
        <v>938</v>
      </c>
      <c r="G148" s="489"/>
      <c r="H148" s="489"/>
      <c r="I148" s="492"/>
      <c r="J148" s="493"/>
    </row>
    <row r="149" spans="1:10" ht="228.75" x14ac:dyDescent="0.2">
      <c r="A149" s="431"/>
      <c r="B149" s="431"/>
      <c r="C149" s="431"/>
      <c r="D149" s="431"/>
      <c r="E149" s="308" t="s">
        <v>939</v>
      </c>
      <c r="F149" s="308" t="s">
        <v>940</v>
      </c>
      <c r="G149" s="497"/>
      <c r="H149" s="497"/>
      <c r="I149" s="498"/>
      <c r="J149" s="496"/>
    </row>
    <row r="150" spans="1:10" ht="232.5" x14ac:dyDescent="0.2">
      <c r="A150" s="255" t="s">
        <v>638</v>
      </c>
      <c r="B150" s="255" t="s">
        <v>639</v>
      </c>
      <c r="C150" s="255" t="s">
        <v>420</v>
      </c>
      <c r="D150" s="255" t="s">
        <v>640</v>
      </c>
      <c r="E150" s="111" t="s">
        <v>723</v>
      </c>
      <c r="F150" s="308" t="s">
        <v>727</v>
      </c>
      <c r="G150" s="111">
        <f t="shared" ref="G150:G163" si="32">H150+I150</f>
        <v>18000000</v>
      </c>
      <c r="H150" s="111">
        <f>'dod3'!E130</f>
        <v>18000000</v>
      </c>
      <c r="I150" s="153">
        <f>'dod3'!J130</f>
        <v>0</v>
      </c>
      <c r="J150" s="218">
        <f>'dod3'!K130</f>
        <v>0</v>
      </c>
    </row>
    <row r="151" spans="1:10" ht="232.5" x14ac:dyDescent="0.2">
      <c r="A151" s="255" t="s">
        <v>424</v>
      </c>
      <c r="B151" s="255" t="s">
        <v>425</v>
      </c>
      <c r="C151" s="255" t="s">
        <v>420</v>
      </c>
      <c r="D151" s="255" t="s">
        <v>426</v>
      </c>
      <c r="E151" s="111" t="s">
        <v>723</v>
      </c>
      <c r="F151" s="308" t="s">
        <v>727</v>
      </c>
      <c r="G151" s="111">
        <f t="shared" si="32"/>
        <v>10553700</v>
      </c>
      <c r="H151" s="111">
        <f>'dod3'!E131</f>
        <v>10553700</v>
      </c>
      <c r="I151" s="153">
        <f>'dod3'!J131</f>
        <v>0</v>
      </c>
      <c r="J151" s="218">
        <f>'dod3'!K131</f>
        <v>0</v>
      </c>
    </row>
    <row r="152" spans="1:10" ht="232.5" x14ac:dyDescent="0.2">
      <c r="A152" s="255" t="s">
        <v>447</v>
      </c>
      <c r="B152" s="255" t="s">
        <v>448</v>
      </c>
      <c r="C152" s="255" t="s">
        <v>420</v>
      </c>
      <c r="D152" s="255" t="s">
        <v>449</v>
      </c>
      <c r="E152" s="111" t="s">
        <v>723</v>
      </c>
      <c r="F152" s="308" t="s">
        <v>727</v>
      </c>
      <c r="G152" s="111">
        <f t="shared" si="32"/>
        <v>5000000</v>
      </c>
      <c r="H152" s="111">
        <f>'dod3'!E132</f>
        <v>0</v>
      </c>
      <c r="I152" s="153">
        <f>'dod3'!J132</f>
        <v>5000000</v>
      </c>
      <c r="J152" s="218">
        <f>'dod3'!K132</f>
        <v>5000000</v>
      </c>
    </row>
    <row r="153" spans="1:10" ht="232.5" x14ac:dyDescent="0.2">
      <c r="A153" s="255" t="s">
        <v>421</v>
      </c>
      <c r="B153" s="255" t="s">
        <v>422</v>
      </c>
      <c r="C153" s="255" t="s">
        <v>420</v>
      </c>
      <c r="D153" s="255" t="s">
        <v>423</v>
      </c>
      <c r="E153" s="111" t="s">
        <v>723</v>
      </c>
      <c r="F153" s="308" t="s">
        <v>727</v>
      </c>
      <c r="G153" s="111">
        <f t="shared" si="32"/>
        <v>24000000</v>
      </c>
      <c r="H153" s="111">
        <f>'dod3'!E133-H154</f>
        <v>0</v>
      </c>
      <c r="I153" s="153">
        <f>'dod3'!J133-I154</f>
        <v>24000000</v>
      </c>
      <c r="J153" s="218">
        <f>'dod3'!K133-J154</f>
        <v>24000000</v>
      </c>
    </row>
    <row r="154" spans="1:10" ht="228.75" x14ac:dyDescent="0.2">
      <c r="A154" s="255" t="s">
        <v>421</v>
      </c>
      <c r="B154" s="255" t="s">
        <v>422</v>
      </c>
      <c r="C154" s="255" t="s">
        <v>420</v>
      </c>
      <c r="D154" s="255" t="s">
        <v>423</v>
      </c>
      <c r="E154" s="279" t="s">
        <v>747</v>
      </c>
      <c r="F154" s="308" t="s">
        <v>746</v>
      </c>
      <c r="G154" s="111">
        <f t="shared" si="32"/>
        <v>271028</v>
      </c>
      <c r="H154" s="111"/>
      <c r="I154" s="153">
        <v>271028</v>
      </c>
      <c r="J154" s="218">
        <v>271028</v>
      </c>
    </row>
    <row r="155" spans="1:10" ht="232.5" x14ac:dyDescent="0.2">
      <c r="A155" s="255" t="s">
        <v>441</v>
      </c>
      <c r="B155" s="255" t="s">
        <v>442</v>
      </c>
      <c r="C155" s="255" t="s">
        <v>420</v>
      </c>
      <c r="D155" s="255" t="s">
        <v>443</v>
      </c>
      <c r="E155" s="111" t="s">
        <v>723</v>
      </c>
      <c r="F155" s="308" t="s">
        <v>727</v>
      </c>
      <c r="G155" s="111">
        <f t="shared" si="32"/>
        <v>470575</v>
      </c>
      <c r="H155" s="111">
        <f>'dod3'!E134</f>
        <v>470575</v>
      </c>
      <c r="I155" s="153">
        <f>'dod3'!J134</f>
        <v>0</v>
      </c>
      <c r="J155" s="218">
        <f>'dod3'!K134</f>
        <v>0</v>
      </c>
    </row>
    <row r="156" spans="1:10" ht="194.25" customHeight="1" x14ac:dyDescent="0.2">
      <c r="A156" s="425" t="s">
        <v>427</v>
      </c>
      <c r="B156" s="425" t="s">
        <v>428</v>
      </c>
      <c r="C156" s="425" t="s">
        <v>420</v>
      </c>
      <c r="D156" s="425" t="s">
        <v>429</v>
      </c>
      <c r="E156" s="111" t="s">
        <v>723</v>
      </c>
      <c r="F156" s="308" t="s">
        <v>727</v>
      </c>
      <c r="G156" s="488">
        <f t="shared" si="32"/>
        <v>141452901</v>
      </c>
      <c r="H156" s="488">
        <f>'dod3'!E135</f>
        <v>119082180</v>
      </c>
      <c r="I156" s="488">
        <f>'dod3'!J135</f>
        <v>22370721</v>
      </c>
      <c r="J156" s="488">
        <f>'dod3'!K135</f>
        <v>22370721</v>
      </c>
    </row>
    <row r="157" spans="1:10" ht="232.5" x14ac:dyDescent="0.2">
      <c r="A157" s="406"/>
      <c r="B157" s="406"/>
      <c r="C157" s="406"/>
      <c r="D157" s="406"/>
      <c r="E157" s="111" t="s">
        <v>939</v>
      </c>
      <c r="F157" s="308" t="s">
        <v>940</v>
      </c>
      <c r="G157" s="406"/>
      <c r="H157" s="406"/>
      <c r="I157" s="406"/>
      <c r="J157" s="406"/>
    </row>
    <row r="158" spans="1:10" ht="232.5" x14ac:dyDescent="0.2">
      <c r="A158" s="255" t="s">
        <v>451</v>
      </c>
      <c r="B158" s="255" t="s">
        <v>452</v>
      </c>
      <c r="C158" s="255" t="s">
        <v>450</v>
      </c>
      <c r="D158" s="255" t="s">
        <v>453</v>
      </c>
      <c r="E158" s="111" t="s">
        <v>723</v>
      </c>
      <c r="F158" s="308" t="s">
        <v>727</v>
      </c>
      <c r="G158" s="111">
        <f t="shared" si="32"/>
        <v>8428600</v>
      </c>
      <c r="H158" s="111">
        <f>'dod3'!E136</f>
        <v>0</v>
      </c>
      <c r="I158" s="153">
        <f>'dod3'!J136</f>
        <v>8428600</v>
      </c>
      <c r="J158" s="218">
        <f>'dod3'!K136</f>
        <v>8428600</v>
      </c>
    </row>
    <row r="159" spans="1:10" ht="232.5" x14ac:dyDescent="0.2">
      <c r="A159" s="255" t="s">
        <v>858</v>
      </c>
      <c r="B159" s="255" t="s">
        <v>569</v>
      </c>
      <c r="C159" s="255" t="s">
        <v>256</v>
      </c>
      <c r="D159" s="255" t="s">
        <v>398</v>
      </c>
      <c r="E159" s="111" t="s">
        <v>723</v>
      </c>
      <c r="F159" s="308" t="s">
        <v>727</v>
      </c>
      <c r="G159" s="111">
        <f t="shared" si="32"/>
        <v>30278000</v>
      </c>
      <c r="H159" s="111">
        <f>'dod3'!E137</f>
        <v>0</v>
      </c>
      <c r="I159" s="153">
        <f>'dod3'!J137</f>
        <v>30278000</v>
      </c>
      <c r="J159" s="218">
        <f>'dod3'!K137</f>
        <v>30278000</v>
      </c>
    </row>
    <row r="160" spans="1:10" ht="232.5" x14ac:dyDescent="0.2">
      <c r="A160" s="255" t="s">
        <v>717</v>
      </c>
      <c r="B160" s="255" t="s">
        <v>718</v>
      </c>
      <c r="C160" s="255" t="s">
        <v>719</v>
      </c>
      <c r="D160" s="255" t="s">
        <v>720</v>
      </c>
      <c r="E160" s="111" t="s">
        <v>723</v>
      </c>
      <c r="F160" s="308" t="s">
        <v>727</v>
      </c>
      <c r="G160" s="111">
        <f t="shared" si="32"/>
        <v>16387634</v>
      </c>
      <c r="H160" s="111">
        <f>'dod3'!E138</f>
        <v>16387634</v>
      </c>
      <c r="I160" s="153">
        <f>'dod3'!J138</f>
        <v>0</v>
      </c>
      <c r="J160" s="218">
        <f>'dod3'!K138</f>
        <v>0</v>
      </c>
    </row>
    <row r="161" spans="1:13" ht="183" x14ac:dyDescent="0.2">
      <c r="A161" s="255" t="s">
        <v>430</v>
      </c>
      <c r="B161" s="255" t="s">
        <v>431</v>
      </c>
      <c r="C161" s="255" t="s">
        <v>433</v>
      </c>
      <c r="D161" s="255" t="s">
        <v>432</v>
      </c>
      <c r="E161" s="325" t="s">
        <v>725</v>
      </c>
      <c r="F161" s="308" t="s">
        <v>730</v>
      </c>
      <c r="G161" s="111">
        <f t="shared" si="32"/>
        <v>25850135</v>
      </c>
      <c r="H161" s="111">
        <f>'dod3'!E139</f>
        <v>25850135</v>
      </c>
      <c r="I161" s="153">
        <f>'dod3'!J139</f>
        <v>0</v>
      </c>
      <c r="J161" s="218">
        <f>'dod3'!K139</f>
        <v>0</v>
      </c>
    </row>
    <row r="162" spans="1:13" ht="232.5" x14ac:dyDescent="0.2">
      <c r="A162" s="255" t="s">
        <v>434</v>
      </c>
      <c r="B162" s="255" t="s">
        <v>435</v>
      </c>
      <c r="C162" s="255" t="s">
        <v>437</v>
      </c>
      <c r="D162" s="255" t="s">
        <v>436</v>
      </c>
      <c r="E162" s="111" t="s">
        <v>723</v>
      </c>
      <c r="F162" s="308" t="s">
        <v>727</v>
      </c>
      <c r="G162" s="111">
        <f t="shared" si="32"/>
        <v>152183444.11000001</v>
      </c>
      <c r="H162" s="111">
        <f>'dod3'!E140</f>
        <v>68735275</v>
      </c>
      <c r="I162" s="153">
        <f>'dod3'!J140</f>
        <v>83448169.109999999</v>
      </c>
      <c r="J162" s="218">
        <f>'dod3'!K140</f>
        <v>83416925.629999995</v>
      </c>
    </row>
    <row r="163" spans="1:13" ht="228.75" x14ac:dyDescent="0.2">
      <c r="A163" s="425" t="s">
        <v>438</v>
      </c>
      <c r="B163" s="425" t="s">
        <v>317</v>
      </c>
      <c r="C163" s="425" t="s">
        <v>318</v>
      </c>
      <c r="D163" s="425" t="s">
        <v>67</v>
      </c>
      <c r="E163" s="212" t="s">
        <v>723</v>
      </c>
      <c r="F163" s="308" t="s">
        <v>727</v>
      </c>
      <c r="G163" s="488">
        <f t="shared" si="32"/>
        <v>250000</v>
      </c>
      <c r="H163" s="488">
        <f>'dod3'!E141</f>
        <v>250000</v>
      </c>
      <c r="I163" s="491"/>
      <c r="J163" s="419"/>
    </row>
    <row r="164" spans="1:13" ht="232.5" x14ac:dyDescent="0.2">
      <c r="A164" s="486"/>
      <c r="B164" s="486"/>
      <c r="C164" s="486"/>
      <c r="D164" s="486"/>
      <c r="E164" s="111" t="s">
        <v>939</v>
      </c>
      <c r="F164" s="308" t="s">
        <v>940</v>
      </c>
      <c r="G164" s="489"/>
      <c r="H164" s="489"/>
      <c r="I164" s="492"/>
      <c r="J164" s="493"/>
    </row>
    <row r="165" spans="1:13" ht="409.5" x14ac:dyDescent="0.2">
      <c r="A165" s="406"/>
      <c r="B165" s="406"/>
      <c r="C165" s="406"/>
      <c r="D165" s="406"/>
      <c r="E165" s="324" t="s">
        <v>729</v>
      </c>
      <c r="F165" s="212" t="s">
        <v>731</v>
      </c>
      <c r="G165" s="406"/>
      <c r="H165" s="406"/>
      <c r="I165" s="406"/>
      <c r="J165" s="406"/>
    </row>
    <row r="166" spans="1:13" ht="114" hidden="1" customHeight="1" x14ac:dyDescent="0.2">
      <c r="A166" s="255"/>
      <c r="B166" s="255"/>
      <c r="C166" s="255"/>
      <c r="D166" s="255"/>
      <c r="E166" s="212"/>
      <c r="F166" s="212"/>
      <c r="G166" s="407">
        <f>H167+I167</f>
        <v>1000000</v>
      </c>
      <c r="H166" s="111"/>
      <c r="I166" s="153"/>
      <c r="J166" s="218"/>
    </row>
    <row r="167" spans="1:13" ht="409.5" x14ac:dyDescent="0.2">
      <c r="A167" s="425" t="s">
        <v>438</v>
      </c>
      <c r="B167" s="425" t="s">
        <v>317</v>
      </c>
      <c r="C167" s="425" t="s">
        <v>318</v>
      </c>
      <c r="D167" s="425" t="s">
        <v>67</v>
      </c>
      <c r="E167" s="308" t="s">
        <v>732</v>
      </c>
      <c r="F167" s="212" t="s">
        <v>811</v>
      </c>
      <c r="G167" s="499"/>
      <c r="H167" s="407"/>
      <c r="I167" s="407">
        <v>1000000</v>
      </c>
      <c r="J167" s="407">
        <v>1000000</v>
      </c>
    </row>
    <row r="168" spans="1:13" ht="232.5" x14ac:dyDescent="0.2">
      <c r="A168" s="406"/>
      <c r="B168" s="406"/>
      <c r="C168" s="406"/>
      <c r="D168" s="406"/>
      <c r="E168" s="111" t="s">
        <v>939</v>
      </c>
      <c r="F168" s="308" t="s">
        <v>940</v>
      </c>
      <c r="G168" s="423"/>
      <c r="H168" s="499"/>
      <c r="I168" s="499"/>
      <c r="J168" s="499"/>
    </row>
    <row r="169" spans="1:13" ht="409.6" customHeight="1" x14ac:dyDescent="0.2">
      <c r="A169" s="425" t="s">
        <v>438</v>
      </c>
      <c r="B169" s="425" t="s">
        <v>317</v>
      </c>
      <c r="C169" s="425" t="s">
        <v>318</v>
      </c>
      <c r="D169" s="425" t="s">
        <v>67</v>
      </c>
      <c r="E169" s="323" t="s">
        <v>726</v>
      </c>
      <c r="F169" s="308" t="s">
        <v>812</v>
      </c>
      <c r="G169" s="407">
        <f>H169+I169</f>
        <v>250000</v>
      </c>
      <c r="H169" s="407"/>
      <c r="I169" s="407">
        <v>250000</v>
      </c>
      <c r="J169" s="407">
        <v>250000</v>
      </c>
    </row>
    <row r="170" spans="1:13" ht="232.5" x14ac:dyDescent="0.2">
      <c r="A170" s="406"/>
      <c r="B170" s="406"/>
      <c r="C170" s="406"/>
      <c r="D170" s="406"/>
      <c r="E170" s="111" t="s">
        <v>939</v>
      </c>
      <c r="F170" s="308" t="s">
        <v>940</v>
      </c>
      <c r="G170" s="499"/>
      <c r="H170" s="499"/>
      <c r="I170" s="499"/>
      <c r="J170" s="499"/>
    </row>
    <row r="171" spans="1:13" ht="232.5" x14ac:dyDescent="0.2">
      <c r="A171" s="255" t="s">
        <v>455</v>
      </c>
      <c r="B171" s="255" t="s">
        <v>293</v>
      </c>
      <c r="C171" s="255" t="s">
        <v>256</v>
      </c>
      <c r="D171" s="255" t="s">
        <v>57</v>
      </c>
      <c r="E171" s="111" t="s">
        <v>723</v>
      </c>
      <c r="F171" s="308" t="s">
        <v>727</v>
      </c>
      <c r="G171" s="111">
        <f>H171+I171</f>
        <v>40940992.68</v>
      </c>
      <c r="H171" s="111">
        <f>'dod3'!E142</f>
        <v>0</v>
      </c>
      <c r="I171" s="153">
        <f>'dod3'!J142</f>
        <v>40940992.68</v>
      </c>
      <c r="J171" s="218">
        <f>'dod3'!K142</f>
        <v>40940992.68</v>
      </c>
    </row>
    <row r="172" spans="1:13" ht="232.5" x14ac:dyDescent="0.2">
      <c r="A172" s="255" t="s">
        <v>439</v>
      </c>
      <c r="B172" s="255" t="s">
        <v>440</v>
      </c>
      <c r="C172" s="255" t="s">
        <v>387</v>
      </c>
      <c r="D172" s="255" t="s">
        <v>537</v>
      </c>
      <c r="E172" s="111" t="s">
        <v>723</v>
      </c>
      <c r="F172" s="308" t="s">
        <v>727</v>
      </c>
      <c r="G172" s="111">
        <f>H172+I172</f>
        <v>0</v>
      </c>
      <c r="H172" s="111"/>
      <c r="I172" s="153">
        <f t="shared" ref="I172" si="33">J172</f>
        <v>0</v>
      </c>
      <c r="J172" s="256"/>
    </row>
    <row r="173" spans="1:13" ht="409.5" x14ac:dyDescent="0.2">
      <c r="A173" s="255" t="s">
        <v>385</v>
      </c>
      <c r="B173" s="255" t="s">
        <v>386</v>
      </c>
      <c r="C173" s="255" t="s">
        <v>387</v>
      </c>
      <c r="D173" s="255" t="s">
        <v>384</v>
      </c>
      <c r="E173" s="308" t="s">
        <v>801</v>
      </c>
      <c r="F173" s="308" t="s">
        <v>733</v>
      </c>
      <c r="G173" s="111">
        <f>H173+I173</f>
        <v>1250990</v>
      </c>
      <c r="H173" s="111">
        <f>'dod3'!E145</f>
        <v>1250990</v>
      </c>
      <c r="I173" s="153">
        <f>'dod3'!J145</f>
        <v>0</v>
      </c>
      <c r="J173" s="218">
        <f>'dod3'!K145</f>
        <v>0</v>
      </c>
    </row>
    <row r="174" spans="1:13" ht="315" x14ac:dyDescent="0.2">
      <c r="A174" s="281" t="s">
        <v>44</v>
      </c>
      <c r="B174" s="281"/>
      <c r="C174" s="281"/>
      <c r="D174" s="281" t="s">
        <v>632</v>
      </c>
      <c r="E174" s="287"/>
      <c r="F174" s="287"/>
      <c r="G174" s="287">
        <f>G175</f>
        <v>81674300</v>
      </c>
      <c r="H174" s="287">
        <f>H175</f>
        <v>610700</v>
      </c>
      <c r="I174" s="287">
        <f>I175</f>
        <v>81063600</v>
      </c>
      <c r="J174" s="287">
        <f>J175</f>
        <v>81063600</v>
      </c>
    </row>
    <row r="175" spans="1:13" ht="270" x14ac:dyDescent="0.2">
      <c r="A175" s="284" t="s">
        <v>45</v>
      </c>
      <c r="B175" s="284"/>
      <c r="C175" s="284"/>
      <c r="D175" s="284" t="s">
        <v>631</v>
      </c>
      <c r="E175" s="286"/>
      <c r="F175" s="286"/>
      <c r="G175" s="286">
        <f>G179+G180+G181+G177+G178+G182+G176</f>
        <v>81674300</v>
      </c>
      <c r="H175" s="286">
        <f>H179+H180+H181+H177+H178+H182+H176</f>
        <v>610700</v>
      </c>
      <c r="I175" s="286">
        <f>I179+I180+I181+I177+I178+I182+I176</f>
        <v>81063600</v>
      </c>
      <c r="J175" s="286">
        <f>J179+J180+J181+J177+J178+J182+J176</f>
        <v>81063600</v>
      </c>
      <c r="K175" s="195" t="b">
        <f>H175='dod3'!E147-'dod3'!E148+55000</f>
        <v>1</v>
      </c>
      <c r="L175" s="195" t="b">
        <f>I175='dod3'!J147</f>
        <v>1</v>
      </c>
      <c r="M175" s="196" t="b">
        <f>J175='dod3'!K147</f>
        <v>1</v>
      </c>
    </row>
    <row r="176" spans="1:13" ht="228.75" x14ac:dyDescent="0.2">
      <c r="A176" s="255" t="s">
        <v>734</v>
      </c>
      <c r="B176" s="255" t="s">
        <v>341</v>
      </c>
      <c r="C176" s="255" t="s">
        <v>339</v>
      </c>
      <c r="D176" s="255" t="s">
        <v>340</v>
      </c>
      <c r="E176" s="279" t="s">
        <v>741</v>
      </c>
      <c r="F176" s="218" t="s">
        <v>740</v>
      </c>
      <c r="G176" s="218">
        <f>H176+I176</f>
        <v>65400</v>
      </c>
      <c r="H176" s="218">
        <v>55000</v>
      </c>
      <c r="I176" s="218">
        <v>10400</v>
      </c>
      <c r="J176" s="218">
        <v>10400</v>
      </c>
      <c r="K176" s="337"/>
      <c r="L176" s="337"/>
      <c r="M176" s="336"/>
    </row>
    <row r="177" spans="1:13" ht="137.25" x14ac:dyDescent="0.2">
      <c r="A177" s="255" t="s">
        <v>831</v>
      </c>
      <c r="B177" s="255" t="s">
        <v>71</v>
      </c>
      <c r="C177" s="255" t="s">
        <v>70</v>
      </c>
      <c r="D177" s="255" t="s">
        <v>354</v>
      </c>
      <c r="E177" s="279" t="s">
        <v>809</v>
      </c>
      <c r="F177" s="280" t="s">
        <v>810</v>
      </c>
      <c r="G177" s="218">
        <f>H177+I177</f>
        <v>555700</v>
      </c>
      <c r="H177" s="218">
        <f>'dod3'!E149</f>
        <v>555700</v>
      </c>
      <c r="I177" s="218">
        <f>'dod3'!J149</f>
        <v>0</v>
      </c>
      <c r="J177" s="218">
        <f>'dod3'!K149</f>
        <v>0</v>
      </c>
    </row>
    <row r="178" spans="1:13" ht="320.25" x14ac:dyDescent="0.2">
      <c r="A178" s="255" t="s">
        <v>836</v>
      </c>
      <c r="B178" s="255" t="s">
        <v>838</v>
      </c>
      <c r="C178" s="255" t="s">
        <v>291</v>
      </c>
      <c r="D178" s="255" t="s">
        <v>837</v>
      </c>
      <c r="E178" s="279" t="s">
        <v>809</v>
      </c>
      <c r="F178" s="280" t="s">
        <v>810</v>
      </c>
      <c r="G178" s="218">
        <f>H178+I178</f>
        <v>28287000</v>
      </c>
      <c r="H178" s="218">
        <f>'dod3'!E150</f>
        <v>0</v>
      </c>
      <c r="I178" s="218">
        <f>'dod3'!J150</f>
        <v>28287000</v>
      </c>
      <c r="J178" s="218">
        <f>'dod3'!K150</f>
        <v>28287000</v>
      </c>
    </row>
    <row r="179" spans="1:13" ht="137.25" x14ac:dyDescent="0.2">
      <c r="A179" s="374" t="s">
        <v>469</v>
      </c>
      <c r="B179" s="374" t="s">
        <v>470</v>
      </c>
      <c r="C179" s="374" t="s">
        <v>450</v>
      </c>
      <c r="D179" s="374" t="s">
        <v>468</v>
      </c>
      <c r="E179" s="279" t="s">
        <v>809</v>
      </c>
      <c r="F179" s="280" t="s">
        <v>810</v>
      </c>
      <c r="G179" s="218">
        <f>I179</f>
        <v>20100000</v>
      </c>
      <c r="H179" s="218"/>
      <c r="I179" s="218">
        <f>'dod3'!J151</f>
        <v>20100000</v>
      </c>
      <c r="J179" s="335">
        <f>I179</f>
        <v>20100000</v>
      </c>
    </row>
    <row r="180" spans="1:13" ht="137.25" x14ac:dyDescent="0.2">
      <c r="A180" s="374" t="s">
        <v>471</v>
      </c>
      <c r="B180" s="374" t="s">
        <v>472</v>
      </c>
      <c r="C180" s="374" t="s">
        <v>450</v>
      </c>
      <c r="D180" s="374" t="s">
        <v>473</v>
      </c>
      <c r="E180" s="279" t="s">
        <v>809</v>
      </c>
      <c r="F180" s="280" t="s">
        <v>810</v>
      </c>
      <c r="G180" s="218">
        <f t="shared" ref="G180:G181" si="34">I180</f>
        <v>500000</v>
      </c>
      <c r="H180" s="218"/>
      <c r="I180" s="218">
        <f>'dod3'!J152</f>
        <v>500000</v>
      </c>
      <c r="J180" s="335">
        <f>I180</f>
        <v>500000</v>
      </c>
    </row>
    <row r="181" spans="1:13" ht="137.25" x14ac:dyDescent="0.2">
      <c r="A181" s="255" t="s">
        <v>474</v>
      </c>
      <c r="B181" s="255" t="s">
        <v>475</v>
      </c>
      <c r="C181" s="255" t="s">
        <v>450</v>
      </c>
      <c r="D181" s="255" t="s">
        <v>804</v>
      </c>
      <c r="E181" s="279" t="s">
        <v>809</v>
      </c>
      <c r="F181" s="280" t="s">
        <v>810</v>
      </c>
      <c r="G181" s="218">
        <f t="shared" si="34"/>
        <v>11166200</v>
      </c>
      <c r="H181" s="218"/>
      <c r="I181" s="218">
        <f>'dod3'!J153</f>
        <v>11166200</v>
      </c>
      <c r="J181" s="218">
        <f>I181</f>
        <v>11166200</v>
      </c>
    </row>
    <row r="182" spans="1:13" ht="137.25" x14ac:dyDescent="0.2">
      <c r="A182" s="255" t="s">
        <v>948</v>
      </c>
      <c r="B182" s="255" t="s">
        <v>569</v>
      </c>
      <c r="C182" s="255" t="s">
        <v>256</v>
      </c>
      <c r="D182" s="255" t="s">
        <v>398</v>
      </c>
      <c r="E182" s="279" t="s">
        <v>809</v>
      </c>
      <c r="F182" s="280" t="s">
        <v>810</v>
      </c>
      <c r="G182" s="218">
        <f>H182+I182</f>
        <v>21000000</v>
      </c>
      <c r="H182" s="218">
        <f>'dod3'!E154</f>
        <v>0</v>
      </c>
      <c r="I182" s="218">
        <f>'dod3'!J154</f>
        <v>21000000</v>
      </c>
      <c r="J182" s="218">
        <f>'dod3'!K154</f>
        <v>21000000</v>
      </c>
    </row>
    <row r="183" spans="1:13" ht="270" x14ac:dyDescent="0.2">
      <c r="A183" s="281" t="s">
        <v>246</v>
      </c>
      <c r="B183" s="281"/>
      <c r="C183" s="281"/>
      <c r="D183" s="281" t="s">
        <v>864</v>
      </c>
      <c r="E183" s="287"/>
      <c r="F183" s="287"/>
      <c r="G183" s="287">
        <f>G184</f>
        <v>555000</v>
      </c>
      <c r="H183" s="287">
        <f t="shared" ref="H183:J183" si="35">H184</f>
        <v>55000</v>
      </c>
      <c r="I183" s="287">
        <f t="shared" si="35"/>
        <v>500000</v>
      </c>
      <c r="J183" s="287">
        <f t="shared" si="35"/>
        <v>500000</v>
      </c>
    </row>
    <row r="184" spans="1:13" ht="270" x14ac:dyDescent="0.2">
      <c r="A184" s="284" t="s">
        <v>247</v>
      </c>
      <c r="B184" s="284"/>
      <c r="C184" s="284"/>
      <c r="D184" s="284" t="s">
        <v>865</v>
      </c>
      <c r="E184" s="286"/>
      <c r="F184" s="286"/>
      <c r="G184" s="286">
        <f>G186+G185</f>
        <v>555000</v>
      </c>
      <c r="H184" s="286">
        <f t="shared" ref="H184:J184" si="36">H186+H185</f>
        <v>55000</v>
      </c>
      <c r="I184" s="286">
        <f t="shared" si="36"/>
        <v>500000</v>
      </c>
      <c r="J184" s="286">
        <f t="shared" si="36"/>
        <v>500000</v>
      </c>
      <c r="K184" s="195" t="b">
        <f>H184='dod3'!E156-'dod3'!E157+55000</f>
        <v>1</v>
      </c>
      <c r="L184" s="195" t="b">
        <f>I184='dod3'!J156</f>
        <v>1</v>
      </c>
      <c r="M184" s="196" t="b">
        <f>J184='dod3'!K156</f>
        <v>1</v>
      </c>
    </row>
    <row r="185" spans="1:13" ht="228.75" x14ac:dyDescent="0.2">
      <c r="A185" s="255" t="s">
        <v>736</v>
      </c>
      <c r="B185" s="255" t="s">
        <v>341</v>
      </c>
      <c r="C185" s="255" t="s">
        <v>339</v>
      </c>
      <c r="D185" s="255" t="s">
        <v>340</v>
      </c>
      <c r="E185" s="279" t="s">
        <v>741</v>
      </c>
      <c r="F185" s="218" t="s">
        <v>740</v>
      </c>
      <c r="G185" s="218">
        <f>H185+I185</f>
        <v>55000</v>
      </c>
      <c r="H185" s="218">
        <v>55000</v>
      </c>
      <c r="I185" s="218"/>
      <c r="J185" s="218"/>
    </row>
    <row r="186" spans="1:13" ht="180.75" customHeight="1" x14ac:dyDescent="0.2">
      <c r="A186" s="255" t="s">
        <v>460</v>
      </c>
      <c r="B186" s="255" t="s">
        <v>461</v>
      </c>
      <c r="C186" s="255" t="s">
        <v>450</v>
      </c>
      <c r="D186" s="255" t="s">
        <v>462</v>
      </c>
      <c r="E186" s="279" t="s">
        <v>809</v>
      </c>
      <c r="F186" s="280" t="s">
        <v>810</v>
      </c>
      <c r="G186" s="218">
        <f>H186+I186</f>
        <v>500000</v>
      </c>
      <c r="H186" s="256"/>
      <c r="I186" s="218">
        <f>'dod3'!J158</f>
        <v>500000</v>
      </c>
      <c r="J186" s="218">
        <f>'dod3'!K158</f>
        <v>500000</v>
      </c>
    </row>
    <row r="187" spans="1:13" ht="135" x14ac:dyDescent="0.2">
      <c r="A187" s="281" t="s">
        <v>252</v>
      </c>
      <c r="B187" s="281"/>
      <c r="C187" s="281"/>
      <c r="D187" s="281" t="s">
        <v>574</v>
      </c>
      <c r="E187" s="287"/>
      <c r="F187" s="286"/>
      <c r="G187" s="287">
        <f>G188</f>
        <v>8339845</v>
      </c>
      <c r="H187" s="287">
        <f t="shared" ref="H187:J187" si="37">H188</f>
        <v>5969845</v>
      </c>
      <c r="I187" s="287">
        <f t="shared" si="37"/>
        <v>2370000</v>
      </c>
      <c r="J187" s="287">
        <f t="shared" si="37"/>
        <v>2370000</v>
      </c>
      <c r="K187" s="195" t="b">
        <f>H187='dod3'!E160</f>
        <v>1</v>
      </c>
      <c r="L187" s="195" t="b">
        <f>I187='dod3'!J160</f>
        <v>1</v>
      </c>
      <c r="M187" s="196" t="b">
        <f>J187='dod3'!K160</f>
        <v>1</v>
      </c>
    </row>
    <row r="188" spans="1:13" ht="135" x14ac:dyDescent="0.2">
      <c r="A188" s="284" t="s">
        <v>253</v>
      </c>
      <c r="B188" s="284"/>
      <c r="C188" s="284"/>
      <c r="D188" s="284" t="s">
        <v>575</v>
      </c>
      <c r="E188" s="286"/>
      <c r="F188" s="286"/>
      <c r="G188" s="286">
        <f>SUM(G189:G195)</f>
        <v>8339845</v>
      </c>
      <c r="H188" s="286">
        <f t="shared" ref="H188:J188" si="38">SUM(H189:H195)</f>
        <v>5969845</v>
      </c>
      <c r="I188" s="286">
        <f t="shared" si="38"/>
        <v>2370000</v>
      </c>
      <c r="J188" s="286">
        <f t="shared" si="38"/>
        <v>2370000</v>
      </c>
    </row>
    <row r="189" spans="1:13" ht="183" hidden="1" x14ac:dyDescent="0.2">
      <c r="A189" s="255" t="s">
        <v>568</v>
      </c>
      <c r="B189" s="255" t="s">
        <v>569</v>
      </c>
      <c r="C189" s="255" t="s">
        <v>256</v>
      </c>
      <c r="D189" s="255" t="s">
        <v>398</v>
      </c>
      <c r="E189" s="279" t="s">
        <v>747</v>
      </c>
      <c r="F189" s="308" t="s">
        <v>746</v>
      </c>
      <c r="G189" s="111">
        <f t="shared" ref="G189:G192" si="39">H189+I189</f>
        <v>0</v>
      </c>
      <c r="H189" s="218">
        <v>0</v>
      </c>
      <c r="I189" s="218">
        <f>(2000000)-2000000</f>
        <v>0</v>
      </c>
      <c r="J189" s="218">
        <f>(2000000)-2000000</f>
        <v>0</v>
      </c>
      <c r="K189" s="195" t="e">
        <f>H189+#REF!='dod3'!E161</f>
        <v>#REF!</v>
      </c>
      <c r="L189" s="195" t="e">
        <f>I189+#REF!='dod3'!J161</f>
        <v>#REF!</v>
      </c>
      <c r="M189" s="196" t="e">
        <f>J189+#REF!='dod3'!K161</f>
        <v>#REF!</v>
      </c>
    </row>
    <row r="190" spans="1:13" ht="137.25" x14ac:dyDescent="0.2">
      <c r="A190" s="255" t="s">
        <v>396</v>
      </c>
      <c r="B190" s="255" t="s">
        <v>397</v>
      </c>
      <c r="C190" s="255" t="s">
        <v>395</v>
      </c>
      <c r="D190" s="255" t="s">
        <v>394</v>
      </c>
      <c r="E190" s="279" t="s">
        <v>813</v>
      </c>
      <c r="F190" s="308" t="s">
        <v>814</v>
      </c>
      <c r="G190" s="111">
        <f>H190+I190</f>
        <v>3247649.48</v>
      </c>
      <c r="H190" s="218">
        <f>((2456650)-200000+828350)-37350.52</f>
        <v>3047649.48</v>
      </c>
      <c r="I190" s="218">
        <v>200000</v>
      </c>
      <c r="J190" s="218">
        <v>200000</v>
      </c>
      <c r="K190" s="195" t="b">
        <f>H190+H191='dod3'!E162</f>
        <v>1</v>
      </c>
      <c r="L190" s="195" t="b">
        <f>I190+I191='dod3'!J162</f>
        <v>1</v>
      </c>
      <c r="M190" s="196" t="b">
        <f>J190+J191='dod3'!K162</f>
        <v>1</v>
      </c>
    </row>
    <row r="191" spans="1:13" ht="137.25" x14ac:dyDescent="0.2">
      <c r="A191" s="255" t="s">
        <v>396</v>
      </c>
      <c r="B191" s="255" t="s">
        <v>397</v>
      </c>
      <c r="C191" s="255" t="s">
        <v>395</v>
      </c>
      <c r="D191" s="255" t="s">
        <v>394</v>
      </c>
      <c r="E191" s="279" t="s">
        <v>601</v>
      </c>
      <c r="F191" s="308" t="s">
        <v>748</v>
      </c>
      <c r="G191" s="111">
        <f t="shared" si="39"/>
        <v>770000</v>
      </c>
      <c r="H191" s="218">
        <f>(200000)-100000</f>
        <v>100000</v>
      </c>
      <c r="I191" s="218">
        <f>(570000)+100000</f>
        <v>670000</v>
      </c>
      <c r="J191" s="218">
        <f>(570000)+100000</f>
        <v>670000</v>
      </c>
    </row>
    <row r="192" spans="1:13" ht="186" x14ac:dyDescent="0.2">
      <c r="A192" s="255" t="s">
        <v>388</v>
      </c>
      <c r="B192" s="255" t="s">
        <v>390</v>
      </c>
      <c r="C192" s="255" t="s">
        <v>318</v>
      </c>
      <c r="D192" s="255" t="s">
        <v>389</v>
      </c>
      <c r="E192" s="218" t="s">
        <v>749</v>
      </c>
      <c r="F192" s="308" t="s">
        <v>750</v>
      </c>
      <c r="G192" s="111">
        <f t="shared" si="39"/>
        <v>420000</v>
      </c>
      <c r="H192" s="218">
        <v>420000</v>
      </c>
      <c r="I192" s="218">
        <v>0</v>
      </c>
      <c r="J192" s="218">
        <v>0</v>
      </c>
      <c r="K192" s="195" t="b">
        <f>H192='dod3'!E163</f>
        <v>1</v>
      </c>
      <c r="L192" s="195" t="b">
        <f>I192='dod3'!J163</f>
        <v>1</v>
      </c>
      <c r="M192" s="196" t="b">
        <f>J192='dod3'!K163</f>
        <v>1</v>
      </c>
    </row>
    <row r="193" spans="1:13" ht="232.5" x14ac:dyDescent="0.2">
      <c r="A193" s="255" t="s">
        <v>392</v>
      </c>
      <c r="B193" s="255" t="s">
        <v>393</v>
      </c>
      <c r="C193" s="255" t="s">
        <v>256</v>
      </c>
      <c r="D193" s="255" t="s">
        <v>391</v>
      </c>
      <c r="E193" s="218" t="s">
        <v>815</v>
      </c>
      <c r="F193" s="308" t="s">
        <v>816</v>
      </c>
      <c r="G193" s="111">
        <f t="shared" ref="G193:G195" si="40">H193+I193</f>
        <v>1794000</v>
      </c>
      <c r="H193" s="218">
        <v>1794000</v>
      </c>
      <c r="I193" s="218">
        <v>0</v>
      </c>
      <c r="J193" s="218">
        <v>0</v>
      </c>
      <c r="K193" s="195" t="b">
        <f>'dod3'!E164=H193+H194</f>
        <v>1</v>
      </c>
      <c r="L193" s="195" t="b">
        <f>'dod3'!J164=I193+I194</f>
        <v>1</v>
      </c>
      <c r="M193" s="367" t="b">
        <f>'dod3'!K164=J193+J194</f>
        <v>1</v>
      </c>
    </row>
    <row r="194" spans="1:13" ht="186" x14ac:dyDescent="0.2">
      <c r="A194" s="255" t="s">
        <v>392</v>
      </c>
      <c r="B194" s="255" t="s">
        <v>393</v>
      </c>
      <c r="C194" s="255" t="s">
        <v>256</v>
      </c>
      <c r="D194" s="255" t="s">
        <v>391</v>
      </c>
      <c r="E194" s="218" t="s">
        <v>904</v>
      </c>
      <c r="F194" s="308" t="s">
        <v>903</v>
      </c>
      <c r="G194" s="111">
        <f t="shared" si="40"/>
        <v>808195.52</v>
      </c>
      <c r="H194" s="218">
        <f>(800000-100000)+37350.52-129155</f>
        <v>608195.52</v>
      </c>
      <c r="I194" s="218">
        <v>200000</v>
      </c>
      <c r="J194" s="218">
        <v>200000</v>
      </c>
      <c r="K194" s="195"/>
      <c r="L194" s="195"/>
      <c r="M194" s="196"/>
    </row>
    <row r="195" spans="1:13" ht="137.25" x14ac:dyDescent="0.2">
      <c r="A195" s="255" t="s">
        <v>919</v>
      </c>
      <c r="B195" s="255" t="s">
        <v>598</v>
      </c>
      <c r="C195" s="255" t="s">
        <v>71</v>
      </c>
      <c r="D195" s="255" t="s">
        <v>599</v>
      </c>
      <c r="E195" s="279" t="s">
        <v>809</v>
      </c>
      <c r="F195" s="280" t="s">
        <v>810</v>
      </c>
      <c r="G195" s="111">
        <f t="shared" si="40"/>
        <v>1300000</v>
      </c>
      <c r="H195" s="218"/>
      <c r="I195" s="218">
        <f>500000+800000</f>
        <v>1300000</v>
      </c>
      <c r="J195" s="218">
        <f>500000+800000</f>
        <v>1300000</v>
      </c>
      <c r="K195" s="195" t="b">
        <f>H195='dod3'!E165</f>
        <v>1</v>
      </c>
      <c r="L195" s="195" t="b">
        <f>I195='dod3'!J165</f>
        <v>1</v>
      </c>
      <c r="M195" s="367" t="b">
        <f>J195='dod3'!K165</f>
        <v>1</v>
      </c>
    </row>
    <row r="196" spans="1:13" ht="180" x14ac:dyDescent="0.2">
      <c r="A196" s="281" t="s">
        <v>250</v>
      </c>
      <c r="B196" s="281"/>
      <c r="C196" s="281"/>
      <c r="D196" s="281" t="s">
        <v>862</v>
      </c>
      <c r="E196" s="287"/>
      <c r="F196" s="287"/>
      <c r="G196" s="287">
        <f>G197</f>
        <v>1025905.96</v>
      </c>
      <c r="H196" s="287">
        <f t="shared" ref="H196:J196" si="41">H197</f>
        <v>35000</v>
      </c>
      <c r="I196" s="287">
        <f t="shared" si="41"/>
        <v>990905.96</v>
      </c>
      <c r="J196" s="287">
        <f t="shared" si="41"/>
        <v>0</v>
      </c>
      <c r="K196" s="195" t="b">
        <f>H196='dod3'!E167-'dod3'!E168+35000</f>
        <v>1</v>
      </c>
      <c r="L196" s="195" t="b">
        <f>I196='dod3'!J167</f>
        <v>1</v>
      </c>
      <c r="M196" s="196" t="b">
        <f>J196='dod3'!K167</f>
        <v>1</v>
      </c>
    </row>
    <row r="197" spans="1:13" ht="225" x14ac:dyDescent="0.2">
      <c r="A197" s="284" t="s">
        <v>251</v>
      </c>
      <c r="B197" s="284"/>
      <c r="C197" s="284"/>
      <c r="D197" s="284" t="s">
        <v>863</v>
      </c>
      <c r="E197" s="286"/>
      <c r="F197" s="286"/>
      <c r="G197" s="286">
        <f>SUM(G198:G201)</f>
        <v>1025905.96</v>
      </c>
      <c r="H197" s="286">
        <f>SUM(H198:H201)</f>
        <v>35000</v>
      </c>
      <c r="I197" s="286">
        <f t="shared" ref="I197:J197" si="42">SUM(I198:I201)</f>
        <v>990905.96</v>
      </c>
      <c r="J197" s="286">
        <f t="shared" si="42"/>
        <v>0</v>
      </c>
    </row>
    <row r="198" spans="1:13" ht="228.75" x14ac:dyDescent="0.2">
      <c r="A198" s="255" t="s">
        <v>739</v>
      </c>
      <c r="B198" s="255" t="s">
        <v>341</v>
      </c>
      <c r="C198" s="255" t="s">
        <v>339</v>
      </c>
      <c r="D198" s="255" t="s">
        <v>340</v>
      </c>
      <c r="E198" s="279" t="s">
        <v>741</v>
      </c>
      <c r="F198" s="218" t="s">
        <v>740</v>
      </c>
      <c r="G198" s="218">
        <f>H198+I198</f>
        <v>35000</v>
      </c>
      <c r="H198" s="218">
        <v>35000</v>
      </c>
      <c r="I198" s="218"/>
      <c r="J198" s="218"/>
    </row>
    <row r="199" spans="1:13" ht="137.25" x14ac:dyDescent="0.2">
      <c r="A199" s="255" t="s">
        <v>463</v>
      </c>
      <c r="B199" s="255" t="s">
        <v>464</v>
      </c>
      <c r="C199" s="255" t="s">
        <v>81</v>
      </c>
      <c r="D199" s="255" t="s">
        <v>82</v>
      </c>
      <c r="E199" s="279" t="s">
        <v>754</v>
      </c>
      <c r="F199" s="308" t="s">
        <v>755</v>
      </c>
      <c r="G199" s="111">
        <f t="shared" ref="G199:G201" si="43">H199+I199</f>
        <v>834616</v>
      </c>
      <c r="H199" s="218">
        <f>'dod3'!E169</f>
        <v>0</v>
      </c>
      <c r="I199" s="218">
        <f>'dod3'!J169</f>
        <v>834616</v>
      </c>
      <c r="J199" s="335">
        <f>'dod3'!K169</f>
        <v>0</v>
      </c>
    </row>
    <row r="200" spans="1:13" ht="137.25" x14ac:dyDescent="0.2">
      <c r="A200" s="255" t="s">
        <v>821</v>
      </c>
      <c r="B200" s="255" t="s">
        <v>822</v>
      </c>
      <c r="C200" s="255" t="s">
        <v>845</v>
      </c>
      <c r="D200" s="255" t="s">
        <v>844</v>
      </c>
      <c r="E200" s="279" t="s">
        <v>754</v>
      </c>
      <c r="F200" s="308" t="s">
        <v>755</v>
      </c>
      <c r="G200" s="111">
        <f>H200+I200</f>
        <v>56289.96</v>
      </c>
      <c r="H200" s="218">
        <f>'dod3'!E170</f>
        <v>0</v>
      </c>
      <c r="I200" s="218">
        <f>'dod3'!J170</f>
        <v>56289.96</v>
      </c>
      <c r="J200" s="335">
        <f>'dod3'!K170</f>
        <v>0</v>
      </c>
    </row>
    <row r="201" spans="1:13" ht="137.25" x14ac:dyDescent="0.2">
      <c r="A201" s="255" t="s">
        <v>465</v>
      </c>
      <c r="B201" s="255" t="s">
        <v>466</v>
      </c>
      <c r="C201" s="255" t="s">
        <v>83</v>
      </c>
      <c r="D201" s="255" t="s">
        <v>467</v>
      </c>
      <c r="E201" s="279" t="s">
        <v>754</v>
      </c>
      <c r="F201" s="308" t="s">
        <v>755</v>
      </c>
      <c r="G201" s="111">
        <f t="shared" si="43"/>
        <v>100000</v>
      </c>
      <c r="H201" s="218">
        <f>'dod3'!E171</f>
        <v>0</v>
      </c>
      <c r="I201" s="218">
        <f>'dod3'!J171</f>
        <v>100000</v>
      </c>
      <c r="J201" s="335">
        <f>'dod3'!K171</f>
        <v>0</v>
      </c>
    </row>
    <row r="202" spans="1:13" ht="270" x14ac:dyDescent="0.2">
      <c r="A202" s="281" t="s">
        <v>248</v>
      </c>
      <c r="B202" s="281"/>
      <c r="C202" s="281"/>
      <c r="D202" s="281" t="s">
        <v>866</v>
      </c>
      <c r="E202" s="287"/>
      <c r="F202" s="286"/>
      <c r="G202" s="287">
        <f>G203</f>
        <v>555000</v>
      </c>
      <c r="H202" s="287">
        <f t="shared" ref="H202:J202" si="44">H203</f>
        <v>55000</v>
      </c>
      <c r="I202" s="287">
        <f t="shared" si="44"/>
        <v>500000</v>
      </c>
      <c r="J202" s="287">
        <f t="shared" si="44"/>
        <v>500000</v>
      </c>
      <c r="K202" s="195" t="b">
        <f>H202='dod3'!E173-'dod3'!E174+55000</f>
        <v>1</v>
      </c>
      <c r="L202" s="195" t="b">
        <f>I202='dod3'!J173</f>
        <v>1</v>
      </c>
      <c r="M202" s="196" t="b">
        <f>J202='dod3'!K173</f>
        <v>1</v>
      </c>
    </row>
    <row r="203" spans="1:13" ht="315" x14ac:dyDescent="0.2">
      <c r="A203" s="284" t="s">
        <v>249</v>
      </c>
      <c r="B203" s="284"/>
      <c r="C203" s="284"/>
      <c r="D203" s="284" t="s">
        <v>867</v>
      </c>
      <c r="E203" s="286"/>
      <c r="F203" s="286"/>
      <c r="G203" s="286">
        <f>SUM(G204:G206)</f>
        <v>555000</v>
      </c>
      <c r="H203" s="286">
        <f t="shared" ref="H203:J203" si="45">SUM(H204:H206)</f>
        <v>55000</v>
      </c>
      <c r="I203" s="286">
        <f t="shared" si="45"/>
        <v>500000</v>
      </c>
      <c r="J203" s="286">
        <f t="shared" si="45"/>
        <v>500000</v>
      </c>
    </row>
    <row r="204" spans="1:13" ht="228.75" x14ac:dyDescent="0.2">
      <c r="A204" s="255" t="s">
        <v>735</v>
      </c>
      <c r="B204" s="255" t="s">
        <v>341</v>
      </c>
      <c r="C204" s="255" t="s">
        <v>339</v>
      </c>
      <c r="D204" s="255" t="s">
        <v>340</v>
      </c>
      <c r="E204" s="279" t="s">
        <v>741</v>
      </c>
      <c r="F204" s="218" t="s">
        <v>740</v>
      </c>
      <c r="G204" s="218">
        <f>H204+I204</f>
        <v>55000</v>
      </c>
      <c r="H204" s="218">
        <v>55000</v>
      </c>
      <c r="I204" s="218"/>
      <c r="J204" s="218"/>
    </row>
    <row r="205" spans="1:13" ht="137.25" x14ac:dyDescent="0.2">
      <c r="A205" s="255" t="s">
        <v>457</v>
      </c>
      <c r="B205" s="255" t="s">
        <v>458</v>
      </c>
      <c r="C205" s="255" t="s">
        <v>459</v>
      </c>
      <c r="D205" s="255" t="s">
        <v>456</v>
      </c>
      <c r="E205" s="279" t="s">
        <v>809</v>
      </c>
      <c r="F205" s="280" t="s">
        <v>810</v>
      </c>
      <c r="G205" s="111">
        <f t="shared" ref="G205:G206" si="46">H205+I205</f>
        <v>410000</v>
      </c>
      <c r="H205" s="218">
        <f>'dod3'!E175</f>
        <v>0</v>
      </c>
      <c r="I205" s="218">
        <f>'dod3'!J175</f>
        <v>410000</v>
      </c>
      <c r="J205" s="218">
        <f>'dod3'!K175</f>
        <v>410000</v>
      </c>
    </row>
    <row r="206" spans="1:13" ht="137.25" x14ac:dyDescent="0.2">
      <c r="A206" s="255" t="s">
        <v>607</v>
      </c>
      <c r="B206" s="255" t="s">
        <v>608</v>
      </c>
      <c r="C206" s="255" t="s">
        <v>256</v>
      </c>
      <c r="D206" s="255" t="s">
        <v>609</v>
      </c>
      <c r="E206" s="279" t="s">
        <v>809</v>
      </c>
      <c r="F206" s="280" t="s">
        <v>810</v>
      </c>
      <c r="G206" s="111">
        <f t="shared" si="46"/>
        <v>90000</v>
      </c>
      <c r="H206" s="218">
        <f>'dod3'!E176</f>
        <v>0</v>
      </c>
      <c r="I206" s="218">
        <f>'dod3'!J176</f>
        <v>90000</v>
      </c>
      <c r="J206" s="218">
        <f>'dod3'!K176</f>
        <v>90000</v>
      </c>
    </row>
    <row r="207" spans="1:13" ht="135" x14ac:dyDescent="0.2">
      <c r="A207" s="281" t="s">
        <v>254</v>
      </c>
      <c r="B207" s="281"/>
      <c r="C207" s="281"/>
      <c r="D207" s="281" t="s">
        <v>48</v>
      </c>
      <c r="E207" s="287"/>
      <c r="F207" s="286"/>
      <c r="G207" s="287">
        <f>G208</f>
        <v>90000</v>
      </c>
      <c r="H207" s="287">
        <f t="shared" ref="H207:J207" si="47">H208</f>
        <v>40000</v>
      </c>
      <c r="I207" s="287">
        <f t="shared" si="47"/>
        <v>50000</v>
      </c>
      <c r="J207" s="287">
        <f t="shared" si="47"/>
        <v>50000</v>
      </c>
    </row>
    <row r="208" spans="1:13" ht="135" x14ac:dyDescent="0.2">
      <c r="A208" s="284" t="s">
        <v>255</v>
      </c>
      <c r="B208" s="284"/>
      <c r="C208" s="284"/>
      <c r="D208" s="284" t="s">
        <v>66</v>
      </c>
      <c r="E208" s="286"/>
      <c r="F208" s="286"/>
      <c r="G208" s="286">
        <f>SUM(G209)</f>
        <v>90000</v>
      </c>
      <c r="H208" s="286">
        <f t="shared" ref="H208:J208" si="48">SUM(H209)</f>
        <v>40000</v>
      </c>
      <c r="I208" s="286">
        <f t="shared" si="48"/>
        <v>50000</v>
      </c>
      <c r="J208" s="286">
        <f t="shared" si="48"/>
        <v>50000</v>
      </c>
    </row>
    <row r="209" spans="1:17" ht="228.75" x14ac:dyDescent="0.2">
      <c r="A209" s="255" t="s">
        <v>737</v>
      </c>
      <c r="B209" s="255" t="s">
        <v>341</v>
      </c>
      <c r="C209" s="255" t="s">
        <v>339</v>
      </c>
      <c r="D209" s="255" t="s">
        <v>340</v>
      </c>
      <c r="E209" s="279" t="s">
        <v>741</v>
      </c>
      <c r="F209" s="218" t="s">
        <v>740</v>
      </c>
      <c r="G209" s="111">
        <f>H209+I209</f>
        <v>90000</v>
      </c>
      <c r="H209" s="218">
        <v>40000</v>
      </c>
      <c r="I209" s="218">
        <f>'dod3'!J179</f>
        <v>50000</v>
      </c>
      <c r="J209" s="218">
        <f>'dod3'!K179</f>
        <v>50000</v>
      </c>
    </row>
    <row r="210" spans="1:17" ht="81.75" customHeight="1" x14ac:dyDescent="1.1499999999999999">
      <c r="A210" s="187" t="s">
        <v>647</v>
      </c>
      <c r="B210" s="187" t="s">
        <v>647</v>
      </c>
      <c r="C210" s="187" t="s">
        <v>647</v>
      </c>
      <c r="D210" s="188" t="s">
        <v>665</v>
      </c>
      <c r="E210" s="187" t="s">
        <v>647</v>
      </c>
      <c r="F210" s="187" t="s">
        <v>647</v>
      </c>
      <c r="G210" s="142">
        <f>G12+G27+G122+G44+G60+G107+G143+G175+G184+G208+G188+G197+G203</f>
        <v>3026898162.5700002</v>
      </c>
      <c r="H210" s="142">
        <f>H12+H27+H122+H44+H60+H107+H143+H175+H184+H208+H188+H197+H203</f>
        <v>2518281673.7799997</v>
      </c>
      <c r="I210" s="142">
        <f>I12+I27+I122+I44+I60+I107+I143+I175+I184+I208+I188+I197+I203</f>
        <v>508616488.79000002</v>
      </c>
      <c r="J210" s="142">
        <f>J12+J27+J122+J44+J59+J107+J143+J175+J184+J208+J188+J197+J203</f>
        <v>388333734.35000002</v>
      </c>
      <c r="K210" s="233" t="b">
        <f>G210=H210+I210</f>
        <v>1</v>
      </c>
    </row>
    <row r="211" spans="1:17" ht="31.7" customHeight="1" x14ac:dyDescent="0.2">
      <c r="A211" s="427" t="s">
        <v>454</v>
      </c>
      <c r="B211" s="428"/>
      <c r="C211" s="428"/>
      <c r="D211" s="428"/>
      <c r="E211" s="428"/>
      <c r="F211" s="428"/>
      <c r="G211" s="428"/>
      <c r="H211" s="428"/>
      <c r="I211" s="428"/>
      <c r="J211" s="428"/>
    </row>
    <row r="212" spans="1:17" ht="31.7" customHeight="1" x14ac:dyDescent="0.2">
      <c r="A212" s="120"/>
      <c r="B212" s="121"/>
      <c r="C212" s="121"/>
      <c r="D212" s="121"/>
      <c r="E212" s="121"/>
      <c r="F212" s="121"/>
      <c r="G212" s="121"/>
      <c r="H212" s="121"/>
      <c r="I212" s="121"/>
      <c r="J212" s="121"/>
    </row>
    <row r="213" spans="1:17" ht="61.5" customHeight="1" x14ac:dyDescent="0.65">
      <c r="A213" s="7"/>
      <c r="B213" s="7"/>
      <c r="C213" s="7"/>
      <c r="D213" s="426" t="s">
        <v>947</v>
      </c>
      <c r="E213" s="426"/>
      <c r="F213" s="426"/>
      <c r="G213" s="426"/>
      <c r="H213" s="426"/>
      <c r="I213" s="426"/>
      <c r="J213" s="426"/>
      <c r="K213" s="426"/>
      <c r="L213" s="426"/>
      <c r="M213" s="426"/>
      <c r="N213" s="426"/>
      <c r="O213" s="426"/>
      <c r="P213" s="426"/>
      <c r="Q213" s="426"/>
    </row>
    <row r="214" spans="1:17" ht="45.75" x14ac:dyDescent="0.55000000000000004">
      <c r="D214" s="184"/>
      <c r="E214" s="21"/>
      <c r="F214" s="132"/>
      <c r="G214" s="184"/>
      <c r="H214" s="184"/>
      <c r="I214" s="132"/>
      <c r="J214" s="21"/>
      <c r="K214" s="13"/>
      <c r="L214" s="13"/>
      <c r="M214" s="13"/>
      <c r="N214" s="13"/>
      <c r="O214" s="13"/>
      <c r="P214" s="13"/>
      <c r="Q214" s="13"/>
    </row>
    <row r="215" spans="1:17" ht="45.75" x14ac:dyDescent="0.65">
      <c r="D215" s="426" t="s">
        <v>231</v>
      </c>
      <c r="E215" s="426"/>
      <c r="F215" s="426"/>
      <c r="G215" s="426"/>
      <c r="H215" s="426"/>
      <c r="I215" s="426"/>
      <c r="J215" s="426"/>
      <c r="K215" s="13"/>
      <c r="L215" s="13"/>
      <c r="M215" s="13"/>
      <c r="N215" s="13"/>
      <c r="O215" s="13"/>
      <c r="P215" s="13"/>
      <c r="Q215" s="13"/>
    </row>
    <row r="216" spans="1:17" x14ac:dyDescent="0.2">
      <c r="E216" s="4"/>
      <c r="F216" s="3"/>
    </row>
    <row r="217" spans="1:17" x14ac:dyDescent="0.2">
      <c r="E217" s="4"/>
      <c r="F217" s="3"/>
    </row>
    <row r="218" spans="1:17" ht="62.25" x14ac:dyDescent="0.8">
      <c r="A218"/>
      <c r="B218"/>
      <c r="C218"/>
      <c r="D218"/>
      <c r="E218" s="21"/>
      <c r="F218" s="132"/>
      <c r="I218"/>
      <c r="J218" s="158"/>
    </row>
    <row r="219" spans="1:17" ht="45.75" x14ac:dyDescent="0.2">
      <c r="E219" s="22"/>
      <c r="F219" s="184"/>
    </row>
    <row r="220" spans="1:17" ht="45.75" x14ac:dyDescent="0.2">
      <c r="A220"/>
      <c r="B220"/>
      <c r="C220"/>
      <c r="D220"/>
      <c r="E220" s="21"/>
      <c r="F220" s="132"/>
      <c r="I220"/>
      <c r="J220"/>
    </row>
    <row r="221" spans="1:17" ht="45.75" x14ac:dyDescent="0.2">
      <c r="E221" s="22"/>
      <c r="F221" s="184"/>
    </row>
    <row r="222" spans="1:17" ht="45.75" x14ac:dyDescent="0.2">
      <c r="E222" s="22"/>
      <c r="F222" s="184"/>
    </row>
    <row r="223" spans="1:17" ht="45.75" x14ac:dyDescent="0.2">
      <c r="E223" s="22"/>
      <c r="F223" s="184"/>
    </row>
    <row r="224" spans="1:17" ht="45.75" x14ac:dyDescent="0.2">
      <c r="A224"/>
      <c r="B224"/>
      <c r="C224"/>
      <c r="D224"/>
      <c r="E224" s="22"/>
      <c r="F224" s="184"/>
      <c r="G224"/>
      <c r="H224"/>
      <c r="I224"/>
      <c r="J224"/>
    </row>
    <row r="225" spans="1:10" ht="45.75" x14ac:dyDescent="0.2">
      <c r="A225"/>
      <c r="B225"/>
      <c r="C225"/>
      <c r="D225"/>
      <c r="E225" s="22"/>
      <c r="F225" s="184"/>
      <c r="G225"/>
      <c r="H225"/>
      <c r="I225"/>
      <c r="J225"/>
    </row>
    <row r="226" spans="1:10" ht="45.75" x14ac:dyDescent="0.2">
      <c r="A226"/>
      <c r="B226"/>
      <c r="C226"/>
      <c r="D226"/>
      <c r="E226" s="22"/>
      <c r="F226" s="184"/>
      <c r="G226"/>
      <c r="H226"/>
      <c r="I226"/>
      <c r="J226"/>
    </row>
    <row r="227" spans="1:10" ht="45.75" x14ac:dyDescent="0.2">
      <c r="A227"/>
      <c r="B227"/>
      <c r="C227"/>
      <c r="D227"/>
      <c r="E227" s="22"/>
      <c r="F227" s="184"/>
      <c r="G227"/>
      <c r="H227"/>
      <c r="I227"/>
      <c r="J227"/>
    </row>
  </sheetData>
  <mergeCells count="85">
    <mergeCell ref="H167:H168"/>
    <mergeCell ref="I167:I168"/>
    <mergeCell ref="J167:J168"/>
    <mergeCell ref="A169:A170"/>
    <mergeCell ref="B169:B170"/>
    <mergeCell ref="C169:C170"/>
    <mergeCell ref="D169:D170"/>
    <mergeCell ref="G169:G170"/>
    <mergeCell ref="H169:H170"/>
    <mergeCell ref="I169:I170"/>
    <mergeCell ref="J169:J170"/>
    <mergeCell ref="A167:A168"/>
    <mergeCell ref="B167:B168"/>
    <mergeCell ref="C167:C168"/>
    <mergeCell ref="D167:D168"/>
    <mergeCell ref="G166:G168"/>
    <mergeCell ref="C146:C149"/>
    <mergeCell ref="D146:D149"/>
    <mergeCell ref="G146:G149"/>
    <mergeCell ref="H146:H149"/>
    <mergeCell ref="I146:I149"/>
    <mergeCell ref="A84:A85"/>
    <mergeCell ref="B84:B85"/>
    <mergeCell ref="C84:C85"/>
    <mergeCell ref="E84:E85"/>
    <mergeCell ref="F84:F85"/>
    <mergeCell ref="A24:A25"/>
    <mergeCell ref="B24:B25"/>
    <mergeCell ref="C24:C25"/>
    <mergeCell ref="D24:D25"/>
    <mergeCell ref="G24:G25"/>
    <mergeCell ref="G156:G157"/>
    <mergeCell ref="H156:H157"/>
    <mergeCell ref="I156:I157"/>
    <mergeCell ref="I24:I25"/>
    <mergeCell ref="J24:J25"/>
    <mergeCell ref="G84:G85"/>
    <mergeCell ref="H84:H85"/>
    <mergeCell ref="I84:I85"/>
    <mergeCell ref="J84:J85"/>
    <mergeCell ref="J146:J149"/>
    <mergeCell ref="H8:H9"/>
    <mergeCell ref="I8:J8"/>
    <mergeCell ref="G98:G100"/>
    <mergeCell ref="H98:H100"/>
    <mergeCell ref="I98:I100"/>
    <mergeCell ref="J98:J100"/>
    <mergeCell ref="H24:H25"/>
    <mergeCell ref="D8:D9"/>
    <mergeCell ref="D213:Q213"/>
    <mergeCell ref="D215:J215"/>
    <mergeCell ref="A211:J211"/>
    <mergeCell ref="A163:A165"/>
    <mergeCell ref="B163:B165"/>
    <mergeCell ref="C163:C165"/>
    <mergeCell ref="D163:D165"/>
    <mergeCell ref="G163:G165"/>
    <mergeCell ref="K42:M42"/>
    <mergeCell ref="F8:F9"/>
    <mergeCell ref="G8:G9"/>
    <mergeCell ref="H163:H165"/>
    <mergeCell ref="I163:I165"/>
    <mergeCell ref="J156:J157"/>
    <mergeCell ref="J163:J165"/>
    <mergeCell ref="I1:J1"/>
    <mergeCell ref="I2:J2"/>
    <mergeCell ref="I3:J3"/>
    <mergeCell ref="A5:J5"/>
    <mergeCell ref="A6:J6"/>
    <mergeCell ref="E8:E9"/>
    <mergeCell ref="F24:F25"/>
    <mergeCell ref="A156:A157"/>
    <mergeCell ref="B156:B157"/>
    <mergeCell ref="C156:C157"/>
    <mergeCell ref="D156:D157"/>
    <mergeCell ref="A146:A149"/>
    <mergeCell ref="B146:B149"/>
    <mergeCell ref="A98:A100"/>
    <mergeCell ref="B98:B100"/>
    <mergeCell ref="C98:C100"/>
    <mergeCell ref="E98:E100"/>
    <mergeCell ref="F98:F100"/>
    <mergeCell ref="A8:A9"/>
    <mergeCell ref="B8:B9"/>
    <mergeCell ref="C8:C9"/>
  </mergeCells>
  <pageMargins left="0.23622047244094491" right="0.27559055118110237" top="0.27559055118110237" bottom="0.15748031496062992" header="0.23622047244094491" footer="0.27559055118110237"/>
  <pageSetup paperSize="9" scale="18" fitToHeight="0" orientation="landscape" r:id="rId1"/>
  <headerFooter alignWithMargins="0">
    <oddFooter>&amp;C&amp;"Times New Roman Cyr,курсив"Сторінка &amp;P з &amp;N</oddFooter>
  </headerFooter>
  <rowBreaks count="1" manualBreakCount="1">
    <brk id="3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pageSetUpPr fitToPage="1"/>
  </sheetPr>
  <dimension ref="A3:L15"/>
  <sheetViews>
    <sheetView view="pageBreakPreview" topLeftCell="A8" zoomScaleNormal="100" zoomScaleSheetLayoutView="100" workbookViewId="0">
      <selection activeCell="F15" sqref="F15"/>
    </sheetView>
  </sheetViews>
  <sheetFormatPr defaultColWidth="9.140625" defaultRowHeight="12.75" x14ac:dyDescent="0.2"/>
  <cols>
    <col min="1" max="1" width="13.85546875" style="242" customWidth="1"/>
    <col min="2" max="2" width="13.7109375" style="242" customWidth="1"/>
    <col min="3" max="3" width="13.85546875" style="242" customWidth="1"/>
    <col min="4" max="4" width="20.85546875" style="242" customWidth="1"/>
    <col min="5" max="5" width="12.28515625" style="242" customWidth="1"/>
    <col min="6" max="6" width="17" style="242" customWidth="1"/>
    <col min="7" max="7" width="14" style="242" customWidth="1"/>
    <col min="8" max="8" width="11.7109375" style="242" customWidth="1"/>
    <col min="9" max="9" width="12" style="242" customWidth="1"/>
    <col min="10" max="11" width="12.140625" style="242" customWidth="1"/>
    <col min="12" max="12" width="11.5703125" style="242" customWidth="1"/>
    <col min="13" max="16384" width="9.140625" style="242"/>
  </cols>
  <sheetData>
    <row r="3" spans="1:12" ht="15.75" customHeight="1" x14ac:dyDescent="0.2">
      <c r="A3" s="241"/>
      <c r="B3" s="241"/>
      <c r="C3" s="241"/>
      <c r="D3" s="241"/>
      <c r="E3" s="241"/>
      <c r="F3" s="241"/>
      <c r="G3" s="241"/>
      <c r="H3" s="241"/>
      <c r="I3" s="241"/>
      <c r="J3" s="501" t="s">
        <v>763</v>
      </c>
      <c r="K3" s="501"/>
      <c r="L3" s="501"/>
    </row>
    <row r="4" spans="1:12" ht="15.75" x14ac:dyDescent="0.2">
      <c r="A4" s="243"/>
      <c r="B4" s="243"/>
      <c r="C4" s="243"/>
      <c r="D4" s="243"/>
      <c r="E4" s="243"/>
      <c r="F4" s="243"/>
      <c r="G4" s="243"/>
      <c r="H4" s="243"/>
      <c r="I4" s="243"/>
      <c r="J4" s="243"/>
      <c r="K4" s="243"/>
      <c r="L4" s="243"/>
    </row>
    <row r="5" spans="1:12" ht="15.75" x14ac:dyDescent="0.2">
      <c r="A5" s="243"/>
      <c r="B5" s="243"/>
      <c r="C5" s="243"/>
      <c r="D5" s="243"/>
      <c r="E5" s="243"/>
      <c r="F5" s="243"/>
      <c r="G5" s="243"/>
      <c r="H5" s="243"/>
      <c r="I5" s="243"/>
      <c r="J5" s="243"/>
      <c r="K5" s="243"/>
      <c r="L5" s="243"/>
    </row>
    <row r="6" spans="1:12" ht="18.75" customHeight="1" x14ac:dyDescent="0.2">
      <c r="A6" s="502" t="s">
        <v>764</v>
      </c>
      <c r="B6" s="502"/>
      <c r="C6" s="502"/>
      <c r="D6" s="502"/>
      <c r="E6" s="502"/>
      <c r="F6" s="502"/>
      <c r="G6" s="502"/>
      <c r="H6" s="502"/>
      <c r="I6" s="502"/>
      <c r="J6" s="502"/>
      <c r="K6" s="502"/>
      <c r="L6" s="502"/>
    </row>
    <row r="7" spans="1:12" ht="40.700000000000003" customHeight="1" x14ac:dyDescent="0.2">
      <c r="A7" s="503" t="s">
        <v>765</v>
      </c>
      <c r="B7" s="503"/>
      <c r="C7" s="503"/>
      <c r="D7" s="503"/>
      <c r="E7" s="503"/>
      <c r="F7" s="503"/>
      <c r="G7" s="503"/>
      <c r="H7" s="503"/>
      <c r="I7" s="503"/>
      <c r="J7" s="503"/>
      <c r="K7" s="503"/>
      <c r="L7" s="503"/>
    </row>
    <row r="8" spans="1:12" ht="33.75" customHeight="1" x14ac:dyDescent="0.2">
      <c r="A8" s="500" t="s">
        <v>766</v>
      </c>
      <c r="B8" s="500" t="s">
        <v>767</v>
      </c>
      <c r="C8" s="500" t="s">
        <v>768</v>
      </c>
      <c r="D8" s="500" t="s">
        <v>769</v>
      </c>
      <c r="E8" s="500" t="s">
        <v>770</v>
      </c>
      <c r="F8" s="500" t="s">
        <v>771</v>
      </c>
      <c r="G8" s="500" t="s">
        <v>772</v>
      </c>
      <c r="H8" s="500" t="s">
        <v>773</v>
      </c>
      <c r="I8" s="500" t="s">
        <v>774</v>
      </c>
      <c r="J8" s="500"/>
      <c r="K8" s="500"/>
      <c r="L8" s="500" t="s">
        <v>775</v>
      </c>
    </row>
    <row r="9" spans="1:12" ht="163.5" customHeight="1" x14ac:dyDescent="0.2">
      <c r="A9" s="500"/>
      <c r="B9" s="500"/>
      <c r="C9" s="500"/>
      <c r="D9" s="500"/>
      <c r="E9" s="500"/>
      <c r="F9" s="500"/>
      <c r="G9" s="500"/>
      <c r="H9" s="500"/>
      <c r="I9" s="244" t="s">
        <v>776</v>
      </c>
      <c r="J9" s="244" t="s">
        <v>777</v>
      </c>
      <c r="K9" s="244" t="s">
        <v>778</v>
      </c>
      <c r="L9" s="500"/>
    </row>
    <row r="10" spans="1:12" x14ac:dyDescent="0.2">
      <c r="A10" s="245">
        <v>1</v>
      </c>
      <c r="B10" s="245">
        <v>2</v>
      </c>
      <c r="C10" s="245">
        <v>3</v>
      </c>
      <c r="D10" s="245">
        <v>4</v>
      </c>
      <c r="E10" s="245">
        <v>5</v>
      </c>
      <c r="F10" s="245">
        <v>6</v>
      </c>
      <c r="G10" s="245">
        <v>7</v>
      </c>
      <c r="H10" s="245">
        <v>8</v>
      </c>
      <c r="I10" s="245">
        <v>9</v>
      </c>
      <c r="J10" s="245">
        <v>10</v>
      </c>
      <c r="K10" s="245">
        <v>11</v>
      </c>
      <c r="L10" s="245">
        <v>12</v>
      </c>
    </row>
    <row r="11" spans="1:12" ht="110.25" x14ac:dyDescent="0.2">
      <c r="A11" s="246" t="s">
        <v>316</v>
      </c>
      <c r="B11" s="247">
        <v>7640</v>
      </c>
      <c r="C11" s="246" t="s">
        <v>318</v>
      </c>
      <c r="D11" s="247" t="s">
        <v>779</v>
      </c>
      <c r="E11" s="247" t="s">
        <v>780</v>
      </c>
      <c r="F11" s="247" t="s">
        <v>781</v>
      </c>
      <c r="G11" s="247" t="s">
        <v>782</v>
      </c>
      <c r="H11" s="247" t="s">
        <v>783</v>
      </c>
      <c r="I11" s="247" t="s">
        <v>784</v>
      </c>
      <c r="J11" s="248">
        <v>11839.748</v>
      </c>
      <c r="K11" s="248">
        <v>11839.748</v>
      </c>
      <c r="L11" s="248">
        <v>1183.9749999999999</v>
      </c>
    </row>
    <row r="12" spans="1:12" ht="12.75" customHeight="1" x14ac:dyDescent="0.2">
      <c r="A12" s="249" t="s">
        <v>785</v>
      </c>
      <c r="B12" s="249" t="s">
        <v>785</v>
      </c>
      <c r="C12" s="249" t="s">
        <v>785</v>
      </c>
      <c r="D12" s="250" t="s">
        <v>665</v>
      </c>
      <c r="E12" s="249" t="s">
        <v>785</v>
      </c>
      <c r="F12" s="249" t="s">
        <v>785</v>
      </c>
      <c r="G12" s="249" t="s">
        <v>785</v>
      </c>
      <c r="H12" s="249" t="s">
        <v>785</v>
      </c>
      <c r="I12" s="249" t="s">
        <v>785</v>
      </c>
      <c r="J12" s="248">
        <v>11839.748</v>
      </c>
      <c r="K12" s="248">
        <v>11839.748</v>
      </c>
      <c r="L12" s="248">
        <v>1183.9749999999999</v>
      </c>
    </row>
    <row r="13" spans="1:12" ht="15" x14ac:dyDescent="0.2">
      <c r="A13" s="251"/>
    </row>
    <row r="14" spans="1:12" ht="15.75" x14ac:dyDescent="0.2">
      <c r="B14" s="241" t="s">
        <v>941</v>
      </c>
      <c r="I14" s="251"/>
      <c r="K14" s="241" t="s">
        <v>945</v>
      </c>
    </row>
    <row r="15" spans="1:12" ht="15.75" x14ac:dyDescent="0.2">
      <c r="B15" s="241" t="s">
        <v>170</v>
      </c>
      <c r="G15" s="251"/>
      <c r="K15" s="241" t="s">
        <v>171</v>
      </c>
    </row>
  </sheetData>
  <mergeCells count="13">
    <mergeCell ref="H8:H9"/>
    <mergeCell ref="I8:K8"/>
    <mergeCell ref="L8:L9"/>
    <mergeCell ref="J3:L3"/>
    <mergeCell ref="A6:L6"/>
    <mergeCell ref="A7:L7"/>
    <mergeCell ref="A8:A9"/>
    <mergeCell ref="B8:B9"/>
    <mergeCell ref="C8:C9"/>
    <mergeCell ref="D8:D9"/>
    <mergeCell ref="E8:E9"/>
    <mergeCell ref="F8:F9"/>
    <mergeCell ref="G8:G9"/>
  </mergeCells>
  <pageMargins left="0.19685039370078741" right="0.19685039370078741" top="0.19685039370078741" bottom="0.19685039370078741" header="0" footer="0"/>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11</vt:i4>
      </vt:variant>
    </vt:vector>
  </HeadingPairs>
  <TitlesOfParts>
    <vt:vector size="20" baseType="lpstr">
      <vt:lpstr>дод1</vt:lpstr>
      <vt:lpstr>dod2</vt:lpstr>
      <vt:lpstr>dod3</vt:lpstr>
      <vt:lpstr>dod4</vt:lpstr>
      <vt:lpstr>dod5</vt:lpstr>
      <vt:lpstr>dod6</vt:lpstr>
      <vt:lpstr>dod7</vt:lpstr>
      <vt:lpstr>dod8</vt:lpstr>
      <vt:lpstr>dod9</vt:lpstr>
      <vt:lpstr>'dod3'!Заголовки_для_друку</vt:lpstr>
      <vt:lpstr>'dod5'!Заголовки_для_друку</vt:lpstr>
      <vt:lpstr>'dod8'!Заголовки_для_друку</vt:lpstr>
      <vt:lpstr>'dod2'!Область_друку</vt:lpstr>
      <vt:lpstr>'dod3'!Область_друку</vt:lpstr>
      <vt:lpstr>'dod4'!Область_друку</vt:lpstr>
      <vt:lpstr>'dod5'!Область_друку</vt:lpstr>
      <vt:lpstr>'dod6'!Область_друку</vt:lpstr>
      <vt:lpstr>'dod7'!Область_друку</vt:lpstr>
      <vt:lpstr>'dod8'!Область_друку</vt:lpstr>
      <vt:lpstr>дод1!Область_друку</vt:lpstr>
    </vt:vector>
  </TitlesOfParts>
  <Company>Міське фінуправління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Ліщук Петро Андрійович</cp:lastModifiedBy>
  <cp:lastPrinted>2019-05-16T10:57:07Z</cp:lastPrinted>
  <dcterms:created xsi:type="dcterms:W3CDTF">2001-12-03T09:30:42Z</dcterms:created>
  <dcterms:modified xsi:type="dcterms:W3CDTF">2019-06-20T08:26:15Z</dcterms:modified>
</cp:coreProperties>
</file>