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пень\2807\Паспорти УКІ\"/>
    </mc:Choice>
  </mc:AlternateContent>
  <bookViews>
    <workbookView xWindow="0" yWindow="0" windowWidth="24000" windowHeight="9780"/>
  </bookViews>
  <sheets>
    <sheet name="1416030" sheetId="2" r:id="rId1"/>
  </sheets>
  <definedNames>
    <definedName name="_xlnm.Print_Area" localSheetId="0">'1416030'!$A$1:$BM$364</definedName>
  </definedNames>
  <calcPr calcId="152511"/>
</workbook>
</file>

<file path=xl/calcChain.xml><?xml version="1.0" encoding="utf-8"?>
<calcChain xmlns="http://schemas.openxmlformats.org/spreadsheetml/2006/main">
  <c r="AO191" i="2" l="1"/>
  <c r="AO197" i="2"/>
  <c r="AO204" i="2" s="1"/>
  <c r="AO198" i="2"/>
  <c r="AO205" i="2" s="1"/>
  <c r="AO206" i="2"/>
  <c r="BE206" i="2" s="1"/>
  <c r="AO203" i="2"/>
  <c r="BE203" i="2" s="1"/>
  <c r="AO200" i="2"/>
  <c r="AO207" i="2" s="1"/>
  <c r="BE207" i="2" s="1"/>
  <c r="AO199" i="2"/>
  <c r="BE199" i="2" s="1"/>
  <c r="AO196" i="2"/>
  <c r="AV198" i="2"/>
  <c r="AU198" i="2"/>
  <c r="AT198" i="2"/>
  <c r="AS198" i="2"/>
  <c r="AR198" i="2"/>
  <c r="AQ198" i="2"/>
  <c r="AP198" i="2"/>
  <c r="AV197" i="2"/>
  <c r="AU197" i="2"/>
  <c r="AT197" i="2"/>
  <c r="AS197" i="2"/>
  <c r="AR197" i="2"/>
  <c r="AQ197" i="2"/>
  <c r="AP197" i="2"/>
  <c r="AP191" i="2"/>
  <c r="AQ191" i="2"/>
  <c r="AR191" i="2"/>
  <c r="AS191" i="2"/>
  <c r="AT191" i="2"/>
  <c r="AU191" i="2"/>
  <c r="AV191" i="2"/>
  <c r="AO208" i="2"/>
  <c r="BE262" i="2"/>
  <c r="AW153" i="2"/>
  <c r="AW135" i="2"/>
  <c r="AK59" i="2" s="1"/>
  <c r="AW332" i="2"/>
  <c r="BE332" i="2" s="1"/>
  <c r="AW326" i="2"/>
  <c r="AW316" i="2"/>
  <c r="AW321" i="2"/>
  <c r="AW318" i="2"/>
  <c r="BE318" i="2" s="1"/>
  <c r="AW317" i="2"/>
  <c r="AW329" i="2" s="1"/>
  <c r="AO246" i="2"/>
  <c r="AO262" i="2" s="1"/>
  <c r="BE246" i="2"/>
  <c r="BE241" i="2"/>
  <c r="BE242" i="2"/>
  <c r="BE243" i="2"/>
  <c r="AO186" i="2"/>
  <c r="AO184" i="2" s="1"/>
  <c r="BE184" i="2" s="1"/>
  <c r="AW154" i="2"/>
  <c r="BE154" i="2" s="1"/>
  <c r="AW149" i="2"/>
  <c r="BE149" i="2" s="1"/>
  <c r="BE144" i="2"/>
  <c r="BE139" i="2"/>
  <c r="AO141" i="2"/>
  <c r="AO142" i="2"/>
  <c r="BE142" i="2" s="1"/>
  <c r="AO137" i="2"/>
  <c r="BE137" i="2" s="1"/>
  <c r="AO136" i="2"/>
  <c r="AO151" i="2" s="1"/>
  <c r="BE151" i="2" s="1"/>
  <c r="A362" i="2"/>
  <c r="AO201" i="2"/>
  <c r="BE201" i="2"/>
  <c r="BE114" i="2"/>
  <c r="AO117" i="2"/>
  <c r="BE117" i="2"/>
  <c r="AO116" i="2"/>
  <c r="BE116" i="2"/>
  <c r="BE115" i="2"/>
  <c r="BE113" i="2"/>
  <c r="AO113" i="2"/>
  <c r="BE108" i="2"/>
  <c r="AO109" i="2"/>
  <c r="BE109" i="2" s="1"/>
  <c r="AO108" i="2"/>
  <c r="AW107" i="2"/>
  <c r="BE107" i="2" s="1"/>
  <c r="AO105" i="2"/>
  <c r="BE105" i="2" s="1"/>
  <c r="AO102" i="2"/>
  <c r="BE327" i="2"/>
  <c r="AW320" i="2"/>
  <c r="BE320" i="2"/>
  <c r="AO263" i="2"/>
  <c r="AO177" i="2"/>
  <c r="BE177" i="2" s="1"/>
  <c r="AO303" i="2"/>
  <c r="AO307" i="2"/>
  <c r="BE307" i="2" s="1"/>
  <c r="AO164" i="2"/>
  <c r="AW138" i="2"/>
  <c r="AW148" i="2"/>
  <c r="BE148" i="2" s="1"/>
  <c r="AW324" i="2"/>
  <c r="BE324" i="2" s="1"/>
  <c r="BE322" i="2"/>
  <c r="AW319" i="2"/>
  <c r="BE319" i="2"/>
  <c r="AW314" i="2"/>
  <c r="AW330" i="2"/>
  <c r="BE330" i="2" s="1"/>
  <c r="AO238" i="2"/>
  <c r="BE238" i="2" s="1"/>
  <c r="BE239" i="2"/>
  <c r="BE240" i="2"/>
  <c r="AO235" i="2"/>
  <c r="BE235" i="2" s="1"/>
  <c r="AO237" i="2"/>
  <c r="BE237" i="2"/>
  <c r="AO236" i="2"/>
  <c r="AO301" i="2"/>
  <c r="BE301" i="2" s="1"/>
  <c r="AO98" i="2"/>
  <c r="AO114" i="2" s="1"/>
  <c r="AO90" i="2"/>
  <c r="AO106" i="2" s="1"/>
  <c r="BE106" i="2" s="1"/>
  <c r="BE90" i="2"/>
  <c r="AO127" i="2"/>
  <c r="BE127" i="2"/>
  <c r="AO126" i="2"/>
  <c r="BE126" i="2"/>
  <c r="AO124" i="2"/>
  <c r="AO129" i="2"/>
  <c r="BE129" i="2" s="1"/>
  <c r="AO94" i="2"/>
  <c r="AO161" i="2"/>
  <c r="BE169" i="2"/>
  <c r="BE208" i="2"/>
  <c r="AO350" i="2"/>
  <c r="BE350" i="2"/>
  <c r="AO88" i="2"/>
  <c r="BE88" i="2"/>
  <c r="AO96" i="2"/>
  <c r="AO112" i="2" s="1"/>
  <c r="BE112" i="2" s="1"/>
  <c r="BE96" i="2"/>
  <c r="AO283" i="2"/>
  <c r="BE283" i="2" s="1"/>
  <c r="AO280" i="2"/>
  <c r="BE280" i="2" s="1"/>
  <c r="AO279" i="2"/>
  <c r="BE279" i="2" s="1"/>
  <c r="BE200" i="2"/>
  <c r="AO173" i="2"/>
  <c r="BE173" i="2" s="1"/>
  <c r="AW293" i="2"/>
  <c r="BE293" i="2" s="1"/>
  <c r="BE263" i="2"/>
  <c r="BE153" i="2"/>
  <c r="AO348" i="2"/>
  <c r="BE348" i="2" s="1"/>
  <c r="AO347" i="2"/>
  <c r="BE347" i="2" s="1"/>
  <c r="AO346" i="2"/>
  <c r="BE346" i="2" s="1"/>
  <c r="AC68" i="2"/>
  <c r="AK65" i="2"/>
  <c r="AC62" i="2"/>
  <c r="AS62" i="2" s="1"/>
  <c r="AO345" i="2"/>
  <c r="BE345" i="2" s="1"/>
  <c r="BE343" i="2"/>
  <c r="BE342" i="2"/>
  <c r="BE340" i="2"/>
  <c r="BE325" i="2"/>
  <c r="BE314" i="2"/>
  <c r="BE315" i="2"/>
  <c r="BE303" i="2"/>
  <c r="AW295" i="2"/>
  <c r="BE295" i="2" s="1"/>
  <c r="BE291" i="2"/>
  <c r="BE289" i="2"/>
  <c r="AO282" i="2"/>
  <c r="BE282" i="2" s="1"/>
  <c r="AO233" i="2"/>
  <c r="AO272" i="2"/>
  <c r="AC64" i="2"/>
  <c r="AS64" i="2" s="1"/>
  <c r="BE273" i="2"/>
  <c r="BE274" i="2"/>
  <c r="BE276" i="2"/>
  <c r="BE277" i="2"/>
  <c r="AO264" i="2"/>
  <c r="BE264" i="2" s="1"/>
  <c r="AO172" i="2"/>
  <c r="AO176" i="2" s="1"/>
  <c r="BE176" i="2"/>
  <c r="AO266" i="2"/>
  <c r="BE266" i="2"/>
  <c r="AO265" i="2"/>
  <c r="AO261" i="2"/>
  <c r="BE261" i="2" s="1"/>
  <c r="AO255" i="2"/>
  <c r="BE255" i="2" s="1"/>
  <c r="AO259" i="2"/>
  <c r="BE259" i="2" s="1"/>
  <c r="AO257" i="2"/>
  <c r="BE257" i="2" s="1"/>
  <c r="AO256" i="2"/>
  <c r="BE256" i="2" s="1"/>
  <c r="AO253" i="2"/>
  <c r="BE253" i="2" s="1"/>
  <c r="BE227" i="2"/>
  <c r="BE228" i="2"/>
  <c r="BE229" i="2"/>
  <c r="BE230" i="2"/>
  <c r="BE231" i="2"/>
  <c r="BE232" i="2"/>
  <c r="BE234" i="2"/>
  <c r="BE236" i="2"/>
  <c r="BE245" i="2"/>
  <c r="BE247" i="2"/>
  <c r="BE248" i="2"/>
  <c r="BE265" i="2"/>
  <c r="AO220" i="2"/>
  <c r="BE220" i="2" s="1"/>
  <c r="AO216" i="2"/>
  <c r="BE216" i="2" s="1"/>
  <c r="BE218" i="2"/>
  <c r="BE214" i="2"/>
  <c r="BE185" i="2"/>
  <c r="BE187" i="2"/>
  <c r="BE188" i="2"/>
  <c r="BE190" i="2"/>
  <c r="BE191" i="2"/>
  <c r="BE192" i="2"/>
  <c r="BE193" i="2"/>
  <c r="BE194" i="2"/>
  <c r="AJ78" i="2"/>
  <c r="BE163" i="2"/>
  <c r="BE166" i="2"/>
  <c r="BE167" i="2"/>
  <c r="BE168" i="2"/>
  <c r="BE143" i="2"/>
  <c r="BE138" i="2"/>
  <c r="BE97" i="2"/>
  <c r="AW87" i="2"/>
  <c r="AK57" i="2" s="1"/>
  <c r="BE93" i="2"/>
  <c r="BE92" i="2"/>
  <c r="BE89" i="2"/>
  <c r="AC65" i="2"/>
  <c r="AS65" i="2"/>
  <c r="AC67" i="2"/>
  <c r="BE147" i="2"/>
  <c r="BE100" i="2"/>
  <c r="BE101" i="2"/>
  <c r="BE91" i="2"/>
  <c r="BE249" i="2"/>
  <c r="BE99" i="2"/>
  <c r="BE250" i="2"/>
  <c r="BE251" i="2"/>
  <c r="BE162" i="2"/>
  <c r="BE196" i="2"/>
  <c r="BE172" i="2"/>
  <c r="BE161" i="2"/>
  <c r="AO87" i="2"/>
  <c r="BE98" i="2"/>
  <c r="AO171" i="2"/>
  <c r="BE171" i="2"/>
  <c r="AC58" i="2"/>
  <c r="AS58" i="2"/>
  <c r="BE272" i="2"/>
  <c r="BE326" i="2"/>
  <c r="BE124" i="2"/>
  <c r="AO258" i="2"/>
  <c r="BE258" i="2" s="1"/>
  <c r="BE233" i="2"/>
  <c r="BE329" i="2"/>
  <c r="BE321" i="2"/>
  <c r="AO254" i="2"/>
  <c r="BE254" i="2" s="1"/>
  <c r="BE186" i="2"/>
  <c r="BE136" i="2"/>
  <c r="BE205" i="2"/>
  <c r="BE204" i="2"/>
  <c r="BE198" i="2"/>
  <c r="BE87" i="2" l="1"/>
  <c r="AC57" i="2"/>
  <c r="AB78" i="2"/>
  <c r="AR78" i="2" s="1"/>
  <c r="AS68" i="2"/>
  <c r="AO110" i="2"/>
  <c r="BE110" i="2" s="1"/>
  <c r="BE94" i="2"/>
  <c r="AW331" i="2"/>
  <c r="BE331" i="2" s="1"/>
  <c r="AW313" i="2"/>
  <c r="BE197" i="2"/>
  <c r="AO183" i="2"/>
  <c r="BE316" i="2"/>
  <c r="AC66" i="2"/>
  <c r="AS66" i="2" s="1"/>
  <c r="AO305" i="2"/>
  <c r="BE305" i="2" s="1"/>
  <c r="AO226" i="2"/>
  <c r="BE317" i="2"/>
  <c r="AO174" i="2"/>
  <c r="BE174" i="2" s="1"/>
  <c r="BE164" i="2"/>
  <c r="AO160" i="2"/>
  <c r="AO118" i="2"/>
  <c r="BE118" i="2" s="1"/>
  <c r="BE102" i="2"/>
  <c r="BE141" i="2"/>
  <c r="AO146" i="2"/>
  <c r="BE146" i="2" s="1"/>
  <c r="AO152" i="2"/>
  <c r="BE152" i="2" s="1"/>
  <c r="AW334" i="2"/>
  <c r="BE334" i="2" s="1"/>
  <c r="AO104" i="2"/>
  <c r="BE104" i="2" s="1"/>
  <c r="AO135" i="2"/>
  <c r="AS57" i="2" l="1"/>
  <c r="AC69" i="2"/>
  <c r="AC59" i="2"/>
  <c r="AS59" i="2" s="1"/>
  <c r="BE135" i="2"/>
  <c r="AC60" i="2"/>
  <c r="AS60" i="2" s="1"/>
  <c r="BE160" i="2"/>
  <c r="AC63" i="2"/>
  <c r="AS63" i="2" s="1"/>
  <c r="BE226" i="2"/>
  <c r="AC61" i="2"/>
  <c r="AS61" i="2" s="1"/>
  <c r="BE183" i="2"/>
  <c r="AK67" i="2"/>
  <c r="BE313" i="2"/>
  <c r="AS22" i="2" l="1"/>
  <c r="AS69" i="2"/>
  <c r="AB76" i="2"/>
  <c r="AS67" i="2"/>
  <c r="AK69" i="2"/>
  <c r="AJ76" i="2" l="1"/>
  <c r="AJ79" i="2" s="1"/>
  <c r="I23" i="2"/>
  <c r="U22" i="2" s="1"/>
  <c r="AR76" i="2"/>
  <c r="AB79" i="2"/>
  <c r="AR79" i="2" s="1"/>
</calcChain>
</file>

<file path=xl/comments1.xml><?xml version="1.0" encoding="utf-8"?>
<comments xmlns="http://schemas.openxmlformats.org/spreadsheetml/2006/main">
  <authors>
    <author>S_Smal</author>
  </authors>
  <commentList>
    <comment ref="AO94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200 тис.грн Зелене
-30 тис. грн УКІ
+30 тис.грн Зелене
</t>
        </r>
      </text>
    </comment>
    <comment ref="AO102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5 од. Зелене - 200,0 тис. грн
4 од. Зелене - 30,0 тис. грн</t>
        </r>
      </text>
    </comment>
    <comment ref="G255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<sst xmlns="http://schemas.openxmlformats.org/spreadsheetml/2006/main" count="772" uniqueCount="294">
  <si>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</si>
  <si>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</si>
  <si>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</si>
  <si>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</si>
  <si>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</si>
  <si>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</si>
  <si>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p4.8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</si>
  <si>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</si>
  <si>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</si>
  <si>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</si>
  <si>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</si>
  <si>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</si>
  <si>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</si>
  <si>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</si>
  <si>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</si>
  <si>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</si>
  <si>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</si>
  <si>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</si>
  <si>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</si>
  <si>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</si>
  <si>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</si>
  <si>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</si>
  <si>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</si>
  <si>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</si>
  <si>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</si>
  <si>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</si>
  <si>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</si>
  <si>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</si>
  <si>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</si>
  <si>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</si>
  <si>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</si>
  <si>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</si>
  <si>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</si>
  <si>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</si>
  <si>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</si>
  <si>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</si>
  <si>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</si>
  <si>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</si>
  <si>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</si>
  <si>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</si>
  <si>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</si>
  <si>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</si>
  <si>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</si>
  <si>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</si>
  <si>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</si>
  <si>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</si>
  <si>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</si>
  <si>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</si>
  <si>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</si>
  <si>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</si>
  <si>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</si>
  <si>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</si>
  <si>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</si>
  <si>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</si>
  <si>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</si>
  <si>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</si>
  <si>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</si>
  <si>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</si>
  <si>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</si>
  <si>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</si>
  <si>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0620</t>
  </si>
  <si>
    <t>рішення сесії міської ради</t>
  </si>
  <si>
    <t>розрахунково</t>
  </si>
  <si>
    <t>гривень</t>
  </si>
  <si>
    <t>Організація благоустрою населених пунктів</t>
  </si>
  <si>
    <t>6030</t>
  </si>
  <si>
    <t>С. ЯМЧУК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</si>
  <si>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</si>
  <si>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Управління комунальної інфраструктури Хмельницької міської ради</t>
  </si>
  <si>
    <t>03356163</t>
  </si>
  <si>
    <t>1400000</t>
  </si>
  <si>
    <t>1410000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</si>
  <si>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</si>
  <si>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Підвищення рівня благоустрою міста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</si>
  <si>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</si>
  <si>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2. Забезпечення благоустрою кладовищ</t>
  </si>
  <si>
    <t>Завдання 3. Проведення поточного / капітального ремонту електричних мереж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</si>
  <si>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</si>
  <si>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</si>
  <si>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</si>
  <si>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та утримання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</si>
  <si>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</si>
  <si>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Завдання 10. Послуги з утримання територій загального користування</t>
  </si>
  <si>
    <t>Завдання 11. Проведення капітального ремонту об'єктів благоустрою</t>
  </si>
  <si>
    <t>Завдання 12. Виконання заходів Програми забезпечення діяльності комунального підприємства "Муніципальна дружина "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</si>
  <si>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</si>
  <si>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</si>
  <si>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Проведення поточного / капітального ремонту електричних мереж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</si>
  <si>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</si>
  <si>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</si>
  <si>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</si>
  <si>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</si>
  <si>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</si>
  <si>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</si>
  <si>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</si>
  <si>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Виконання заходів Програми забезпечення діяльності комунального підприємства "Муніципальна дружина"</t>
  </si>
  <si>
    <t>обсяг видатків, в т.ч.:</t>
  </si>
  <si>
    <t>послуги по поточному ремонту та утриманню зелених насаджень, штучних споруд та малих архітектурних форм міста (в т.ч. вертикальне озеленення вулиць міста)</t>
  </si>
  <si>
    <t>послуги по поточному ремонту та утриманню парків і скверів міста</t>
  </si>
  <si>
    <t>капітальний ремонт зелених насаджень (омолодження)</t>
  </si>
  <si>
    <t>поточний ремонт зелених насаджень - видалення окремих засохлих та пошкоджених дерев</t>
  </si>
  <si>
    <t>посадка нових зелених насаджень</t>
  </si>
  <si>
    <t>кількість обєктів малих архітектурних форм, що необхідно та планується ремонтувати та обслуговувати</t>
  </si>
  <si>
    <t>об'єм аварійних дерев, що потрібно та планується видалити</t>
  </si>
  <si>
    <t>кількість нових зелених насаджень, що необхідно та планується посадити</t>
  </si>
  <si>
    <t>кількість проектів землеустрою, які необхідно та планується розробити</t>
  </si>
  <si>
    <t>середні витрати на розробку 1 проекту землеустрою</t>
  </si>
  <si>
    <t>обсяг видатків</t>
  </si>
  <si>
    <t>загальна площа кладовищ, що необхідно утримувати</t>
  </si>
  <si>
    <t>площа кладовищ, яку планується утримувати</t>
  </si>
  <si>
    <t>середньорічні витрати на утримання 1 га кладовища</t>
  </si>
  <si>
    <t>га</t>
  </si>
  <si>
    <t>куб. м</t>
  </si>
  <si>
    <t>титульний список</t>
  </si>
  <si>
    <t>лист-звернення</t>
  </si>
  <si>
    <t>акт обміру</t>
  </si>
  <si>
    <t>дефектний акт</t>
  </si>
  <si>
    <t>розрахунок</t>
  </si>
  <si>
    <t>акт обстеження</t>
  </si>
  <si>
    <t>послуги по поточному ремонту та утриманню мереж зовнішнього освітлення</t>
  </si>
  <si>
    <t xml:space="preserve">освітлення міста </t>
  </si>
  <si>
    <t>капітальний ремонт мереж зовнішнього освітлення</t>
  </si>
  <si>
    <t xml:space="preserve">кількість світлоточок, які знаходяться на утриманні та плануєтьтся утримувати, здійснювати поточний ремонт </t>
  </si>
  <si>
    <t>обсяг споживання електроенергії на зовнішнє освітлення в рік</t>
  </si>
  <si>
    <t xml:space="preserve">кількість світлоточок, які  потребують капітального ремонту та планується відремонтувати </t>
  </si>
  <si>
    <t>середні витрати на утримання об'єктів зовнішнього освітлення на 1 світлоточку</t>
  </si>
  <si>
    <t xml:space="preserve">середні витрати на споживання 1 кВт електроенергії </t>
  </si>
  <si>
    <t xml:space="preserve">середні витрати на проведення капітального ремонту 1 світлоточки </t>
  </si>
  <si>
    <t>темп зростання витрат на утримання об'єктів зовнішнього освітлення порівняно з попереднім періодом</t>
  </si>
  <si>
    <t>темп зростання витрат на оплату послуг з освітлення міста, в порівняні з пропереднім роком</t>
  </si>
  <si>
    <t xml:space="preserve">відсоток кількості світлоточок, що заплановано відремонтувати до кількості світлоточок, що  потребують капітального ремонту </t>
  </si>
  <si>
    <t>тис. кВт</t>
  </si>
  <si>
    <t>акт інвентаризації</t>
  </si>
  <si>
    <t>Завдання 1. Збереження та утримання на належному рівні зеленої зони населеного пункту та поліпшення його екологічних умов</t>
  </si>
  <si>
    <t>регулювання чисельності тварин</t>
  </si>
  <si>
    <t xml:space="preserve">утримання бездоглядних тварин в притулку </t>
  </si>
  <si>
    <t>послуга збирання та зберігання небезпечних відходів для подальшої утилізації</t>
  </si>
  <si>
    <t>утримання бездоглядних тварин в притулку</t>
  </si>
  <si>
    <t xml:space="preserve">кількість небезпечних відходів, які планується зібрати </t>
  </si>
  <si>
    <t>середні витрати на регулювання чисельності тварин (на одиницю)</t>
  </si>
  <si>
    <t xml:space="preserve">середньомісячні витрати на утримання бездоглядних тварин в притулку </t>
  </si>
  <si>
    <t>середні витрати на збирання та зберігання 1 т небезпечних відходів для подальшої утилізації</t>
  </si>
  <si>
    <t>темп зростання середньомісячної суми утримання бездоглядних тварин в притулку порівняно з попереднім періодом</t>
  </si>
  <si>
    <t>темп зростання витрат на послугу збирання та зберігання небезпечних відходів для подальшої утилізації порівняно з попереднім періодом</t>
  </si>
  <si>
    <t>виробнича програма</t>
  </si>
  <si>
    <t>акт надання послуг</t>
  </si>
  <si>
    <t>т</t>
  </si>
  <si>
    <t>поточний ремонт та утримання вулично-дорожньої мережі</t>
  </si>
  <si>
    <t>видатки на поточний ремонт вулично-дорожньої мережі</t>
  </si>
  <si>
    <t>видатки на  утримання вулично-дорожньої мережі</t>
  </si>
  <si>
    <t xml:space="preserve">видатки на безпеку руху </t>
  </si>
  <si>
    <t xml:space="preserve">поточний ремонт внутрішньоквартальних доріг та тротуарів </t>
  </si>
  <si>
    <t>площа вулично-дорожньої мережі на якій планується поточний ремонт</t>
  </si>
  <si>
    <t>площа вулиць, мостів, шляхопроводів (доріг, тротуарів),що планується  утримувати в належному стані протягом року</t>
  </si>
  <si>
    <t>кількість  світлофорних об'єктів, які  планується  утримувати</t>
  </si>
  <si>
    <t>площа дорожньої розмітки, яку планується нанести</t>
  </si>
  <si>
    <t>площа доріг, тротуарів, що необхідно та планується відремонтувати</t>
  </si>
  <si>
    <t>середня вартість поточного ремонту 1 кв. м вулично-дорожньої мережі</t>
  </si>
  <si>
    <t xml:space="preserve">середня вартість  утримання 100 кв.м  вулиць, доріг  в осінньо-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</si>
  <si>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</si>
  <si>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утримання 1 світлофорного об'єкту</t>
  </si>
  <si>
    <t>середня вартість 1 кв.м дорожньої розмітки</t>
  </si>
  <si>
    <t>середні витрати на поточний ремонт 1 кв. м площі доріг, тротуарів</t>
  </si>
  <si>
    <t>темп зростання середньої  вартості поточного ремонту 1 кв.м. вулично-дорожньої мережі в порівнянні з попереднім періодом</t>
  </si>
  <si>
    <t>темп зростання середньої вартості нанесення дорожньої розмітки в порівнянні з попереднім роком</t>
  </si>
  <si>
    <t>Програма популяризації та ефективного впрвадження програм у сфері житлово-комунального господарства на 2019-2023 роки</t>
  </si>
  <si>
    <t>Програма забезпечення діяльності Хмельницького міського
комунального підприємства "Муніципальна дружина" на 2021 - 2022 роки</t>
  </si>
  <si>
    <t>тис. кв. м</t>
  </si>
  <si>
    <t>об'єкт</t>
  </si>
  <si>
    <t>обсяг видатків (в т.ч. оплата за послуги з постачання та розподілу природного газу для факелу "Меморіал Слави")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</si>
  <si>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</si>
  <si>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</si>
  <si>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>тис. куб. м</t>
  </si>
  <si>
    <t>темп зростання середніх витрат на природний газ, який постачається до факелу "Вічний вогонь" порівняно з попереднім роком</t>
  </si>
  <si>
    <t>охорона міських новорічних ялинок</t>
  </si>
  <si>
    <t>поточний ремонт пішохідних доріжок в парку культури і відпочинку ім. М. Чекмана</t>
  </si>
  <si>
    <t>поточний ремонт малих архітектурних форм (скульптурних композицій автора М.Мазура)</t>
  </si>
  <si>
    <t>демонтаж незаконно встановлених малих архітектурних форм, зовнішньої реклами та білбордів</t>
  </si>
  <si>
    <t>поточний ремонт об’єкта благоустрою – відновлювальний ремонт споруд, обладнання міського пляжу</t>
  </si>
  <si>
    <t>проведення просвітницької діяльності, спрямованої на підвищення рівня екологічної свідомості громадян</t>
  </si>
  <si>
    <t>поточний ремонт обладнання дитячого майданчика з ліквідацією пошкоджень пішохідних доріжок в парку культури і відпочинку ім. М. Чекмана в м. Хмельницькому</t>
  </si>
  <si>
    <t>поточний ремонт малих архітектурних споруд - паркан на пров. Проїзному в м. Хмельницькому</t>
  </si>
  <si>
    <t>кількість об'єктів благоустрою, які необхідно відремонтувати</t>
  </si>
  <si>
    <t>кількість скульптурних форм, які необхідно та планується відремонтувати</t>
  </si>
  <si>
    <t>кількість МАФ, які планується демонтувати</t>
  </si>
  <si>
    <t>кількість споруд, обладнання міського пляжу, які необхідно та планується відремонтувати</t>
  </si>
  <si>
    <t>витрати на охорону 1 новорічної ялинки</t>
  </si>
  <si>
    <t>середня вартість поточного ремонту 1 об'єкту благоустрою</t>
  </si>
  <si>
    <t>середні витрати на поточний ремонт 1 скульптурної форми</t>
  </si>
  <si>
    <t>середня ватртість демонтажу 1 незаконно встановленого МАФ</t>
  </si>
  <si>
    <t>середні витрати на поточний ремонт 1 споруди, обладнання міського пляжу</t>
  </si>
  <si>
    <t xml:space="preserve">витрати на проведення просвітницької діяльності </t>
  </si>
  <si>
    <t>темп збільшення витрат на охорону ялинок порівняно з попереднім періодом</t>
  </si>
  <si>
    <t>відсоток кількості об’єктів, що заплановано відремонтувати до кількості об’єктів, що необхідно відремонтувати</t>
  </si>
  <si>
    <t xml:space="preserve">питома вага кількості контейнерних майданчиків, на яких заплановано відремонтувати покриття до кількості контейнерних майданчиків, на яких необхідно відремонтувати покриття </t>
  </si>
  <si>
    <t>питома вага кількості скульптурних форм, що заплановано відремонтувати до загальної кількості скульптурних форм</t>
  </si>
  <si>
    <t>питома вага кількості МАФ, які необхідно демонтувати до кількості, що заплановано демонтувати</t>
  </si>
  <si>
    <t xml:space="preserve">питома вага кількості споруд, обладнання міського пляжу, що заплановано відремонтувати до  кількості споруд, обладнання міського пляжу, які необхідно відремонтувати 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</si>
  <si>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</si>
  <si>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</si>
  <si>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</si>
  <si>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</si>
  <si>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 xml:space="preserve">середні видатки на утримання 1 дренажної станції </t>
  </si>
  <si>
    <t>середні витрати на 1 куб. м площі очищення стічних вод</t>
  </si>
  <si>
    <t>темп зростання витрат на утримання дренажних станцій порівняно з попереднім періодом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</si>
  <si>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</si>
  <si>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 xml:space="preserve">обсяг видатків </t>
  </si>
  <si>
    <t xml:space="preserve">площа територій, що підлягає прибиранню та планується прибирати </t>
  </si>
  <si>
    <t>середні витрати на прибирання 1 кв. м територій</t>
  </si>
  <si>
    <t xml:space="preserve">питома вага площі територій,що заплановано прибирати до площі території, що необхідно прибирати </t>
  </si>
  <si>
    <t>кількість об'єктів, що планується відремонтувати</t>
  </si>
  <si>
    <t>середня вартість капітального ремонту 1 об'єкту</t>
  </si>
  <si>
    <t>середня вартість капітального ремонту 1 дитячого майданчика</t>
  </si>
  <si>
    <t>питома вага кількості об'єктів, до обстежених та які потребують ремонту</t>
  </si>
  <si>
    <t>Завдання 12. Забезпечення діяльності комунального підприємства "Муніципальна дружина"</t>
  </si>
  <si>
    <t xml:space="preserve">кількість працівників </t>
  </si>
  <si>
    <t>кількість протоколів про адміністративні правопорушення, що планується скласти в поточному році</t>
  </si>
  <si>
    <t>кількість протоколів про адміністративні правопорушення, що планується скласти в поточному році на 1 працівника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</si>
  <si>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</si>
  <si>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</si>
  <si>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</si>
  <si>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динаміка кількості протоколів про адміністративні правопорушення, що планується скласти в поточному році до кількості складених протоколів про адміністративні правопорушення порівняно з попереднім роком</t>
  </si>
  <si>
    <t xml:space="preserve">поточний ремонт розчищення та відновлення берегів штучних водойм на території парку культури і відпочинку ім. М. Чекмана </t>
  </si>
  <si>
    <t>розроблення матеріалів про надання дозволів на розробку проектів землеустрою та розроблення проектів землеустрою щодо відведення земельних ділянок</t>
  </si>
  <si>
    <t>договір</t>
  </si>
  <si>
    <t xml:space="preserve">розчистка водовідвідних каналів по місту </t>
  </si>
  <si>
    <t xml:space="preserve">поточний ремонт об’єктів благоустрою (улаштування контейнерних майданчиків по місту) </t>
  </si>
  <si>
    <t>Завдання 9. Капітальний ремонт прибудинкових територій</t>
  </si>
  <si>
    <t>Капітальний ремонт прибудинкових територій</t>
  </si>
  <si>
    <t>обсяг видатків на капітальний ремонт прибудинкових територій</t>
  </si>
  <si>
    <t>кількість об'єктів (прибудинкові території), що потребують капітального ремонту та заплановано відремонтувати</t>
  </si>
  <si>
    <t xml:space="preserve">тис. кв.м </t>
  </si>
  <si>
    <t>зведена відомість по УМК, комунальних підприємствах</t>
  </si>
  <si>
    <t>капітальний ремонт дитячих та спортивних майданчиків</t>
  </si>
  <si>
    <t>капітальний ремонт комунальних майданчиків для вигулу собак на території м. Хмельницького (в т.ч. ПКД, експертиза)</t>
  </si>
  <si>
    <t>попереднє обстеження/ проектно-кошторисна документація</t>
  </si>
  <si>
    <t>штатний розпис</t>
  </si>
  <si>
    <t>В. о. начальника управління комунальної_x000D__x000D_ інфраструктури_x000D_</t>
  </si>
  <si>
    <t>кількість підземних контейнерних майданчиків, які планується відремонтувати</t>
  </si>
  <si>
    <t>кількість контейнерних майданчиків, які необхідно улаштувати</t>
  </si>
  <si>
    <t>кількість контейнерних майданчиків, які планується улаштувати</t>
  </si>
  <si>
    <t>середня вартість капітального ремонту контейнерного майданчика з встановленням підземного контейнера</t>
  </si>
  <si>
    <t>середня вартість поточного ремонту 1 контейнерного майданчика</t>
  </si>
  <si>
    <t>капітальний ремонт-розчистка русла річки Південний Буг від намулу, відкладів, завалів в межах міста Хмельницький  від вул. Трудової до вул. С.Бандери</t>
  </si>
  <si>
    <t>капітальний ремонт зони відпочинку навколо водойми в мікрорайоні "Озерна" в м. Хмельницький</t>
  </si>
  <si>
    <t>капітальний ремонт атракціону «Колесо огляду» в парку культури та відпочинку ім. М. Чекмана м. Хмельницький</t>
  </si>
  <si>
    <t>середні витрати на капітальний ремонт 1 об'єкту (прибудинкова територія)</t>
  </si>
  <si>
    <t xml:space="preserve">питома вага кількості об'єктів (прибудинкові території), які планується відремонтувати до кількості, які потребують ремонту </t>
  </si>
  <si>
    <t>темп зменшення середньої вартості  утримання світлофорних об'єктів в порівнянні з попереднім роком</t>
  </si>
  <si>
    <t>обсяг території, яку необхідно та планується обслуговувати (парки, сквери, квітники, зелені зони, прибережні смуги, тощо)</t>
  </si>
  <si>
    <t>кількість зелених насаджень, що необхідно та планується омолоджувати</t>
  </si>
  <si>
    <t>перспективний план відділу з благоустрою</t>
  </si>
  <si>
    <t>темп зростання середньої вартості утримання 1 кв. м  вулиць, доріг  в осінньо-зимовий період в порівнянні з попереднім роком</t>
  </si>
  <si>
    <t>динаміка відремонтованої за рахунок поточного ремонту площі доріг, тротуарів порівняно з попереднім роком</t>
  </si>
  <si>
    <t xml:space="preserve">площа борщівника Сосновського, що необхідно та планується викошувати </t>
  </si>
  <si>
    <t xml:space="preserve">середні витрати на 1 га площі разового викошування борщівника Сосновського </t>
  </si>
  <si>
    <t>послуги з розробки норм надання послуг з вивезення ТПВ</t>
  </si>
  <si>
    <t>кількість послуг з розробки норм надання послуг з вивезення ТПВ</t>
  </si>
  <si>
    <t>витрати на розробки норм надання послуг з вивезення ТПВ</t>
  </si>
  <si>
    <t xml:space="preserve">видатки на викошування борщівника Сосновського </t>
  </si>
  <si>
    <t>поточний ремонт пішохідної доріжки в парку «Заріччя» в м. Хмельницькому</t>
  </si>
  <si>
    <t xml:space="preserve">поточний ремонт сходів в районі будинку № 8 В на вул. Свободи в м. Хмельницькому </t>
  </si>
  <si>
    <t>поточний ремонт – ліквідація пошкоджень елементів греблі на вул. Кам’янецькій в м. Хмельницькому</t>
  </si>
  <si>
    <t>капітальний ремонт контейнерних майданчиків із встановленням підземних контейнерів</t>
  </si>
  <si>
    <t xml:space="preserve">капітальний ремонт пішохідної зони біля водонапірної вежі на вул. Болбочана, 18/1 в м. Хмельницькому </t>
  </si>
  <si>
    <t>капітальний ремонт – встановлення флагштоків на в’їздах в місто</t>
  </si>
  <si>
    <t>В. КАБАЛЬСЬКИЙ</t>
  </si>
  <si>
    <t>капітальний ремонт дитячого автомістечка в парку культури і відпочинку ім. М. Чекмана в м. Хмельницькому (ПКД, геодезія, експертиза)</t>
  </si>
  <si>
    <t>зведений кошторис</t>
  </si>
  <si>
    <t>кількість флагштоків, які планується встановити на в’їздах в місто</t>
  </si>
  <si>
    <t>кількість дитячих майданчиків, які планується відремонтувати</t>
  </si>
  <si>
    <t>середня вартість встановлення 1 флагштоку</t>
  </si>
  <si>
    <t>середні витрати на  1 га території, що обслуговується на рік</t>
  </si>
  <si>
    <t>середні витрати на ремонт та обслуговання 1 об'єкту малої архітектурної форми</t>
  </si>
  <si>
    <t>середні витрати на омолодження 1 зеленого насадження</t>
  </si>
  <si>
    <t>середні витрати на видалення 1 куб. м дерева</t>
  </si>
  <si>
    <t>середні витрати на посадку 1 зеленого насадження</t>
  </si>
  <si>
    <t xml:space="preserve">питома вага обсягу території, що заплановано обслуговувати до обсягу, що необхідно обслуговувати  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</si>
  <si>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</si>
  <si>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</si>
  <si>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кількості зелених насаджень, що заплановано омолодити до кількості, що необхідно  омолоджувати </t>
  </si>
  <si>
    <t xml:space="preserve">питома вага об'єму аварійних дерев, що заплановано видалити до об'єму дерев, що необхідно видалити </t>
  </si>
  <si>
    <t xml:space="preserve">питома вага кількості зелених насаджень, що заплановано висадити до кількості, що необхідно висадити </t>
  </si>
  <si>
    <t xml:space="preserve">питома вага кількості проектів землеустрою, що заплановано розробити до кількості, що необхідно розробити </t>
  </si>
  <si>
    <t>Наказ</t>
  </si>
  <si>
    <t xml:space="preserve">капітальний ремонт -електропостачання житлових будинків мікрорайону «Дубово» </t>
  </si>
  <si>
    <t xml:space="preserve">відсоток кількості опор, що заплановано відремонтувати до кількості опор, що  потребують капітального ремонту </t>
  </si>
  <si>
    <t>поточний ремонт підпірної стінки на вул. Гагаріна в районі будинку № 1 в м. Хмельницькому</t>
  </si>
  <si>
    <t>поточний ремонт підпірної стінки біля пам’ятника «Ангел Скорботи» в м.  Хмельницькому</t>
  </si>
  <si>
    <t>поточний  ремонт дитячого майданчика в районі кінцевої зупинки в м-ні Лезневе</t>
  </si>
  <si>
    <t xml:space="preserve">кількість електроопор, які  потребують капітального ремонту та планується відремонтувати </t>
  </si>
  <si>
    <t>середні витрати на проведення капітального ремонту 1 електроопори</t>
  </si>
  <si>
    <t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Програма популяризації та ефективного впрвадження програм у сфері житлово-комунального господарства на 2019-2023 роки, Програма забезпечення діяльності Хмельницького міського комунального підприємства "Муніципальна дружина" на 2021 - 2022 роки, 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рік»,  рішення сьомої сесії Хмельницької міської ради від 14.07.2021 № 3 «Про внесення змін до бюджету Хмельницької міської територіальної громади на 2021 рік»</t>
  </si>
  <si>
    <t>темп зростання середньої вартості утримання  1 кв. м  вулиць, доріг в весняно-літній  період  в порівнянні з попереднім роком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</si>
</sst>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,##0.0"/>
    <numFmt numFmtId="167" formatCode="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2"/>
      <color indexed="9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4" fillId="0" borderId="0"/>
    <xf numFmtId="0" fontId="21" fillId="0" borderId="0">
      <alignment horizontal="left"/>
    </xf>
  </cellStyleXfs>
  <cellXfs count="237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7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19" fillId="0" borderId="0" xfId="0" applyFont="1"/>
    <xf numFmtId="0" fontId="18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2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3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4" fontId="3" fillId="0" borderId="0" xfId="2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7" fillId="0" borderId="0" xfId="0" applyFont="1" applyBorder="1"/>
    <xf numFmtId="2" fontId="27" fillId="0" borderId="0" xfId="0" applyNumberFormat="1" applyFont="1" applyBorder="1"/>
    <xf numFmtId="0" fontId="2" fillId="0" borderId="0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3" xfId="2" applyFont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" fontId="3" fillId="0" borderId="3" xfId="2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2" fillId="0" borderId="2" xfId="0" quotePrefix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3" fillId="0" borderId="3" xfId="2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2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top"/>
    </xf>
    <xf numFmtId="14" fontId="10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7" fillId="0" borderId="2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3" fillId="0" borderId="6" xfId="2" applyFont="1" applyBorder="1" applyAlignment="1">
      <alignment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2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167" fontId="20" fillId="2" borderId="3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23" fillId="0" borderId="3" xfId="0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2" fontId="3" fillId="2" borderId="3" xfId="2" applyNumberFormat="1" applyFont="1" applyFill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4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</cellXfs>
  <cellStyles count="3">
    <cellStyle name="Звичайний" xfId="0" builtinId="0"/>
    <cellStyle name="Звичайний 21" xfId="1"/>
    <cellStyle name="Обычный_Паспорт_Звіт 2012 остання сесія 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364"/>
  <sheetViews>
    <sheetView tabSelected="1" view="pageBreakPreview" zoomScaleNormal="100" zoomScaleSheetLayoutView="100" workbookViewId="0">
      <selection activeCell="BW199" sqref="BW199"/>
    </sheetView>
  </sheetViews>
  <sheetFormatPr defaultRowHeight="12.75" x14ac:dyDescent="0.2"/>
  <cols>
    <col min="1" max="18" width="2.85546875" style="1" customWidth="1"/>
    <col min="19" max="19" width="3" style="1" customWidth="1"/>
    <col min="20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4" style="1" customWidth="1"/>
    <col min="70" max="70" width="10" style="1" customWidth="1"/>
    <col min="71" max="71" width="8.5703125" style="1" customWidth="1"/>
    <col min="72" max="72" width="9.5703125" style="1" customWidth="1"/>
    <col min="73" max="73" width="6.5703125" style="1" customWidth="1"/>
    <col min="74" max="77" width="3" style="1" customWidth="1"/>
    <col min="78" max="78" width="4.5703125" style="1" customWidth="1"/>
    <col min="79" max="79" width="5.28515625" style="1" hidden="1" customWidth="1"/>
    <col min="80" max="80" width="14.7109375" style="1" customWidth="1"/>
    <col min="81" max="16384" width="9.140625" style="1"/>
  </cols>
  <sheetData>
    <row r="1" spans="1:77" ht="44.25" customHeight="1" x14ac:dyDescent="0.2">
      <c r="AO1" s="146" t="s">
        <v>19</v>
      </c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</row>
    <row r="2" spans="1:77" ht="15.95" customHeight="1" x14ac:dyDescent="0.2">
      <c r="AO2" s="134" t="s">
        <v>0</v>
      </c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</row>
    <row r="3" spans="1:77" ht="15" customHeight="1" x14ac:dyDescent="0.2">
      <c r="AO3" s="157" t="s">
        <v>284</v>
      </c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</row>
    <row r="4" spans="1:77" ht="32.1" customHeight="1" x14ac:dyDescent="0.25">
      <c r="AO4" s="150" t="s">
        <v>68</v>
      </c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</row>
    <row r="5" spans="1:77" x14ac:dyDescent="0.2">
      <c r="AO5" s="151" t="s">
        <v>7</v>
      </c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</row>
    <row r="6" spans="1:77" ht="7.5" customHeight="1" x14ac:dyDescent="0.2"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</row>
    <row r="7" spans="1:77" ht="12.75" customHeight="1" x14ac:dyDescent="0.2">
      <c r="AO7" s="122">
        <v>44404</v>
      </c>
      <c r="AP7" s="123"/>
      <c r="AQ7" s="123"/>
      <c r="AR7" s="123"/>
      <c r="AS7" s="123"/>
      <c r="AT7" s="123"/>
      <c r="AU7" s="123"/>
      <c r="AV7" s="1" t="s">
        <v>46</v>
      </c>
      <c r="AW7" s="125">
        <v>178</v>
      </c>
      <c r="AX7" s="125"/>
      <c r="AY7" s="125"/>
      <c r="AZ7" s="125"/>
      <c r="BA7" s="125"/>
      <c r="BB7" s="125"/>
      <c r="BC7" s="125"/>
      <c r="BD7" s="125"/>
      <c r="BE7" s="125"/>
      <c r="BF7" s="125"/>
    </row>
    <row r="8" spans="1:77" x14ac:dyDescent="0.2">
      <c r="AO8" s="24"/>
      <c r="AP8" s="24"/>
      <c r="AQ8" s="24"/>
      <c r="AR8" s="24"/>
      <c r="AS8" s="24"/>
      <c r="AT8" s="24"/>
      <c r="AU8" s="24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127" t="s">
        <v>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77" ht="15.75" customHeight="1" x14ac:dyDescent="0.2">
      <c r="A11" s="127" t="s">
        <v>59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.75" customHeight="1" x14ac:dyDescent="0.2">
      <c r="A13" s="12" t="s">
        <v>36</v>
      </c>
      <c r="B13" s="119" t="s">
        <v>70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21"/>
      <c r="N13" s="130" t="s">
        <v>68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44"/>
      <c r="AU13" s="128" t="s">
        <v>69</v>
      </c>
      <c r="AV13" s="129"/>
      <c r="AW13" s="129"/>
      <c r="AX13" s="129"/>
      <c r="AY13" s="129"/>
      <c r="AZ13" s="129"/>
      <c r="BA13" s="129"/>
      <c r="BB13" s="129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20"/>
      <c r="B14" s="121" t="s">
        <v>39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40"/>
      <c r="N14" s="126" t="s">
        <v>45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40"/>
      <c r="AU14" s="121" t="s">
        <v>38</v>
      </c>
      <c r="AV14" s="121"/>
      <c r="AW14" s="121"/>
      <c r="AX14" s="121"/>
      <c r="AY14" s="121"/>
      <c r="AZ14" s="121"/>
      <c r="BA14" s="121"/>
      <c r="BB14" s="121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8" customHeight="1" x14ac:dyDescent="0.2">
      <c r="A16" s="23" t="s">
        <v>4</v>
      </c>
      <c r="B16" s="119" t="s">
        <v>71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21"/>
      <c r="N16" s="130" t="s">
        <v>68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44"/>
      <c r="AU16" s="128" t="s">
        <v>69</v>
      </c>
      <c r="AV16" s="129"/>
      <c r="AW16" s="129"/>
      <c r="AX16" s="129"/>
      <c r="AY16" s="129"/>
      <c r="AZ16" s="129"/>
      <c r="BA16" s="129"/>
      <c r="BB16" s="129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121" t="s">
        <v>39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40"/>
      <c r="N17" s="126" t="s">
        <v>44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40"/>
      <c r="AU17" s="121" t="s">
        <v>38</v>
      </c>
      <c r="AV17" s="121"/>
      <c r="AW17" s="121"/>
      <c r="AX17" s="121"/>
      <c r="AY17" s="121"/>
      <c r="AZ17" s="121"/>
      <c r="BA17" s="121"/>
      <c r="BB17" s="121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37</v>
      </c>
      <c r="B19" s="128">
        <v>1416030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30"/>
      <c r="N19" s="128" t="s">
        <v>65</v>
      </c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29"/>
      <c r="AA19" s="128" t="s">
        <v>60</v>
      </c>
      <c r="AB19" s="129"/>
      <c r="AC19" s="129"/>
      <c r="AD19" s="129"/>
      <c r="AE19" s="129"/>
      <c r="AF19" s="129"/>
      <c r="AG19" s="129"/>
      <c r="AH19" s="129"/>
      <c r="AI19" s="129"/>
      <c r="AJ19" s="29"/>
      <c r="AK19" s="129" t="s">
        <v>64</v>
      </c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29"/>
      <c r="BE19" s="128" t="s">
        <v>58</v>
      </c>
      <c r="BF19" s="129"/>
      <c r="BG19" s="129"/>
      <c r="BH19" s="129"/>
      <c r="BI19" s="129"/>
      <c r="BJ19" s="129"/>
      <c r="BK19" s="129"/>
      <c r="BL19" s="129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25.5" customHeight="1" x14ac:dyDescent="0.2">
      <c r="B20" s="121" t="s">
        <v>39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41"/>
      <c r="N20" s="121" t="s">
        <v>40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42"/>
      <c r="AA20" s="132" t="s">
        <v>41</v>
      </c>
      <c r="AB20" s="132"/>
      <c r="AC20" s="132"/>
      <c r="AD20" s="132"/>
      <c r="AE20" s="132"/>
      <c r="AF20" s="132"/>
      <c r="AG20" s="132"/>
      <c r="AH20" s="132"/>
      <c r="AI20" s="132"/>
      <c r="AJ20" s="42"/>
      <c r="AK20" s="131" t="s">
        <v>42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42"/>
      <c r="BE20" s="121" t="s">
        <v>43</v>
      </c>
      <c r="BF20" s="121"/>
      <c r="BG20" s="121"/>
      <c r="BH20" s="121"/>
      <c r="BI20" s="121"/>
      <c r="BJ20" s="121"/>
      <c r="BK20" s="121"/>
      <c r="BL20" s="121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61" t="s">
        <v>33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47">
        <f>AS22+I23</f>
        <v>183415387</v>
      </c>
      <c r="V22" s="147"/>
      <c r="W22" s="147"/>
      <c r="X22" s="147"/>
      <c r="Y22" s="147"/>
      <c r="Z22" s="147"/>
      <c r="AA22" s="147"/>
      <c r="AB22" s="147"/>
      <c r="AC22" s="147"/>
      <c r="AD22" s="147"/>
      <c r="AE22" s="148" t="s">
        <v>34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7">
        <f>AC69</f>
        <v>166924948</v>
      </c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36" t="s">
        <v>10</v>
      </c>
      <c r="BE22" s="136"/>
      <c r="BF22" s="136"/>
      <c r="BG22" s="136"/>
      <c r="BH22" s="136"/>
      <c r="BI22" s="136"/>
      <c r="BJ22" s="136"/>
      <c r="BK22" s="136"/>
      <c r="BL22" s="136"/>
    </row>
    <row r="23" spans="1:79" ht="24.95" customHeight="1" x14ac:dyDescent="0.25">
      <c r="A23" s="136" t="s">
        <v>9</v>
      </c>
      <c r="B23" s="136"/>
      <c r="C23" s="136"/>
      <c r="D23" s="136"/>
      <c r="E23" s="136"/>
      <c r="F23" s="136"/>
      <c r="G23" s="136"/>
      <c r="H23" s="136"/>
      <c r="I23" s="147">
        <f>AK69</f>
        <v>16490439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36" t="s">
        <v>11</v>
      </c>
      <c r="U23" s="136"/>
      <c r="V23" s="136"/>
      <c r="W23" s="136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34" t="s">
        <v>21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</row>
    <row r="26" spans="1:79" ht="111.75" customHeight="1" x14ac:dyDescent="0.25">
      <c r="A26" s="135" t="s">
        <v>292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136" t="s">
        <v>20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</row>
    <row r="29" spans="1:79" ht="23.25" customHeight="1" x14ac:dyDescent="0.2">
      <c r="A29" s="65" t="s">
        <v>15</v>
      </c>
      <c r="B29" s="65"/>
      <c r="C29" s="65"/>
      <c r="D29" s="65"/>
      <c r="E29" s="65"/>
      <c r="F29" s="65"/>
      <c r="G29" s="137" t="s">
        <v>24</v>
      </c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9"/>
    </row>
    <row r="30" spans="1:79" ht="17.25" customHeight="1" x14ac:dyDescent="0.2">
      <c r="A30" s="65">
        <v>1</v>
      </c>
      <c r="B30" s="65"/>
      <c r="C30" s="65"/>
      <c r="D30" s="65"/>
      <c r="E30" s="65"/>
      <c r="F30" s="65"/>
      <c r="G30" s="137">
        <v>2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9"/>
    </row>
    <row r="31" spans="1:79" ht="18.75" customHeight="1" x14ac:dyDescent="0.2">
      <c r="A31" s="65">
        <v>1</v>
      </c>
      <c r="B31" s="65"/>
      <c r="C31" s="65"/>
      <c r="D31" s="65"/>
      <c r="E31" s="65"/>
      <c r="F31" s="65"/>
      <c r="G31" s="158" t="s">
        <v>72</v>
      </c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60"/>
      <c r="CA31" s="1" t="s">
        <v>32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.95" customHeight="1" x14ac:dyDescent="0.2">
      <c r="A33" s="136" t="s">
        <v>22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</row>
    <row r="34" spans="1:64" ht="21.75" customHeight="1" x14ac:dyDescent="0.25">
      <c r="A34" s="135" t="s">
        <v>73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</row>
    <row r="35" spans="1:64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64" ht="15.75" customHeight="1" x14ac:dyDescent="0.2">
      <c r="A36" s="136" t="s">
        <v>23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</row>
    <row r="37" spans="1:64" ht="20.25" customHeight="1" x14ac:dyDescent="0.2">
      <c r="A37" s="65" t="s">
        <v>15</v>
      </c>
      <c r="B37" s="65"/>
      <c r="C37" s="65"/>
      <c r="D37" s="65"/>
      <c r="E37" s="65"/>
      <c r="F37" s="65"/>
      <c r="G37" s="137" t="s">
        <v>12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9"/>
    </row>
    <row r="38" spans="1:64" ht="18" customHeight="1" x14ac:dyDescent="0.2">
      <c r="A38" s="65">
        <v>1</v>
      </c>
      <c r="B38" s="65"/>
      <c r="C38" s="65"/>
      <c r="D38" s="65"/>
      <c r="E38" s="65"/>
      <c r="F38" s="65"/>
      <c r="G38" s="137">
        <v>2</v>
      </c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9"/>
    </row>
    <row r="39" spans="1:64" ht="35.25" customHeight="1" x14ac:dyDescent="0.2">
      <c r="A39" s="65">
        <v>1</v>
      </c>
      <c r="B39" s="65"/>
      <c r="C39" s="65"/>
      <c r="D39" s="65"/>
      <c r="E39" s="65"/>
      <c r="F39" s="65"/>
      <c r="G39" s="184" t="s">
        <v>74</v>
      </c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6"/>
    </row>
    <row r="40" spans="1:64" ht="18" customHeight="1" x14ac:dyDescent="0.2">
      <c r="A40" s="65">
        <v>2</v>
      </c>
      <c r="B40" s="65"/>
      <c r="C40" s="65"/>
      <c r="D40" s="65"/>
      <c r="E40" s="65"/>
      <c r="F40" s="65"/>
      <c r="G40" s="133" t="s">
        <v>75</v>
      </c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</row>
    <row r="41" spans="1:64" ht="18" customHeight="1" x14ac:dyDescent="0.2">
      <c r="A41" s="65">
        <v>3</v>
      </c>
      <c r="B41" s="65"/>
      <c r="C41" s="65"/>
      <c r="D41" s="65"/>
      <c r="E41" s="65"/>
      <c r="F41" s="65"/>
      <c r="G41" s="133" t="s">
        <v>76</v>
      </c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</row>
    <row r="42" spans="1:64" ht="18" customHeight="1" x14ac:dyDescent="0.2">
      <c r="A42" s="65">
        <v>4</v>
      </c>
      <c r="B42" s="65"/>
      <c r="C42" s="65"/>
      <c r="D42" s="65"/>
      <c r="E42" s="65"/>
      <c r="F42" s="65"/>
      <c r="G42" s="133" t="s">
        <v>77</v>
      </c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</row>
    <row r="43" spans="1:64" ht="18" customHeight="1" x14ac:dyDescent="0.2">
      <c r="A43" s="65">
        <v>5</v>
      </c>
      <c r="B43" s="65"/>
      <c r="C43" s="65"/>
      <c r="D43" s="65"/>
      <c r="E43" s="65"/>
      <c r="F43" s="65"/>
      <c r="G43" s="118" t="s">
        <v>78</v>
      </c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</row>
    <row r="44" spans="1:64" ht="18" customHeight="1" x14ac:dyDescent="0.2">
      <c r="A44" s="65">
        <v>6</v>
      </c>
      <c r="B44" s="65"/>
      <c r="C44" s="65"/>
      <c r="D44" s="65"/>
      <c r="E44" s="65"/>
      <c r="F44" s="65"/>
      <c r="G44" s="118" t="s">
        <v>79</v>
      </c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</row>
    <row r="45" spans="1:64" ht="18" customHeight="1" x14ac:dyDescent="0.2">
      <c r="A45" s="65">
        <v>7</v>
      </c>
      <c r="B45" s="65"/>
      <c r="C45" s="65"/>
      <c r="D45" s="65"/>
      <c r="E45" s="65"/>
      <c r="F45" s="65"/>
      <c r="G45" s="118" t="s">
        <v>80</v>
      </c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</row>
    <row r="46" spans="1:64" ht="36.75" customHeight="1" x14ac:dyDescent="0.2">
      <c r="A46" s="65">
        <v>8</v>
      </c>
      <c r="B46" s="65"/>
      <c r="C46" s="65"/>
      <c r="D46" s="65"/>
      <c r="E46" s="65"/>
      <c r="F46" s="65"/>
      <c r="G46" s="118" t="s">
        <v>81</v>
      </c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</row>
    <row r="47" spans="1:64" ht="18" customHeight="1" x14ac:dyDescent="0.2">
      <c r="A47" s="65">
        <v>9</v>
      </c>
      <c r="B47" s="65"/>
      <c r="C47" s="65"/>
      <c r="D47" s="65"/>
      <c r="E47" s="65"/>
      <c r="F47" s="65"/>
      <c r="G47" s="118" t="s">
        <v>227</v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</row>
    <row r="48" spans="1:64" ht="18" customHeight="1" x14ac:dyDescent="0.2">
      <c r="A48" s="65">
        <v>10</v>
      </c>
      <c r="B48" s="65"/>
      <c r="C48" s="65"/>
      <c r="D48" s="65"/>
      <c r="E48" s="65"/>
      <c r="F48" s="65"/>
      <c r="G48" s="118" t="s">
        <v>82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</row>
    <row r="49" spans="1:85" ht="18" customHeight="1" x14ac:dyDescent="0.2">
      <c r="A49" s="65">
        <v>11</v>
      </c>
      <c r="B49" s="65"/>
      <c r="C49" s="65"/>
      <c r="D49" s="65"/>
      <c r="E49" s="65"/>
      <c r="F49" s="65"/>
      <c r="G49" s="133" t="s">
        <v>83</v>
      </c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</row>
    <row r="50" spans="1:85" ht="18" customHeight="1" x14ac:dyDescent="0.2">
      <c r="A50" s="65">
        <v>12</v>
      </c>
      <c r="B50" s="65"/>
      <c r="C50" s="65"/>
      <c r="D50" s="65"/>
      <c r="E50" s="65"/>
      <c r="F50" s="65"/>
      <c r="G50" s="133" t="s">
        <v>84</v>
      </c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</row>
    <row r="51" spans="1:85" ht="15.7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85" ht="15.75" customHeight="1" x14ac:dyDescent="0.2">
      <c r="A52" s="136" t="s">
        <v>25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</row>
    <row r="53" spans="1:85" ht="15" customHeight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124" t="s">
        <v>63</v>
      </c>
      <c r="AT53" s="124"/>
      <c r="AU53" s="124"/>
      <c r="AV53" s="124"/>
      <c r="AW53" s="124"/>
      <c r="AX53" s="124"/>
      <c r="AY53" s="124"/>
      <c r="AZ53" s="124"/>
      <c r="BA53" s="32"/>
      <c r="BB53" s="32"/>
      <c r="BC53" s="32"/>
      <c r="BD53" s="32"/>
      <c r="BE53" s="32"/>
      <c r="BF53" s="32"/>
      <c r="BG53" s="32"/>
      <c r="BH53" s="32"/>
      <c r="BI53" s="25"/>
      <c r="BJ53" s="25"/>
      <c r="BK53" s="25"/>
      <c r="BL53" s="25"/>
    </row>
    <row r="54" spans="1:85" ht="10.5" customHeight="1" x14ac:dyDescent="0.25">
      <c r="A54" s="65" t="s">
        <v>15</v>
      </c>
      <c r="B54" s="65"/>
      <c r="C54" s="65"/>
      <c r="D54" s="140" t="s">
        <v>13</v>
      </c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2"/>
      <c r="AC54" s="65" t="s">
        <v>16</v>
      </c>
      <c r="AD54" s="65"/>
      <c r="AE54" s="65"/>
      <c r="AF54" s="65"/>
      <c r="AG54" s="65"/>
      <c r="AH54" s="65"/>
      <c r="AI54" s="65"/>
      <c r="AJ54" s="65"/>
      <c r="AK54" s="65" t="s">
        <v>17</v>
      </c>
      <c r="AL54" s="65"/>
      <c r="AM54" s="65"/>
      <c r="AN54" s="65"/>
      <c r="AO54" s="65"/>
      <c r="AP54" s="65"/>
      <c r="AQ54" s="65"/>
      <c r="AR54" s="65"/>
      <c r="AS54" s="65" t="s">
        <v>14</v>
      </c>
      <c r="AT54" s="65"/>
      <c r="AU54" s="65"/>
      <c r="AV54" s="65"/>
      <c r="AW54" s="65"/>
      <c r="AX54" s="65"/>
      <c r="AY54" s="65"/>
      <c r="AZ54" s="65"/>
      <c r="BA54" s="27"/>
      <c r="BB54" s="27"/>
      <c r="BC54" s="27"/>
      <c r="BD54" s="27"/>
      <c r="BE54" s="27"/>
      <c r="BF54" s="27"/>
      <c r="BG54" s="27"/>
      <c r="BH54" s="27"/>
      <c r="BI54" s="28"/>
      <c r="BJ54" s="28"/>
      <c r="BK54" s="28"/>
      <c r="BL54" s="28"/>
    </row>
    <row r="55" spans="1:85" ht="14.25" customHeight="1" x14ac:dyDescent="0.25">
      <c r="A55" s="65"/>
      <c r="B55" s="65"/>
      <c r="C55" s="65"/>
      <c r="D55" s="143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27"/>
      <c r="BB55" s="27"/>
      <c r="BC55" s="27"/>
      <c r="BD55" s="27"/>
      <c r="BE55" s="27"/>
      <c r="BF55" s="27"/>
      <c r="BG55" s="27"/>
      <c r="BH55" s="27"/>
      <c r="BI55" s="28"/>
      <c r="BJ55" s="28"/>
      <c r="BK55" s="28"/>
      <c r="BL55" s="28"/>
    </row>
    <row r="56" spans="1:85" ht="15.75" x14ac:dyDescent="0.25">
      <c r="A56" s="65">
        <v>1</v>
      </c>
      <c r="B56" s="65"/>
      <c r="C56" s="65"/>
      <c r="D56" s="137">
        <v>2</v>
      </c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9"/>
      <c r="AC56" s="65">
        <v>3</v>
      </c>
      <c r="AD56" s="65"/>
      <c r="AE56" s="65"/>
      <c r="AF56" s="65"/>
      <c r="AG56" s="65"/>
      <c r="AH56" s="65"/>
      <c r="AI56" s="65"/>
      <c r="AJ56" s="65"/>
      <c r="AK56" s="65">
        <v>4</v>
      </c>
      <c r="AL56" s="65"/>
      <c r="AM56" s="65"/>
      <c r="AN56" s="65"/>
      <c r="AO56" s="65"/>
      <c r="AP56" s="65"/>
      <c r="AQ56" s="65"/>
      <c r="AR56" s="65"/>
      <c r="AS56" s="65">
        <v>5</v>
      </c>
      <c r="AT56" s="65"/>
      <c r="AU56" s="65"/>
      <c r="AV56" s="65"/>
      <c r="AW56" s="65"/>
      <c r="AX56" s="65"/>
      <c r="AY56" s="65"/>
      <c r="AZ56" s="65"/>
      <c r="BA56" s="27"/>
      <c r="BB56" s="27"/>
      <c r="BC56" s="27"/>
      <c r="BD56" s="27"/>
      <c r="BE56" s="27"/>
      <c r="BF56" s="27"/>
      <c r="BG56" s="27"/>
      <c r="BH56" s="27"/>
      <c r="BI56" s="28"/>
      <c r="BJ56" s="28"/>
      <c r="BK56" s="28"/>
      <c r="BL56" s="28"/>
    </row>
    <row r="57" spans="1:85" s="2" customFormat="1" ht="36" customHeight="1" x14ac:dyDescent="0.25">
      <c r="A57" s="65">
        <v>1</v>
      </c>
      <c r="B57" s="65"/>
      <c r="C57" s="65"/>
      <c r="D57" s="181" t="s">
        <v>85</v>
      </c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3"/>
      <c r="AC57" s="74">
        <f>AO87</f>
        <v>28145810</v>
      </c>
      <c r="AD57" s="74"/>
      <c r="AE57" s="74"/>
      <c r="AF57" s="74"/>
      <c r="AG57" s="74"/>
      <c r="AH57" s="74"/>
      <c r="AI57" s="74"/>
      <c r="AJ57" s="74"/>
      <c r="AK57" s="74">
        <f>AW87</f>
        <v>1500000</v>
      </c>
      <c r="AL57" s="74"/>
      <c r="AM57" s="74"/>
      <c r="AN57" s="74"/>
      <c r="AO57" s="74"/>
      <c r="AP57" s="74"/>
      <c r="AQ57" s="74"/>
      <c r="AR57" s="74"/>
      <c r="AS57" s="74">
        <f>AC57+AK57</f>
        <v>29645810</v>
      </c>
      <c r="AT57" s="74"/>
      <c r="AU57" s="74"/>
      <c r="AV57" s="74"/>
      <c r="AW57" s="74"/>
      <c r="AX57" s="74"/>
      <c r="AY57" s="74"/>
      <c r="AZ57" s="74"/>
      <c r="BA57" s="33"/>
      <c r="BB57" s="34"/>
      <c r="BC57" s="34"/>
      <c r="BD57" s="34"/>
      <c r="BE57" s="34"/>
      <c r="BF57" s="34"/>
      <c r="BG57" s="34"/>
      <c r="BH57" s="34"/>
      <c r="BI57" s="35"/>
      <c r="BJ57" s="35"/>
      <c r="BK57" s="35"/>
      <c r="BL57" s="35"/>
      <c r="CA57" s="2" t="s">
        <v>6</v>
      </c>
    </row>
    <row r="58" spans="1:85" s="2" customFormat="1" ht="20.100000000000001" customHeight="1" x14ac:dyDescent="0.25">
      <c r="A58" s="65">
        <v>2</v>
      </c>
      <c r="B58" s="65"/>
      <c r="C58" s="65"/>
      <c r="D58" s="181" t="s">
        <v>86</v>
      </c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3"/>
      <c r="AC58" s="74">
        <f>AO124</f>
        <v>8863700</v>
      </c>
      <c r="AD58" s="74"/>
      <c r="AE58" s="74"/>
      <c r="AF58" s="74"/>
      <c r="AG58" s="74"/>
      <c r="AH58" s="74"/>
      <c r="AI58" s="74"/>
      <c r="AJ58" s="74"/>
      <c r="AK58" s="74">
        <v>0</v>
      </c>
      <c r="AL58" s="74"/>
      <c r="AM58" s="74"/>
      <c r="AN58" s="74"/>
      <c r="AO58" s="74"/>
      <c r="AP58" s="74"/>
      <c r="AQ58" s="74"/>
      <c r="AR58" s="74"/>
      <c r="AS58" s="74">
        <f t="shared" ref="AS58:AS68" si="0">AC58+AK58</f>
        <v>8863700</v>
      </c>
      <c r="AT58" s="74"/>
      <c r="AU58" s="74"/>
      <c r="AV58" s="74"/>
      <c r="AW58" s="74"/>
      <c r="AX58" s="74"/>
      <c r="AY58" s="74"/>
      <c r="AZ58" s="74"/>
      <c r="BA58" s="33"/>
      <c r="BB58" s="34"/>
      <c r="BC58" s="34"/>
      <c r="BD58" s="34"/>
      <c r="BE58" s="34"/>
      <c r="BF58" s="34"/>
      <c r="BG58" s="34"/>
      <c r="BH58" s="34"/>
      <c r="BI58" s="35"/>
      <c r="BJ58" s="35"/>
      <c r="BK58" s="35"/>
      <c r="BL58" s="3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</row>
    <row r="59" spans="1:85" s="2" customFormat="1" ht="20.100000000000001" customHeight="1" x14ac:dyDescent="0.25">
      <c r="A59" s="65">
        <v>3</v>
      </c>
      <c r="B59" s="65"/>
      <c r="C59" s="65"/>
      <c r="D59" s="181" t="s">
        <v>87</v>
      </c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3"/>
      <c r="AC59" s="74">
        <f>AO135</f>
        <v>34465369</v>
      </c>
      <c r="AD59" s="74"/>
      <c r="AE59" s="74"/>
      <c r="AF59" s="74"/>
      <c r="AG59" s="74"/>
      <c r="AH59" s="74"/>
      <c r="AI59" s="74"/>
      <c r="AJ59" s="74"/>
      <c r="AK59" s="74">
        <f>AW135</f>
        <v>1378984</v>
      </c>
      <c r="AL59" s="74"/>
      <c r="AM59" s="74"/>
      <c r="AN59" s="74"/>
      <c r="AO59" s="74"/>
      <c r="AP59" s="74"/>
      <c r="AQ59" s="74"/>
      <c r="AR59" s="74"/>
      <c r="AS59" s="74">
        <f t="shared" si="0"/>
        <v>35844353</v>
      </c>
      <c r="AT59" s="74"/>
      <c r="AU59" s="74"/>
      <c r="AV59" s="74"/>
      <c r="AW59" s="74"/>
      <c r="AX59" s="74"/>
      <c r="AY59" s="74"/>
      <c r="AZ59" s="74"/>
      <c r="BA59" s="33"/>
      <c r="BB59" s="34"/>
      <c r="BC59" s="34"/>
      <c r="BD59" s="34"/>
      <c r="BE59" s="34"/>
      <c r="BF59" s="34"/>
      <c r="BG59" s="34"/>
      <c r="BH59" s="34"/>
      <c r="BI59" s="35"/>
      <c r="BJ59" s="35"/>
      <c r="BK59" s="35"/>
      <c r="BL59" s="35"/>
      <c r="BS59" s="45"/>
      <c r="BT59" s="46"/>
      <c r="BU59" s="46"/>
      <c r="BV59" s="46"/>
      <c r="BW59" s="46"/>
      <c r="BX59" s="46"/>
      <c r="BY59" s="46"/>
      <c r="BZ59" s="46"/>
      <c r="CA59" s="46"/>
      <c r="CB59" s="46"/>
      <c r="CC59" s="45"/>
    </row>
    <row r="60" spans="1:85" s="2" customFormat="1" ht="20.100000000000001" customHeight="1" x14ac:dyDescent="0.25">
      <c r="A60" s="65">
        <v>4</v>
      </c>
      <c r="B60" s="65"/>
      <c r="C60" s="65"/>
      <c r="D60" s="181" t="s">
        <v>88</v>
      </c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3"/>
      <c r="AC60" s="74">
        <f>AO160</f>
        <v>5424300</v>
      </c>
      <c r="AD60" s="74"/>
      <c r="AE60" s="74"/>
      <c r="AF60" s="74"/>
      <c r="AG60" s="74"/>
      <c r="AH60" s="74"/>
      <c r="AI60" s="74"/>
      <c r="AJ60" s="74"/>
      <c r="AK60" s="74">
        <v>0</v>
      </c>
      <c r="AL60" s="74"/>
      <c r="AM60" s="74"/>
      <c r="AN60" s="74"/>
      <c r="AO60" s="74"/>
      <c r="AP60" s="74"/>
      <c r="AQ60" s="74"/>
      <c r="AR60" s="74"/>
      <c r="AS60" s="74">
        <f t="shared" si="0"/>
        <v>5424300</v>
      </c>
      <c r="AT60" s="74"/>
      <c r="AU60" s="74"/>
      <c r="AV60" s="74"/>
      <c r="AW60" s="74"/>
      <c r="AX60" s="74"/>
      <c r="AY60" s="74"/>
      <c r="AZ60" s="74"/>
      <c r="BA60" s="33"/>
      <c r="BB60" s="34"/>
      <c r="BC60" s="34"/>
      <c r="BD60" s="34"/>
      <c r="BE60" s="34"/>
      <c r="BF60" s="34"/>
      <c r="BG60" s="34"/>
      <c r="BH60" s="34"/>
      <c r="BI60" s="35"/>
      <c r="BJ60" s="35"/>
      <c r="BK60" s="35"/>
      <c r="BL60" s="35"/>
      <c r="BS60" s="45"/>
      <c r="BT60" s="46"/>
      <c r="BU60" s="46"/>
      <c r="BV60" s="46"/>
      <c r="BW60" s="46"/>
      <c r="BX60" s="46"/>
      <c r="BY60" s="46"/>
      <c r="BZ60" s="46"/>
      <c r="CA60" s="46"/>
      <c r="CB60" s="46"/>
      <c r="CC60" s="45"/>
    </row>
    <row r="61" spans="1:85" s="2" customFormat="1" ht="36" customHeight="1" x14ac:dyDescent="0.25">
      <c r="A61" s="65">
        <v>5</v>
      </c>
      <c r="B61" s="65"/>
      <c r="C61" s="65"/>
      <c r="D61" s="177" t="s">
        <v>89</v>
      </c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9"/>
      <c r="AC61" s="74">
        <f>AO183</f>
        <v>76592600</v>
      </c>
      <c r="AD61" s="74"/>
      <c r="AE61" s="74"/>
      <c r="AF61" s="74"/>
      <c r="AG61" s="74"/>
      <c r="AH61" s="74"/>
      <c r="AI61" s="74"/>
      <c r="AJ61" s="74"/>
      <c r="AK61" s="74">
        <v>0</v>
      </c>
      <c r="AL61" s="74"/>
      <c r="AM61" s="74"/>
      <c r="AN61" s="74"/>
      <c r="AO61" s="74"/>
      <c r="AP61" s="74"/>
      <c r="AQ61" s="74"/>
      <c r="AR61" s="74"/>
      <c r="AS61" s="74">
        <f t="shared" si="0"/>
        <v>76592600</v>
      </c>
      <c r="AT61" s="74"/>
      <c r="AU61" s="74"/>
      <c r="AV61" s="74"/>
      <c r="AW61" s="74"/>
      <c r="AX61" s="74"/>
      <c r="AY61" s="74"/>
      <c r="AZ61" s="74"/>
      <c r="BA61" s="33"/>
      <c r="BB61" s="34"/>
      <c r="BC61" s="34"/>
      <c r="BD61" s="34"/>
      <c r="BE61" s="34"/>
      <c r="BF61" s="34"/>
      <c r="BG61" s="34"/>
      <c r="BH61" s="34"/>
      <c r="BI61" s="35"/>
      <c r="BJ61" s="35"/>
      <c r="BK61" s="35"/>
      <c r="BL61" s="35"/>
      <c r="BQ61" s="45"/>
      <c r="BR61" s="45"/>
      <c r="BS61" s="45"/>
      <c r="BT61" s="46"/>
      <c r="BU61" s="46"/>
      <c r="BV61" s="46"/>
      <c r="BW61" s="46"/>
      <c r="BX61" s="46"/>
      <c r="BY61" s="46"/>
      <c r="BZ61" s="46"/>
      <c r="CA61" s="46"/>
      <c r="CB61" s="46"/>
      <c r="CC61" s="45"/>
      <c r="CD61" s="45"/>
      <c r="CE61" s="45"/>
      <c r="CF61" s="45"/>
      <c r="CG61" s="45"/>
    </row>
    <row r="62" spans="1:85" s="2" customFormat="1" ht="36" customHeight="1" x14ac:dyDescent="0.25">
      <c r="A62" s="65">
        <v>6</v>
      </c>
      <c r="B62" s="65"/>
      <c r="C62" s="65"/>
      <c r="D62" s="177" t="s">
        <v>90</v>
      </c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9"/>
      <c r="AC62" s="74">
        <f>AO214</f>
        <v>50000</v>
      </c>
      <c r="AD62" s="74"/>
      <c r="AE62" s="74"/>
      <c r="AF62" s="74"/>
      <c r="AG62" s="74"/>
      <c r="AH62" s="74"/>
      <c r="AI62" s="74"/>
      <c r="AJ62" s="74"/>
      <c r="AK62" s="74">
        <v>0</v>
      </c>
      <c r="AL62" s="74"/>
      <c r="AM62" s="74"/>
      <c r="AN62" s="74"/>
      <c r="AO62" s="74"/>
      <c r="AP62" s="74"/>
      <c r="AQ62" s="74"/>
      <c r="AR62" s="74"/>
      <c r="AS62" s="74">
        <f t="shared" si="0"/>
        <v>50000</v>
      </c>
      <c r="AT62" s="74"/>
      <c r="AU62" s="74"/>
      <c r="AV62" s="74"/>
      <c r="AW62" s="74"/>
      <c r="AX62" s="74"/>
      <c r="AY62" s="74"/>
      <c r="AZ62" s="74"/>
      <c r="BA62" s="33"/>
      <c r="BB62" s="34"/>
      <c r="BC62" s="34"/>
      <c r="BD62" s="34"/>
      <c r="BE62" s="34"/>
      <c r="BF62" s="34"/>
      <c r="BG62" s="34"/>
      <c r="BH62" s="34"/>
      <c r="BI62" s="35"/>
      <c r="BJ62" s="35"/>
      <c r="BK62" s="35"/>
      <c r="BL62" s="35"/>
      <c r="BQ62" s="45"/>
      <c r="BR62" s="45"/>
      <c r="BS62" s="45"/>
      <c r="BT62" s="46"/>
      <c r="BU62" s="46"/>
      <c r="BV62" s="46"/>
      <c r="BW62" s="46"/>
      <c r="BX62" s="46"/>
      <c r="BY62" s="46"/>
      <c r="BZ62" s="46"/>
      <c r="CA62" s="46"/>
      <c r="CB62" s="46"/>
      <c r="CC62" s="45"/>
      <c r="CD62" s="45"/>
      <c r="CE62" s="45"/>
      <c r="CF62" s="45"/>
      <c r="CG62" s="45"/>
    </row>
    <row r="63" spans="1:85" s="2" customFormat="1" ht="20.25" customHeight="1" x14ac:dyDescent="0.25">
      <c r="A63" s="65">
        <v>7</v>
      </c>
      <c r="B63" s="65"/>
      <c r="C63" s="65"/>
      <c r="D63" s="177" t="s">
        <v>91</v>
      </c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9"/>
      <c r="AC63" s="74">
        <f>AO226</f>
        <v>5895000</v>
      </c>
      <c r="AD63" s="74"/>
      <c r="AE63" s="74"/>
      <c r="AF63" s="74"/>
      <c r="AG63" s="74"/>
      <c r="AH63" s="74"/>
      <c r="AI63" s="74"/>
      <c r="AJ63" s="74"/>
      <c r="AK63" s="74">
        <v>0</v>
      </c>
      <c r="AL63" s="74"/>
      <c r="AM63" s="74"/>
      <c r="AN63" s="74"/>
      <c r="AO63" s="74"/>
      <c r="AP63" s="74"/>
      <c r="AQ63" s="74"/>
      <c r="AR63" s="74"/>
      <c r="AS63" s="74">
        <f t="shared" si="0"/>
        <v>5895000</v>
      </c>
      <c r="AT63" s="74"/>
      <c r="AU63" s="74"/>
      <c r="AV63" s="74"/>
      <c r="AW63" s="74"/>
      <c r="AX63" s="74"/>
      <c r="AY63" s="74"/>
      <c r="AZ63" s="74"/>
      <c r="BA63" s="33"/>
      <c r="BB63" s="34"/>
      <c r="BC63" s="34"/>
      <c r="BD63" s="34"/>
      <c r="BE63" s="34"/>
      <c r="BF63" s="34"/>
      <c r="BG63" s="34"/>
      <c r="BH63" s="34"/>
      <c r="BI63" s="35"/>
      <c r="BJ63" s="35"/>
      <c r="BK63" s="35"/>
      <c r="BL63" s="35"/>
      <c r="BQ63" s="45"/>
      <c r="BR63" s="45"/>
      <c r="BS63" s="45"/>
      <c r="BT63" s="47"/>
      <c r="BU63" s="47"/>
      <c r="BV63" s="47"/>
      <c r="BW63" s="47"/>
      <c r="BX63" s="47"/>
      <c r="BY63" s="47"/>
      <c r="BZ63" s="47"/>
      <c r="CA63" s="47"/>
      <c r="CB63" s="47"/>
      <c r="CC63" s="45"/>
      <c r="CD63" s="45"/>
      <c r="CE63" s="45"/>
      <c r="CF63" s="45"/>
      <c r="CG63" s="45"/>
    </row>
    <row r="64" spans="1:85" s="2" customFormat="1" ht="50.25" customHeight="1" x14ac:dyDescent="0.25">
      <c r="A64" s="65">
        <v>8</v>
      </c>
      <c r="B64" s="65"/>
      <c r="C64" s="65"/>
      <c r="D64" s="177" t="s">
        <v>92</v>
      </c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9"/>
      <c r="AC64" s="74">
        <f>AO272</f>
        <v>214914</v>
      </c>
      <c r="AD64" s="74"/>
      <c r="AE64" s="74"/>
      <c r="AF64" s="74"/>
      <c r="AG64" s="74"/>
      <c r="AH64" s="74"/>
      <c r="AI64" s="74"/>
      <c r="AJ64" s="74"/>
      <c r="AK64" s="74">
        <v>0</v>
      </c>
      <c r="AL64" s="74"/>
      <c r="AM64" s="74"/>
      <c r="AN64" s="74"/>
      <c r="AO64" s="74"/>
      <c r="AP64" s="74"/>
      <c r="AQ64" s="74"/>
      <c r="AR64" s="74"/>
      <c r="AS64" s="74">
        <f t="shared" si="0"/>
        <v>214914</v>
      </c>
      <c r="AT64" s="74"/>
      <c r="AU64" s="74"/>
      <c r="AV64" s="74"/>
      <c r="AW64" s="74"/>
      <c r="AX64" s="74"/>
      <c r="AY64" s="74"/>
      <c r="AZ64" s="74"/>
      <c r="BA64" s="33"/>
      <c r="BB64" s="34"/>
      <c r="BC64" s="34"/>
      <c r="BD64" s="34"/>
      <c r="BE64" s="34"/>
      <c r="BF64" s="34"/>
      <c r="BG64" s="34"/>
      <c r="BH64" s="34"/>
      <c r="BI64" s="35"/>
      <c r="BJ64" s="35"/>
      <c r="BK64" s="35"/>
      <c r="BL64" s="35"/>
      <c r="BQ64" s="45"/>
      <c r="BR64" s="45"/>
      <c r="BS64" s="45"/>
      <c r="BT64" s="47"/>
      <c r="BU64" s="47"/>
      <c r="BV64" s="47"/>
      <c r="BW64" s="47"/>
      <c r="BX64" s="47"/>
      <c r="BY64" s="47"/>
      <c r="BZ64" s="47"/>
      <c r="CA64" s="47"/>
      <c r="CB64" s="47"/>
      <c r="CC64" s="45"/>
      <c r="CD64" s="45"/>
      <c r="CE64" s="45"/>
      <c r="CF64" s="45"/>
      <c r="CG64" s="45"/>
    </row>
    <row r="65" spans="1:85" s="2" customFormat="1" ht="20.100000000000001" customHeight="1" x14ac:dyDescent="0.25">
      <c r="A65" s="65">
        <v>9</v>
      </c>
      <c r="B65" s="65"/>
      <c r="C65" s="65"/>
      <c r="D65" s="177" t="s">
        <v>228</v>
      </c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9"/>
      <c r="AC65" s="74">
        <f>AW263</f>
        <v>0</v>
      </c>
      <c r="AD65" s="74"/>
      <c r="AE65" s="74"/>
      <c r="AF65" s="74"/>
      <c r="AG65" s="74"/>
      <c r="AH65" s="74"/>
      <c r="AI65" s="74"/>
      <c r="AJ65" s="74"/>
      <c r="AK65" s="74">
        <f>AW289</f>
        <v>3341100</v>
      </c>
      <c r="AL65" s="74"/>
      <c r="AM65" s="74"/>
      <c r="AN65" s="74"/>
      <c r="AO65" s="74"/>
      <c r="AP65" s="74"/>
      <c r="AQ65" s="74"/>
      <c r="AR65" s="74"/>
      <c r="AS65" s="74">
        <f t="shared" si="0"/>
        <v>3341100</v>
      </c>
      <c r="AT65" s="74"/>
      <c r="AU65" s="74"/>
      <c r="AV65" s="74"/>
      <c r="AW65" s="74"/>
      <c r="AX65" s="74"/>
      <c r="AY65" s="74"/>
      <c r="AZ65" s="74"/>
      <c r="BA65" s="33"/>
      <c r="BB65" s="34"/>
      <c r="BC65" s="34"/>
      <c r="BD65" s="34"/>
      <c r="BE65" s="34"/>
      <c r="BF65" s="34"/>
      <c r="BG65" s="34"/>
      <c r="BH65" s="34"/>
      <c r="BI65" s="35"/>
      <c r="BJ65" s="35"/>
      <c r="BK65" s="35"/>
      <c r="BL65" s="35"/>
      <c r="BQ65" s="45"/>
      <c r="BR65" s="45"/>
      <c r="BS65" s="45"/>
      <c r="BT65" s="47"/>
      <c r="BU65" s="47"/>
      <c r="BV65" s="47"/>
      <c r="BW65" s="47"/>
      <c r="BX65" s="47"/>
      <c r="BY65" s="47"/>
      <c r="BZ65" s="47"/>
      <c r="CA65" s="47"/>
      <c r="CB65" s="47"/>
      <c r="CC65" s="45"/>
      <c r="CD65" s="45"/>
      <c r="CE65" s="45"/>
      <c r="CF65" s="45"/>
      <c r="CG65" s="45"/>
    </row>
    <row r="66" spans="1:85" s="2" customFormat="1" ht="20.100000000000001" customHeight="1" x14ac:dyDescent="0.25">
      <c r="A66" s="65">
        <v>10</v>
      </c>
      <c r="B66" s="65"/>
      <c r="C66" s="65"/>
      <c r="D66" s="177" t="s">
        <v>93</v>
      </c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9"/>
      <c r="AC66" s="74">
        <f>AO301</f>
        <v>1300000</v>
      </c>
      <c r="AD66" s="74"/>
      <c r="AE66" s="74"/>
      <c r="AF66" s="74"/>
      <c r="AG66" s="74"/>
      <c r="AH66" s="74"/>
      <c r="AI66" s="74"/>
      <c r="AJ66" s="74"/>
      <c r="AK66" s="74">
        <v>0</v>
      </c>
      <c r="AL66" s="74"/>
      <c r="AM66" s="74"/>
      <c r="AN66" s="74"/>
      <c r="AO66" s="74"/>
      <c r="AP66" s="74"/>
      <c r="AQ66" s="74"/>
      <c r="AR66" s="74"/>
      <c r="AS66" s="74">
        <f t="shared" si="0"/>
        <v>1300000</v>
      </c>
      <c r="AT66" s="74"/>
      <c r="AU66" s="74"/>
      <c r="AV66" s="74"/>
      <c r="AW66" s="74"/>
      <c r="AX66" s="74"/>
      <c r="AY66" s="74"/>
      <c r="AZ66" s="74"/>
      <c r="BA66" s="33"/>
      <c r="BB66" s="34"/>
      <c r="BC66" s="34"/>
      <c r="BD66" s="34"/>
      <c r="BE66" s="34"/>
      <c r="BF66" s="34"/>
      <c r="BG66" s="34"/>
      <c r="BH66" s="34"/>
      <c r="BI66" s="35"/>
      <c r="BJ66" s="35"/>
      <c r="BK66" s="35"/>
      <c r="BL66" s="35"/>
      <c r="BQ66" s="45"/>
      <c r="BR66" s="45"/>
      <c r="BS66" s="45"/>
      <c r="BT66" s="47"/>
      <c r="BU66" s="47"/>
      <c r="BV66" s="47"/>
      <c r="BW66" s="47"/>
      <c r="BX66" s="47"/>
      <c r="BY66" s="47"/>
      <c r="BZ66" s="47"/>
      <c r="CA66" s="47"/>
      <c r="CB66" s="47"/>
      <c r="CC66" s="45"/>
      <c r="CD66" s="45"/>
      <c r="CE66" s="45"/>
      <c r="CF66" s="45"/>
      <c r="CG66" s="45"/>
    </row>
    <row r="67" spans="1:85" s="2" customFormat="1" ht="20.100000000000001" customHeight="1" x14ac:dyDescent="0.25">
      <c r="A67" s="65">
        <v>11</v>
      </c>
      <c r="B67" s="65"/>
      <c r="C67" s="65"/>
      <c r="D67" s="181" t="s">
        <v>94</v>
      </c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3"/>
      <c r="AC67" s="74">
        <f>AW265</f>
        <v>0</v>
      </c>
      <c r="AD67" s="74"/>
      <c r="AE67" s="74"/>
      <c r="AF67" s="74"/>
      <c r="AG67" s="74"/>
      <c r="AH67" s="74"/>
      <c r="AI67" s="74"/>
      <c r="AJ67" s="74"/>
      <c r="AK67" s="74">
        <f>AW313</f>
        <v>10270355</v>
      </c>
      <c r="AL67" s="74"/>
      <c r="AM67" s="74"/>
      <c r="AN67" s="74"/>
      <c r="AO67" s="74"/>
      <c r="AP67" s="74"/>
      <c r="AQ67" s="74"/>
      <c r="AR67" s="74"/>
      <c r="AS67" s="74">
        <f t="shared" si="0"/>
        <v>10270355</v>
      </c>
      <c r="AT67" s="74"/>
      <c r="AU67" s="74"/>
      <c r="AV67" s="74"/>
      <c r="AW67" s="74"/>
      <c r="AX67" s="74"/>
      <c r="AY67" s="74"/>
      <c r="AZ67" s="74"/>
      <c r="BA67" s="33"/>
      <c r="BB67" s="34"/>
      <c r="BC67" s="34"/>
      <c r="BD67" s="34"/>
      <c r="BE67" s="34"/>
      <c r="BF67" s="34"/>
      <c r="BG67" s="34"/>
      <c r="BH67" s="34"/>
      <c r="BI67" s="35"/>
      <c r="BJ67" s="35"/>
      <c r="BK67" s="35"/>
      <c r="BL67" s="35"/>
      <c r="BQ67" s="45"/>
      <c r="BR67" s="45"/>
      <c r="BS67" s="45"/>
      <c r="BT67" s="47"/>
      <c r="BU67" s="47"/>
      <c r="BV67" s="47"/>
      <c r="BW67" s="47"/>
      <c r="BX67" s="47"/>
      <c r="BY67" s="47"/>
      <c r="BZ67" s="47"/>
      <c r="CA67" s="47"/>
      <c r="CB67" s="47"/>
      <c r="CC67" s="45"/>
      <c r="CD67" s="45"/>
      <c r="CE67" s="45"/>
      <c r="CF67" s="45"/>
      <c r="CG67" s="45"/>
    </row>
    <row r="68" spans="1:85" s="2" customFormat="1" ht="36" customHeight="1" x14ac:dyDescent="0.25">
      <c r="A68" s="65">
        <v>12</v>
      </c>
      <c r="B68" s="65"/>
      <c r="C68" s="65"/>
      <c r="D68" s="181" t="s">
        <v>95</v>
      </c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3"/>
      <c r="AC68" s="74">
        <f>AO340</f>
        <v>5973255</v>
      </c>
      <c r="AD68" s="74"/>
      <c r="AE68" s="74"/>
      <c r="AF68" s="74"/>
      <c r="AG68" s="74"/>
      <c r="AH68" s="74"/>
      <c r="AI68" s="74"/>
      <c r="AJ68" s="74"/>
      <c r="AK68" s="74">
        <v>0</v>
      </c>
      <c r="AL68" s="74"/>
      <c r="AM68" s="74"/>
      <c r="AN68" s="74"/>
      <c r="AO68" s="74"/>
      <c r="AP68" s="74"/>
      <c r="AQ68" s="74"/>
      <c r="AR68" s="74"/>
      <c r="AS68" s="74">
        <f t="shared" si="0"/>
        <v>5973255</v>
      </c>
      <c r="AT68" s="74"/>
      <c r="AU68" s="74"/>
      <c r="AV68" s="74"/>
      <c r="AW68" s="74"/>
      <c r="AX68" s="74"/>
      <c r="AY68" s="74"/>
      <c r="AZ68" s="74"/>
      <c r="BA68" s="33"/>
      <c r="BB68" s="34"/>
      <c r="BC68" s="34"/>
      <c r="BD68" s="34"/>
      <c r="BE68" s="34"/>
      <c r="BF68" s="34"/>
      <c r="BG68" s="34"/>
      <c r="BH68" s="34"/>
      <c r="BI68" s="35"/>
      <c r="BJ68" s="35"/>
      <c r="BK68" s="35"/>
      <c r="BL68" s="35"/>
      <c r="BQ68" s="45"/>
      <c r="BR68" s="45"/>
      <c r="BS68" s="45"/>
      <c r="BT68" s="47"/>
      <c r="BU68" s="47"/>
      <c r="BV68" s="47"/>
      <c r="BW68" s="47"/>
      <c r="BX68" s="47"/>
      <c r="BY68" s="47"/>
      <c r="BZ68" s="47"/>
      <c r="CA68" s="47"/>
      <c r="CB68" s="61"/>
      <c r="CC68" s="45"/>
      <c r="CD68" s="45"/>
      <c r="CE68" s="45"/>
      <c r="CF68" s="45"/>
      <c r="CG68" s="45"/>
    </row>
    <row r="69" spans="1:85" s="2" customFormat="1" ht="18" customHeight="1" x14ac:dyDescent="0.25">
      <c r="A69" s="171"/>
      <c r="B69" s="171"/>
      <c r="C69" s="171"/>
      <c r="D69" s="172" t="s">
        <v>47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4"/>
      <c r="AC69" s="180">
        <f>SUM(AC57:AJ68)</f>
        <v>166924948</v>
      </c>
      <c r="AD69" s="180"/>
      <c r="AE69" s="180"/>
      <c r="AF69" s="180"/>
      <c r="AG69" s="180"/>
      <c r="AH69" s="180"/>
      <c r="AI69" s="180"/>
      <c r="AJ69" s="180"/>
      <c r="AK69" s="180">
        <f>SUM(AK57:AR68)</f>
        <v>16490439</v>
      </c>
      <c r="AL69" s="180"/>
      <c r="AM69" s="180"/>
      <c r="AN69" s="180"/>
      <c r="AO69" s="180"/>
      <c r="AP69" s="180"/>
      <c r="AQ69" s="180"/>
      <c r="AR69" s="180"/>
      <c r="AS69" s="180">
        <f>AC69+AK69</f>
        <v>183415387</v>
      </c>
      <c r="AT69" s="180"/>
      <c r="AU69" s="180"/>
      <c r="AV69" s="180"/>
      <c r="AW69" s="180"/>
      <c r="AX69" s="180"/>
      <c r="AY69" s="180"/>
      <c r="AZ69" s="180"/>
      <c r="BA69" s="36"/>
      <c r="BB69" s="36"/>
      <c r="BC69" s="36"/>
      <c r="BD69" s="36"/>
      <c r="BE69" s="36"/>
      <c r="BF69" s="36"/>
      <c r="BG69" s="36"/>
      <c r="BH69" s="36"/>
      <c r="BI69" s="35"/>
      <c r="BJ69" s="35"/>
      <c r="BK69" s="35"/>
      <c r="BL69" s="35"/>
      <c r="BQ69" s="45"/>
      <c r="BR69" s="45"/>
      <c r="BS69" s="45"/>
      <c r="BT69" s="46"/>
      <c r="BU69" s="46"/>
      <c r="BV69" s="46"/>
      <c r="BW69" s="46"/>
      <c r="BX69" s="46"/>
      <c r="BY69" s="46"/>
      <c r="BZ69" s="46"/>
      <c r="CA69" s="46"/>
      <c r="CB69" s="60"/>
      <c r="CC69" s="45"/>
      <c r="CD69" s="45"/>
      <c r="CE69" s="45"/>
      <c r="CF69" s="45"/>
      <c r="CG69" s="45"/>
    </row>
    <row r="70" spans="1:85" ht="15.75" customHeight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Q70" s="48"/>
      <c r="BR70" s="48"/>
      <c r="BS70" s="48"/>
      <c r="BT70" s="46"/>
      <c r="BU70" s="46"/>
      <c r="BV70" s="46"/>
      <c r="BW70" s="46"/>
      <c r="BX70" s="46"/>
      <c r="BY70" s="46"/>
      <c r="BZ70" s="46"/>
      <c r="CA70" s="46"/>
      <c r="CB70" s="46"/>
      <c r="CC70" s="48"/>
      <c r="CD70" s="48"/>
      <c r="CE70" s="48"/>
      <c r="CF70" s="48"/>
      <c r="CG70" s="48"/>
    </row>
    <row r="71" spans="1:85" ht="15.75" customHeight="1" x14ac:dyDescent="0.2">
      <c r="A71" s="134" t="s">
        <v>26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</row>
    <row r="72" spans="1:85" ht="15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124" t="s">
        <v>63</v>
      </c>
      <c r="AS72" s="124"/>
      <c r="AT72" s="124"/>
      <c r="AU72" s="124"/>
      <c r="AV72" s="124"/>
      <c r="AW72" s="124"/>
      <c r="AX72" s="124"/>
      <c r="AY72" s="124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</row>
    <row r="73" spans="1:85" ht="15.95" customHeight="1" x14ac:dyDescent="0.25">
      <c r="A73" s="65" t="s">
        <v>15</v>
      </c>
      <c r="B73" s="65"/>
      <c r="C73" s="65"/>
      <c r="D73" s="140" t="s">
        <v>18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2"/>
      <c r="AB73" s="65" t="s">
        <v>16</v>
      </c>
      <c r="AC73" s="65"/>
      <c r="AD73" s="65"/>
      <c r="AE73" s="65"/>
      <c r="AF73" s="65"/>
      <c r="AG73" s="65"/>
      <c r="AH73" s="65"/>
      <c r="AI73" s="65"/>
      <c r="AJ73" s="65" t="s">
        <v>17</v>
      </c>
      <c r="AK73" s="65"/>
      <c r="AL73" s="65"/>
      <c r="AM73" s="65"/>
      <c r="AN73" s="65"/>
      <c r="AO73" s="65"/>
      <c r="AP73" s="65"/>
      <c r="AQ73" s="65"/>
      <c r="AR73" s="65" t="s">
        <v>14</v>
      </c>
      <c r="AS73" s="65"/>
      <c r="AT73" s="65"/>
      <c r="AU73" s="65"/>
      <c r="AV73" s="65"/>
      <c r="AW73" s="65"/>
      <c r="AX73" s="65"/>
      <c r="AY73" s="65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</row>
    <row r="74" spans="1:85" ht="29.1" customHeight="1" x14ac:dyDescent="0.25">
      <c r="A74" s="65"/>
      <c r="B74" s="65"/>
      <c r="C74" s="65"/>
      <c r="D74" s="143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</row>
    <row r="75" spans="1:85" ht="15.75" customHeight="1" x14ac:dyDescent="0.25">
      <c r="A75" s="65">
        <v>1</v>
      </c>
      <c r="B75" s="65"/>
      <c r="C75" s="65"/>
      <c r="D75" s="137">
        <v>2</v>
      </c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9"/>
      <c r="AB75" s="65">
        <v>3</v>
      </c>
      <c r="AC75" s="65"/>
      <c r="AD75" s="65"/>
      <c r="AE75" s="65"/>
      <c r="AF75" s="65"/>
      <c r="AG75" s="65"/>
      <c r="AH75" s="65"/>
      <c r="AI75" s="65"/>
      <c r="AJ75" s="65">
        <v>4</v>
      </c>
      <c r="AK75" s="65"/>
      <c r="AL75" s="65"/>
      <c r="AM75" s="65"/>
      <c r="AN75" s="65"/>
      <c r="AO75" s="65"/>
      <c r="AP75" s="65"/>
      <c r="AQ75" s="65"/>
      <c r="AR75" s="65">
        <v>5</v>
      </c>
      <c r="AS75" s="65"/>
      <c r="AT75" s="65"/>
      <c r="AU75" s="65"/>
      <c r="AV75" s="65"/>
      <c r="AW75" s="65"/>
      <c r="AX75" s="65"/>
      <c r="AY75" s="65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</row>
    <row r="76" spans="1:85" ht="51" customHeight="1" x14ac:dyDescent="0.25">
      <c r="A76" s="65">
        <v>1</v>
      </c>
      <c r="B76" s="65"/>
      <c r="C76" s="65"/>
      <c r="D76" s="152" t="s">
        <v>67</v>
      </c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4"/>
      <c r="AB76" s="84">
        <f>AC69-AC68</f>
        <v>160951693</v>
      </c>
      <c r="AC76" s="85"/>
      <c r="AD76" s="85"/>
      <c r="AE76" s="85"/>
      <c r="AF76" s="85"/>
      <c r="AG76" s="85"/>
      <c r="AH76" s="85"/>
      <c r="AI76" s="86"/>
      <c r="AJ76" s="84">
        <f>AK69</f>
        <v>16490439</v>
      </c>
      <c r="AK76" s="85"/>
      <c r="AL76" s="85"/>
      <c r="AM76" s="85"/>
      <c r="AN76" s="85"/>
      <c r="AO76" s="85"/>
      <c r="AP76" s="85"/>
      <c r="AQ76" s="86"/>
      <c r="AR76" s="84">
        <f>AB76+AJ76</f>
        <v>177442132</v>
      </c>
      <c r="AS76" s="85"/>
      <c r="AT76" s="85"/>
      <c r="AU76" s="85"/>
      <c r="AV76" s="85"/>
      <c r="AW76" s="85"/>
      <c r="AX76" s="85"/>
      <c r="AY76" s="86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</row>
    <row r="77" spans="1:85" ht="33" customHeight="1" x14ac:dyDescent="0.25">
      <c r="A77" s="65">
        <v>2</v>
      </c>
      <c r="B77" s="65"/>
      <c r="C77" s="65"/>
      <c r="D77" s="168" t="s">
        <v>165</v>
      </c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70"/>
      <c r="AB77" s="87"/>
      <c r="AC77" s="88"/>
      <c r="AD77" s="88"/>
      <c r="AE77" s="88"/>
      <c r="AF77" s="88"/>
      <c r="AG77" s="88"/>
      <c r="AH77" s="88"/>
      <c r="AI77" s="89"/>
      <c r="AJ77" s="87"/>
      <c r="AK77" s="88"/>
      <c r="AL77" s="88"/>
      <c r="AM77" s="88"/>
      <c r="AN77" s="88"/>
      <c r="AO77" s="88"/>
      <c r="AP77" s="88"/>
      <c r="AQ77" s="89"/>
      <c r="AR77" s="87"/>
      <c r="AS77" s="88"/>
      <c r="AT77" s="88"/>
      <c r="AU77" s="88"/>
      <c r="AV77" s="88"/>
      <c r="AW77" s="88"/>
      <c r="AX77" s="88"/>
      <c r="AY77" s="89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</row>
    <row r="78" spans="1:85" ht="51" customHeight="1" x14ac:dyDescent="0.25">
      <c r="A78" s="65">
        <v>3</v>
      </c>
      <c r="B78" s="65"/>
      <c r="C78" s="65"/>
      <c r="D78" s="168" t="s">
        <v>166</v>
      </c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70"/>
      <c r="AB78" s="74">
        <f>AC68</f>
        <v>5973255</v>
      </c>
      <c r="AC78" s="74"/>
      <c r="AD78" s="74"/>
      <c r="AE78" s="74"/>
      <c r="AF78" s="74"/>
      <c r="AG78" s="74"/>
      <c r="AH78" s="74"/>
      <c r="AI78" s="74"/>
      <c r="AJ78" s="74">
        <f>AK71</f>
        <v>0</v>
      </c>
      <c r="AK78" s="74"/>
      <c r="AL78" s="74"/>
      <c r="AM78" s="74"/>
      <c r="AN78" s="74"/>
      <c r="AO78" s="74"/>
      <c r="AP78" s="74"/>
      <c r="AQ78" s="74"/>
      <c r="AR78" s="74">
        <f>AB78+AJ78</f>
        <v>5973255</v>
      </c>
      <c r="AS78" s="74"/>
      <c r="AT78" s="74"/>
      <c r="AU78" s="74"/>
      <c r="AV78" s="74"/>
      <c r="AW78" s="74"/>
      <c r="AX78" s="74"/>
      <c r="AY78" s="74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</row>
    <row r="79" spans="1:85" s="2" customFormat="1" ht="18.75" customHeight="1" x14ac:dyDescent="0.25">
      <c r="A79" s="171"/>
      <c r="B79" s="171"/>
      <c r="C79" s="171"/>
      <c r="D79" s="172" t="s">
        <v>14</v>
      </c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4"/>
      <c r="AB79" s="180">
        <f>SUM(AB76:AI78)</f>
        <v>166924948</v>
      </c>
      <c r="AC79" s="180"/>
      <c r="AD79" s="180"/>
      <c r="AE79" s="180"/>
      <c r="AF79" s="180"/>
      <c r="AG79" s="180"/>
      <c r="AH79" s="180"/>
      <c r="AI79" s="180"/>
      <c r="AJ79" s="180">
        <f>SUM(AJ76:AQ78)</f>
        <v>16490439</v>
      </c>
      <c r="AK79" s="180"/>
      <c r="AL79" s="180"/>
      <c r="AM79" s="180"/>
      <c r="AN79" s="180"/>
      <c r="AO79" s="180"/>
      <c r="AP79" s="180"/>
      <c r="AQ79" s="180"/>
      <c r="AR79" s="180">
        <f>AB79+AJ79</f>
        <v>183415387</v>
      </c>
      <c r="AS79" s="180"/>
      <c r="AT79" s="180"/>
      <c r="AU79" s="180"/>
      <c r="AV79" s="180"/>
      <c r="AW79" s="180"/>
      <c r="AX79" s="180"/>
      <c r="AY79" s="180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</row>
    <row r="80" spans="1:85" x14ac:dyDescent="0.2"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</row>
    <row r="81" spans="1:85" ht="15.75" customHeight="1" x14ac:dyDescent="0.2">
      <c r="A81" s="136" t="s">
        <v>27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</row>
    <row r="82" spans="1:85" ht="15.75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</row>
    <row r="83" spans="1:85" ht="33.75" customHeight="1" x14ac:dyDescent="0.2">
      <c r="A83" s="65" t="s">
        <v>15</v>
      </c>
      <c r="B83" s="65"/>
      <c r="C83" s="65"/>
      <c r="D83" s="65"/>
      <c r="E83" s="65"/>
      <c r="F83" s="65"/>
      <c r="G83" s="65" t="s">
        <v>28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 t="s">
        <v>2</v>
      </c>
      <c r="AA83" s="65"/>
      <c r="AB83" s="65"/>
      <c r="AC83" s="65"/>
      <c r="AD83" s="65"/>
      <c r="AE83" s="65" t="s">
        <v>1</v>
      </c>
      <c r="AF83" s="65"/>
      <c r="AG83" s="65"/>
      <c r="AH83" s="65"/>
      <c r="AI83" s="65"/>
      <c r="AJ83" s="65"/>
      <c r="AK83" s="65"/>
      <c r="AL83" s="65"/>
      <c r="AM83" s="65"/>
      <c r="AN83" s="65"/>
      <c r="AO83" s="65" t="s">
        <v>16</v>
      </c>
      <c r="AP83" s="65"/>
      <c r="AQ83" s="65"/>
      <c r="AR83" s="65"/>
      <c r="AS83" s="65"/>
      <c r="AT83" s="65"/>
      <c r="AU83" s="65"/>
      <c r="AV83" s="65"/>
      <c r="AW83" s="65" t="s">
        <v>17</v>
      </c>
      <c r="AX83" s="65"/>
      <c r="AY83" s="65"/>
      <c r="AZ83" s="65"/>
      <c r="BA83" s="65"/>
      <c r="BB83" s="65"/>
      <c r="BC83" s="65"/>
      <c r="BD83" s="65"/>
      <c r="BE83" s="65" t="s">
        <v>14</v>
      </c>
      <c r="BF83" s="65"/>
      <c r="BG83" s="65"/>
      <c r="BH83" s="65"/>
      <c r="BI83" s="65"/>
      <c r="BJ83" s="65"/>
      <c r="BK83" s="65"/>
      <c r="BL83" s="65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</row>
    <row r="84" spans="1:85" ht="15.75" x14ac:dyDescent="0.2">
      <c r="A84" s="65">
        <v>1</v>
      </c>
      <c r="B84" s="65"/>
      <c r="C84" s="65"/>
      <c r="D84" s="65"/>
      <c r="E84" s="65"/>
      <c r="F84" s="65"/>
      <c r="G84" s="65">
        <v>2</v>
      </c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>
        <v>3</v>
      </c>
      <c r="AA84" s="65"/>
      <c r="AB84" s="65"/>
      <c r="AC84" s="65"/>
      <c r="AD84" s="65"/>
      <c r="AE84" s="65">
        <v>4</v>
      </c>
      <c r="AF84" s="65"/>
      <c r="AG84" s="65"/>
      <c r="AH84" s="65"/>
      <c r="AI84" s="65"/>
      <c r="AJ84" s="65"/>
      <c r="AK84" s="65"/>
      <c r="AL84" s="65"/>
      <c r="AM84" s="65"/>
      <c r="AN84" s="65"/>
      <c r="AO84" s="65">
        <v>5</v>
      </c>
      <c r="AP84" s="65"/>
      <c r="AQ84" s="65"/>
      <c r="AR84" s="65"/>
      <c r="AS84" s="65"/>
      <c r="AT84" s="65"/>
      <c r="AU84" s="65"/>
      <c r="AV84" s="65"/>
      <c r="AW84" s="65">
        <v>6</v>
      </c>
      <c r="AX84" s="65"/>
      <c r="AY84" s="65"/>
      <c r="AZ84" s="65"/>
      <c r="BA84" s="65"/>
      <c r="BB84" s="65"/>
      <c r="BC84" s="65"/>
      <c r="BD84" s="65"/>
      <c r="BE84" s="65">
        <v>7</v>
      </c>
      <c r="BF84" s="65"/>
      <c r="BG84" s="65"/>
      <c r="BH84" s="65"/>
      <c r="BI84" s="65"/>
      <c r="BJ84" s="65"/>
      <c r="BK84" s="65"/>
      <c r="BL84" s="65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</row>
    <row r="85" spans="1:85" ht="18.75" customHeight="1" x14ac:dyDescent="0.2">
      <c r="A85" s="65"/>
      <c r="B85" s="65"/>
      <c r="C85" s="65"/>
      <c r="D85" s="65"/>
      <c r="E85" s="65"/>
      <c r="F85" s="65"/>
      <c r="G85" s="176" t="s">
        <v>133</v>
      </c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</row>
    <row r="86" spans="1:85" ht="15.75" customHeight="1" x14ac:dyDescent="0.2">
      <c r="A86" s="65"/>
      <c r="B86" s="65"/>
      <c r="C86" s="65"/>
      <c r="D86" s="65"/>
      <c r="E86" s="65"/>
      <c r="F86" s="65"/>
      <c r="G86" s="190" t="s">
        <v>48</v>
      </c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</row>
    <row r="87" spans="1:85" ht="15.75" customHeight="1" x14ac:dyDescent="0.2">
      <c r="A87" s="65"/>
      <c r="B87" s="65"/>
      <c r="C87" s="65"/>
      <c r="D87" s="65"/>
      <c r="E87" s="65"/>
      <c r="F87" s="65"/>
      <c r="G87" s="118" t="s">
        <v>96</v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77" t="s">
        <v>49</v>
      </c>
      <c r="AA87" s="77"/>
      <c r="AB87" s="77"/>
      <c r="AC87" s="77"/>
      <c r="AD87" s="77"/>
      <c r="AE87" s="77" t="s">
        <v>61</v>
      </c>
      <c r="AF87" s="77"/>
      <c r="AG87" s="77"/>
      <c r="AH87" s="77"/>
      <c r="AI87" s="77"/>
      <c r="AJ87" s="77"/>
      <c r="AK87" s="77"/>
      <c r="AL87" s="77"/>
      <c r="AM87" s="77"/>
      <c r="AN87" s="77"/>
      <c r="AO87" s="69">
        <f>SUM(AO88:AV94)</f>
        <v>28145810</v>
      </c>
      <c r="AP87" s="69"/>
      <c r="AQ87" s="69"/>
      <c r="AR87" s="69"/>
      <c r="AS87" s="69"/>
      <c r="AT87" s="69"/>
      <c r="AU87" s="69"/>
      <c r="AV87" s="69"/>
      <c r="AW87" s="69">
        <f>AW91</f>
        <v>1500000</v>
      </c>
      <c r="AX87" s="69"/>
      <c r="AY87" s="69"/>
      <c r="AZ87" s="69"/>
      <c r="BA87" s="69"/>
      <c r="BB87" s="69"/>
      <c r="BC87" s="69"/>
      <c r="BD87" s="69"/>
      <c r="BE87" s="74">
        <f>AO87+AW87</f>
        <v>29645810</v>
      </c>
      <c r="BF87" s="65"/>
      <c r="BG87" s="65"/>
      <c r="BH87" s="65"/>
      <c r="BI87" s="65"/>
      <c r="BJ87" s="65"/>
      <c r="BK87" s="65"/>
      <c r="BL87" s="65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</row>
    <row r="88" spans="1:85" ht="66.75" customHeight="1" x14ac:dyDescent="0.2">
      <c r="A88" s="65"/>
      <c r="B88" s="65"/>
      <c r="C88" s="65"/>
      <c r="D88" s="65"/>
      <c r="E88" s="65"/>
      <c r="F88" s="65"/>
      <c r="G88" s="118" t="s">
        <v>97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77" t="s">
        <v>49</v>
      </c>
      <c r="AA88" s="77"/>
      <c r="AB88" s="77"/>
      <c r="AC88" s="77"/>
      <c r="AD88" s="77"/>
      <c r="AE88" s="77" t="s">
        <v>61</v>
      </c>
      <c r="AF88" s="77"/>
      <c r="AG88" s="77"/>
      <c r="AH88" s="77"/>
      <c r="AI88" s="77"/>
      <c r="AJ88" s="77"/>
      <c r="AK88" s="77"/>
      <c r="AL88" s="77"/>
      <c r="AM88" s="77"/>
      <c r="AN88" s="77"/>
      <c r="AO88" s="197">
        <f>17943910-200000</f>
        <v>17743910</v>
      </c>
      <c r="AP88" s="197"/>
      <c r="AQ88" s="197"/>
      <c r="AR88" s="197"/>
      <c r="AS88" s="197"/>
      <c r="AT88" s="197"/>
      <c r="AU88" s="197"/>
      <c r="AV88" s="197"/>
      <c r="AW88" s="69"/>
      <c r="AX88" s="69"/>
      <c r="AY88" s="69"/>
      <c r="AZ88" s="69"/>
      <c r="BA88" s="69"/>
      <c r="BB88" s="69"/>
      <c r="BC88" s="69"/>
      <c r="BD88" s="69"/>
      <c r="BE88" s="74">
        <f t="shared" ref="BE88:BE102" si="1">AO88+AW88</f>
        <v>17743910</v>
      </c>
      <c r="BF88" s="65"/>
      <c r="BG88" s="65"/>
      <c r="BH88" s="65"/>
      <c r="BI88" s="65"/>
      <c r="BJ88" s="65"/>
      <c r="BK88" s="65"/>
      <c r="BL88" s="65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</row>
    <row r="89" spans="1:85" ht="33" customHeight="1" x14ac:dyDescent="0.2">
      <c r="A89" s="65"/>
      <c r="B89" s="65"/>
      <c r="C89" s="65"/>
      <c r="D89" s="65"/>
      <c r="E89" s="65"/>
      <c r="F89" s="65"/>
      <c r="G89" s="118" t="s">
        <v>98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77" t="s">
        <v>49</v>
      </c>
      <c r="AA89" s="77"/>
      <c r="AB89" s="77"/>
      <c r="AC89" s="77"/>
      <c r="AD89" s="77"/>
      <c r="AE89" s="77" t="s">
        <v>61</v>
      </c>
      <c r="AF89" s="77"/>
      <c r="AG89" s="77"/>
      <c r="AH89" s="77"/>
      <c r="AI89" s="77"/>
      <c r="AJ89" s="77"/>
      <c r="AK89" s="77"/>
      <c r="AL89" s="77"/>
      <c r="AM89" s="77"/>
      <c r="AN89" s="77"/>
      <c r="AO89" s="197">
        <v>7606900</v>
      </c>
      <c r="AP89" s="197"/>
      <c r="AQ89" s="197"/>
      <c r="AR89" s="197"/>
      <c r="AS89" s="197"/>
      <c r="AT89" s="197"/>
      <c r="AU89" s="197"/>
      <c r="AV89" s="197"/>
      <c r="AW89" s="69"/>
      <c r="AX89" s="69"/>
      <c r="AY89" s="69"/>
      <c r="AZ89" s="69"/>
      <c r="BA89" s="69"/>
      <c r="BB89" s="69"/>
      <c r="BC89" s="69"/>
      <c r="BD89" s="69"/>
      <c r="BE89" s="74">
        <f t="shared" si="1"/>
        <v>7606900</v>
      </c>
      <c r="BF89" s="65"/>
      <c r="BG89" s="65"/>
      <c r="BH89" s="65"/>
      <c r="BI89" s="65"/>
      <c r="BJ89" s="65"/>
      <c r="BK89" s="65"/>
      <c r="BL89" s="65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</row>
    <row r="90" spans="1:85" ht="19.5" customHeight="1" x14ac:dyDescent="0.2">
      <c r="A90" s="65"/>
      <c r="B90" s="65"/>
      <c r="C90" s="65"/>
      <c r="D90" s="65"/>
      <c r="E90" s="65"/>
      <c r="F90" s="65"/>
      <c r="G90" s="118" t="s">
        <v>259</v>
      </c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77" t="s">
        <v>49</v>
      </c>
      <c r="AA90" s="77"/>
      <c r="AB90" s="77"/>
      <c r="AC90" s="77"/>
      <c r="AD90" s="77"/>
      <c r="AE90" s="77" t="s">
        <v>113</v>
      </c>
      <c r="AF90" s="77"/>
      <c r="AG90" s="77"/>
      <c r="AH90" s="77"/>
      <c r="AI90" s="77"/>
      <c r="AJ90" s="77"/>
      <c r="AK90" s="77"/>
      <c r="AL90" s="77"/>
      <c r="AM90" s="77"/>
      <c r="AN90" s="77"/>
      <c r="AO90" s="197">
        <f>460000+300000</f>
        <v>760000</v>
      </c>
      <c r="AP90" s="197"/>
      <c r="AQ90" s="197"/>
      <c r="AR90" s="197"/>
      <c r="AS90" s="197"/>
      <c r="AT90" s="197"/>
      <c r="AU90" s="197"/>
      <c r="AV90" s="197"/>
      <c r="AW90" s="69"/>
      <c r="AX90" s="69"/>
      <c r="AY90" s="69"/>
      <c r="AZ90" s="69"/>
      <c r="BA90" s="69"/>
      <c r="BB90" s="69"/>
      <c r="BC90" s="69"/>
      <c r="BD90" s="69"/>
      <c r="BE90" s="74">
        <f t="shared" si="1"/>
        <v>760000</v>
      </c>
      <c r="BF90" s="65"/>
      <c r="BG90" s="65"/>
      <c r="BH90" s="65"/>
      <c r="BI90" s="65"/>
      <c r="BJ90" s="65"/>
      <c r="BK90" s="65"/>
      <c r="BL90" s="65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</row>
    <row r="91" spans="1:85" ht="21" customHeight="1" x14ac:dyDescent="0.2">
      <c r="A91" s="65"/>
      <c r="B91" s="65"/>
      <c r="C91" s="65"/>
      <c r="D91" s="65"/>
      <c r="E91" s="65"/>
      <c r="F91" s="65"/>
      <c r="G91" s="118" t="s">
        <v>99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77" t="s">
        <v>49</v>
      </c>
      <c r="AA91" s="77"/>
      <c r="AB91" s="77"/>
      <c r="AC91" s="77"/>
      <c r="AD91" s="77"/>
      <c r="AE91" s="77" t="s">
        <v>113</v>
      </c>
      <c r="AF91" s="77"/>
      <c r="AG91" s="77"/>
      <c r="AH91" s="77"/>
      <c r="AI91" s="77"/>
      <c r="AJ91" s="77"/>
      <c r="AK91" s="77"/>
      <c r="AL91" s="77"/>
      <c r="AM91" s="77"/>
      <c r="AN91" s="77"/>
      <c r="AO91" s="69"/>
      <c r="AP91" s="69"/>
      <c r="AQ91" s="69"/>
      <c r="AR91" s="69"/>
      <c r="AS91" s="69"/>
      <c r="AT91" s="69"/>
      <c r="AU91" s="69"/>
      <c r="AV91" s="69"/>
      <c r="AW91" s="69">
        <v>1500000</v>
      </c>
      <c r="AX91" s="69"/>
      <c r="AY91" s="69"/>
      <c r="AZ91" s="69"/>
      <c r="BA91" s="69"/>
      <c r="BB91" s="69"/>
      <c r="BC91" s="69"/>
      <c r="BD91" s="69"/>
      <c r="BE91" s="74">
        <f t="shared" si="1"/>
        <v>1500000</v>
      </c>
      <c r="BF91" s="65"/>
      <c r="BG91" s="65"/>
      <c r="BH91" s="65"/>
      <c r="BI91" s="65"/>
      <c r="BJ91" s="65"/>
      <c r="BK91" s="65"/>
      <c r="BL91" s="65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</row>
    <row r="92" spans="1:85" ht="32.25" customHeight="1" x14ac:dyDescent="0.2">
      <c r="A92" s="65"/>
      <c r="B92" s="65"/>
      <c r="C92" s="65"/>
      <c r="D92" s="65"/>
      <c r="E92" s="65"/>
      <c r="F92" s="65"/>
      <c r="G92" s="175" t="s">
        <v>100</v>
      </c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77" t="s">
        <v>49</v>
      </c>
      <c r="AA92" s="77"/>
      <c r="AB92" s="77"/>
      <c r="AC92" s="77"/>
      <c r="AD92" s="77"/>
      <c r="AE92" s="65" t="s">
        <v>113</v>
      </c>
      <c r="AF92" s="65"/>
      <c r="AG92" s="65"/>
      <c r="AH92" s="65"/>
      <c r="AI92" s="65"/>
      <c r="AJ92" s="65"/>
      <c r="AK92" s="65"/>
      <c r="AL92" s="65"/>
      <c r="AM92" s="65"/>
      <c r="AN92" s="65"/>
      <c r="AO92" s="197">
        <v>1000000</v>
      </c>
      <c r="AP92" s="197"/>
      <c r="AQ92" s="197"/>
      <c r="AR92" s="197"/>
      <c r="AS92" s="197"/>
      <c r="AT92" s="197"/>
      <c r="AU92" s="197"/>
      <c r="AV92" s="197"/>
      <c r="AW92" s="196"/>
      <c r="AX92" s="196"/>
      <c r="AY92" s="196"/>
      <c r="AZ92" s="196"/>
      <c r="BA92" s="196"/>
      <c r="BB92" s="196"/>
      <c r="BC92" s="196"/>
      <c r="BD92" s="196"/>
      <c r="BE92" s="74">
        <f t="shared" si="1"/>
        <v>1000000</v>
      </c>
      <c r="BF92" s="65"/>
      <c r="BG92" s="65"/>
      <c r="BH92" s="65"/>
      <c r="BI92" s="65"/>
      <c r="BJ92" s="65"/>
      <c r="BK92" s="65"/>
      <c r="BL92" s="65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</row>
    <row r="93" spans="1:85" ht="18.75" customHeight="1" x14ac:dyDescent="0.2">
      <c r="A93" s="65"/>
      <c r="B93" s="65"/>
      <c r="C93" s="65"/>
      <c r="D93" s="65"/>
      <c r="E93" s="65"/>
      <c r="F93" s="65"/>
      <c r="G93" s="175" t="s">
        <v>101</v>
      </c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77" t="s">
        <v>49</v>
      </c>
      <c r="AA93" s="77"/>
      <c r="AB93" s="77"/>
      <c r="AC93" s="77"/>
      <c r="AD93" s="77"/>
      <c r="AE93" s="65" t="s">
        <v>113</v>
      </c>
      <c r="AF93" s="65"/>
      <c r="AG93" s="65"/>
      <c r="AH93" s="65"/>
      <c r="AI93" s="65"/>
      <c r="AJ93" s="65"/>
      <c r="AK93" s="65"/>
      <c r="AL93" s="65"/>
      <c r="AM93" s="65"/>
      <c r="AN93" s="65"/>
      <c r="AO93" s="203">
        <v>800000</v>
      </c>
      <c r="AP93" s="203"/>
      <c r="AQ93" s="203"/>
      <c r="AR93" s="203"/>
      <c r="AS93" s="203"/>
      <c r="AT93" s="203"/>
      <c r="AU93" s="203"/>
      <c r="AV93" s="203"/>
      <c r="AW93" s="196"/>
      <c r="AX93" s="196"/>
      <c r="AY93" s="196"/>
      <c r="AZ93" s="196"/>
      <c r="BA93" s="196"/>
      <c r="BB93" s="196"/>
      <c r="BC93" s="196"/>
      <c r="BD93" s="196"/>
      <c r="BE93" s="74">
        <f t="shared" si="1"/>
        <v>800000</v>
      </c>
      <c r="BF93" s="65"/>
      <c r="BG93" s="65"/>
      <c r="BH93" s="65"/>
      <c r="BI93" s="65"/>
      <c r="BJ93" s="65"/>
      <c r="BK93" s="65"/>
      <c r="BL93" s="65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</row>
    <row r="94" spans="1:85" ht="66.75" customHeight="1" x14ac:dyDescent="0.2">
      <c r="A94" s="65"/>
      <c r="B94" s="65"/>
      <c r="C94" s="65"/>
      <c r="D94" s="65"/>
      <c r="E94" s="65"/>
      <c r="F94" s="65"/>
      <c r="G94" s="175" t="s">
        <v>223</v>
      </c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77" t="s">
        <v>49</v>
      </c>
      <c r="AA94" s="77"/>
      <c r="AB94" s="77"/>
      <c r="AC94" s="77"/>
      <c r="AD94" s="77"/>
      <c r="AE94" s="77" t="s">
        <v>114</v>
      </c>
      <c r="AF94" s="77"/>
      <c r="AG94" s="77"/>
      <c r="AH94" s="77"/>
      <c r="AI94" s="77"/>
      <c r="AJ94" s="77"/>
      <c r="AK94" s="77"/>
      <c r="AL94" s="77"/>
      <c r="AM94" s="77"/>
      <c r="AN94" s="77"/>
      <c r="AO94" s="197">
        <f>35000+200000-30000+30000</f>
        <v>235000</v>
      </c>
      <c r="AP94" s="197"/>
      <c r="AQ94" s="197"/>
      <c r="AR94" s="197"/>
      <c r="AS94" s="197"/>
      <c r="AT94" s="197"/>
      <c r="AU94" s="197"/>
      <c r="AV94" s="197"/>
      <c r="AW94" s="196"/>
      <c r="AX94" s="196"/>
      <c r="AY94" s="196"/>
      <c r="AZ94" s="196"/>
      <c r="BA94" s="196"/>
      <c r="BB94" s="196"/>
      <c r="BC94" s="196"/>
      <c r="BD94" s="196"/>
      <c r="BE94" s="74">
        <f t="shared" si="1"/>
        <v>235000</v>
      </c>
      <c r="BF94" s="65"/>
      <c r="BG94" s="65"/>
      <c r="BH94" s="65"/>
      <c r="BI94" s="65"/>
      <c r="BJ94" s="65"/>
      <c r="BK94" s="65"/>
      <c r="BL94" s="65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</row>
    <row r="95" spans="1:85" ht="21" customHeight="1" x14ac:dyDescent="0.2">
      <c r="A95" s="65"/>
      <c r="B95" s="65"/>
      <c r="C95" s="65"/>
      <c r="D95" s="65"/>
      <c r="E95" s="65"/>
      <c r="F95" s="65"/>
      <c r="G95" s="117" t="s">
        <v>51</v>
      </c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196"/>
      <c r="AX95" s="196"/>
      <c r="AY95" s="196"/>
      <c r="AZ95" s="196"/>
      <c r="BA95" s="196"/>
      <c r="BB95" s="196"/>
      <c r="BC95" s="196"/>
      <c r="BD95" s="196"/>
      <c r="BE95" s="74"/>
      <c r="BF95" s="65"/>
      <c r="BG95" s="65"/>
      <c r="BH95" s="65"/>
      <c r="BI95" s="65"/>
      <c r="BJ95" s="65"/>
      <c r="BK95" s="65"/>
      <c r="BL95" s="65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</row>
    <row r="96" spans="1:85" ht="50.25" customHeight="1" x14ac:dyDescent="0.2">
      <c r="A96" s="65"/>
      <c r="B96" s="65"/>
      <c r="C96" s="65"/>
      <c r="D96" s="65"/>
      <c r="E96" s="65"/>
      <c r="F96" s="65"/>
      <c r="G96" s="188" t="s">
        <v>249</v>
      </c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77" t="s">
        <v>111</v>
      </c>
      <c r="AA96" s="77"/>
      <c r="AB96" s="77"/>
      <c r="AC96" s="77"/>
      <c r="AD96" s="77"/>
      <c r="AE96" s="77" t="s">
        <v>115</v>
      </c>
      <c r="AF96" s="77"/>
      <c r="AG96" s="77"/>
      <c r="AH96" s="77"/>
      <c r="AI96" s="77"/>
      <c r="AJ96" s="77"/>
      <c r="AK96" s="77"/>
      <c r="AL96" s="77"/>
      <c r="AM96" s="77"/>
      <c r="AN96" s="77"/>
      <c r="AO96" s="187">
        <f>(48.59+33.93+0.72+21.29+0.49+0.1+0.08+0.47+0.7+0.5+4.4)+(55.27+1.2+3.99+0.82+0.13+3.5+1.6)</f>
        <v>177.78</v>
      </c>
      <c r="AP96" s="187"/>
      <c r="AQ96" s="187"/>
      <c r="AR96" s="187"/>
      <c r="AS96" s="187"/>
      <c r="AT96" s="187"/>
      <c r="AU96" s="187"/>
      <c r="AV96" s="187"/>
      <c r="AW96" s="196"/>
      <c r="AX96" s="196"/>
      <c r="AY96" s="196"/>
      <c r="AZ96" s="196"/>
      <c r="BA96" s="196"/>
      <c r="BB96" s="196"/>
      <c r="BC96" s="196"/>
      <c r="BD96" s="196"/>
      <c r="BE96" s="74">
        <f t="shared" si="1"/>
        <v>177.78</v>
      </c>
      <c r="BF96" s="65"/>
      <c r="BG96" s="65"/>
      <c r="BH96" s="65"/>
      <c r="BI96" s="65"/>
      <c r="BJ96" s="65"/>
      <c r="BK96" s="65"/>
      <c r="BL96" s="65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</row>
    <row r="97" spans="1:85" ht="36.75" customHeight="1" x14ac:dyDescent="0.2">
      <c r="A97" s="65"/>
      <c r="B97" s="65"/>
      <c r="C97" s="65"/>
      <c r="D97" s="65"/>
      <c r="E97" s="65"/>
      <c r="F97" s="65"/>
      <c r="G97" s="177" t="s">
        <v>102</v>
      </c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9"/>
      <c r="Z97" s="77" t="s">
        <v>50</v>
      </c>
      <c r="AA97" s="77"/>
      <c r="AB97" s="77"/>
      <c r="AC97" s="77"/>
      <c r="AD97" s="77"/>
      <c r="AE97" s="77" t="s">
        <v>117</v>
      </c>
      <c r="AF97" s="77"/>
      <c r="AG97" s="77"/>
      <c r="AH97" s="77"/>
      <c r="AI97" s="77"/>
      <c r="AJ97" s="77"/>
      <c r="AK97" s="77"/>
      <c r="AL97" s="77"/>
      <c r="AM97" s="77"/>
      <c r="AN97" s="77"/>
      <c r="AO97" s="193">
        <v>233</v>
      </c>
      <c r="AP97" s="193"/>
      <c r="AQ97" s="193"/>
      <c r="AR97" s="193"/>
      <c r="AS97" s="193"/>
      <c r="AT97" s="193"/>
      <c r="AU97" s="193"/>
      <c r="AV97" s="193"/>
      <c r="AW97" s="65"/>
      <c r="AX97" s="65"/>
      <c r="AY97" s="65"/>
      <c r="AZ97" s="65"/>
      <c r="BA97" s="65"/>
      <c r="BB97" s="65"/>
      <c r="BC97" s="65"/>
      <c r="BD97" s="65"/>
      <c r="BE97" s="94">
        <f t="shared" si="1"/>
        <v>233</v>
      </c>
      <c r="BF97" s="94"/>
      <c r="BG97" s="94"/>
      <c r="BH97" s="94"/>
      <c r="BI97" s="94"/>
      <c r="BJ97" s="94"/>
      <c r="BK97" s="94"/>
      <c r="BL97" s="94"/>
      <c r="BQ97" s="48"/>
      <c r="BR97" s="48"/>
      <c r="BS97" s="48"/>
      <c r="BT97" s="216"/>
      <c r="BU97" s="216"/>
      <c r="BV97" s="216"/>
      <c r="BW97" s="216"/>
      <c r="BX97" s="216"/>
      <c r="BY97" s="216"/>
      <c r="BZ97" s="216"/>
      <c r="CA97" s="216"/>
      <c r="CB97" s="48"/>
      <c r="CC97" s="48"/>
      <c r="CD97" s="48"/>
      <c r="CE97" s="48"/>
      <c r="CF97" s="48"/>
      <c r="CG97" s="48"/>
    </row>
    <row r="98" spans="1:85" ht="35.25" customHeight="1" x14ac:dyDescent="0.2">
      <c r="A98" s="65"/>
      <c r="B98" s="65"/>
      <c r="C98" s="65"/>
      <c r="D98" s="65"/>
      <c r="E98" s="65"/>
      <c r="F98" s="65"/>
      <c r="G98" s="118" t="s">
        <v>254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89" t="s">
        <v>111</v>
      </c>
      <c r="AA98" s="189"/>
      <c r="AB98" s="189"/>
      <c r="AC98" s="189"/>
      <c r="AD98" s="189"/>
      <c r="AE98" s="77" t="s">
        <v>116</v>
      </c>
      <c r="AF98" s="77"/>
      <c r="AG98" s="77"/>
      <c r="AH98" s="77"/>
      <c r="AI98" s="77"/>
      <c r="AJ98" s="77"/>
      <c r="AK98" s="77"/>
      <c r="AL98" s="77"/>
      <c r="AM98" s="77"/>
      <c r="AN98" s="77"/>
      <c r="AO98" s="194">
        <f>6.1+3</f>
        <v>9.1</v>
      </c>
      <c r="AP98" s="194"/>
      <c r="AQ98" s="194"/>
      <c r="AR98" s="194"/>
      <c r="AS98" s="194"/>
      <c r="AT98" s="194"/>
      <c r="AU98" s="194"/>
      <c r="AV98" s="194"/>
      <c r="AW98" s="65"/>
      <c r="AX98" s="65"/>
      <c r="AY98" s="65"/>
      <c r="AZ98" s="65"/>
      <c r="BA98" s="65"/>
      <c r="BB98" s="65"/>
      <c r="BC98" s="65"/>
      <c r="BD98" s="65"/>
      <c r="BE98" s="198">
        <f t="shared" si="1"/>
        <v>9.1</v>
      </c>
      <c r="BF98" s="198"/>
      <c r="BG98" s="198"/>
      <c r="BH98" s="198"/>
      <c r="BI98" s="198"/>
      <c r="BJ98" s="198"/>
      <c r="BK98" s="198"/>
      <c r="BL98" s="19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</row>
    <row r="99" spans="1:85" ht="35.25" customHeight="1" x14ac:dyDescent="0.2">
      <c r="A99" s="65"/>
      <c r="B99" s="65"/>
      <c r="C99" s="65"/>
      <c r="D99" s="65"/>
      <c r="E99" s="65"/>
      <c r="F99" s="65"/>
      <c r="G99" s="177" t="s">
        <v>250</v>
      </c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9"/>
      <c r="Z99" s="77" t="s">
        <v>50</v>
      </c>
      <c r="AA99" s="77"/>
      <c r="AB99" s="77"/>
      <c r="AC99" s="77"/>
      <c r="AD99" s="77"/>
      <c r="AE99" s="77" t="s">
        <v>116</v>
      </c>
      <c r="AF99" s="77"/>
      <c r="AG99" s="77"/>
      <c r="AH99" s="77"/>
      <c r="AI99" s="77"/>
      <c r="AJ99" s="77"/>
      <c r="AK99" s="77"/>
      <c r="AL99" s="77"/>
      <c r="AM99" s="77"/>
      <c r="AN99" s="77"/>
      <c r="AO99" s="195"/>
      <c r="AP99" s="195"/>
      <c r="AQ99" s="195"/>
      <c r="AR99" s="195"/>
      <c r="AS99" s="195"/>
      <c r="AT99" s="195"/>
      <c r="AU99" s="195"/>
      <c r="AV99" s="195"/>
      <c r="AW99" s="112">
        <v>750</v>
      </c>
      <c r="AX99" s="112"/>
      <c r="AY99" s="112"/>
      <c r="AZ99" s="112"/>
      <c r="BA99" s="112"/>
      <c r="BB99" s="112"/>
      <c r="BC99" s="112"/>
      <c r="BD99" s="112"/>
      <c r="BE99" s="94">
        <f>AO99+AW99</f>
        <v>750</v>
      </c>
      <c r="BF99" s="94"/>
      <c r="BG99" s="94"/>
      <c r="BH99" s="94"/>
      <c r="BI99" s="94"/>
      <c r="BJ99" s="94"/>
      <c r="BK99" s="94"/>
      <c r="BL99" s="94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</row>
    <row r="100" spans="1:85" ht="32.25" customHeight="1" x14ac:dyDescent="0.2">
      <c r="A100" s="65"/>
      <c r="B100" s="65"/>
      <c r="C100" s="65"/>
      <c r="D100" s="65"/>
      <c r="E100" s="65"/>
      <c r="F100" s="65"/>
      <c r="G100" s="133" t="s">
        <v>103</v>
      </c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65" t="s">
        <v>112</v>
      </c>
      <c r="AA100" s="65"/>
      <c r="AB100" s="65"/>
      <c r="AC100" s="65"/>
      <c r="AD100" s="65"/>
      <c r="AE100" s="77" t="s">
        <v>116</v>
      </c>
      <c r="AF100" s="77"/>
      <c r="AG100" s="77"/>
      <c r="AH100" s="77"/>
      <c r="AI100" s="77"/>
      <c r="AJ100" s="77"/>
      <c r="AK100" s="77"/>
      <c r="AL100" s="77"/>
      <c r="AM100" s="77"/>
      <c r="AN100" s="77"/>
      <c r="AO100" s="71">
        <v>680</v>
      </c>
      <c r="AP100" s="71"/>
      <c r="AQ100" s="71"/>
      <c r="AR100" s="71"/>
      <c r="AS100" s="71"/>
      <c r="AT100" s="71"/>
      <c r="AU100" s="71"/>
      <c r="AV100" s="71"/>
      <c r="AW100" s="65"/>
      <c r="AX100" s="65"/>
      <c r="AY100" s="65"/>
      <c r="AZ100" s="65"/>
      <c r="BA100" s="65"/>
      <c r="BB100" s="65"/>
      <c r="BC100" s="65"/>
      <c r="BD100" s="65"/>
      <c r="BE100" s="94">
        <f t="shared" si="1"/>
        <v>680</v>
      </c>
      <c r="BF100" s="94"/>
      <c r="BG100" s="94"/>
      <c r="BH100" s="94"/>
      <c r="BI100" s="94"/>
      <c r="BJ100" s="94"/>
      <c r="BK100" s="94"/>
      <c r="BL100" s="94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</row>
    <row r="101" spans="1:85" ht="33" customHeight="1" x14ac:dyDescent="0.2">
      <c r="A101" s="65"/>
      <c r="B101" s="65"/>
      <c r="C101" s="65"/>
      <c r="D101" s="65"/>
      <c r="E101" s="65"/>
      <c r="F101" s="65"/>
      <c r="G101" s="133" t="s">
        <v>104</v>
      </c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65" t="s">
        <v>50</v>
      </c>
      <c r="AA101" s="65"/>
      <c r="AB101" s="65"/>
      <c r="AC101" s="65"/>
      <c r="AD101" s="65"/>
      <c r="AE101" s="192" t="s">
        <v>118</v>
      </c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71">
        <v>800</v>
      </c>
      <c r="AP101" s="71"/>
      <c r="AQ101" s="71"/>
      <c r="AR101" s="71"/>
      <c r="AS101" s="71"/>
      <c r="AT101" s="71"/>
      <c r="AU101" s="71"/>
      <c r="AV101" s="71"/>
      <c r="AW101" s="65"/>
      <c r="AX101" s="65"/>
      <c r="AY101" s="65"/>
      <c r="AZ101" s="65"/>
      <c r="BA101" s="65"/>
      <c r="BB101" s="65"/>
      <c r="BC101" s="65"/>
      <c r="BD101" s="65"/>
      <c r="BE101" s="94">
        <f t="shared" si="1"/>
        <v>800</v>
      </c>
      <c r="BF101" s="94"/>
      <c r="BG101" s="94"/>
      <c r="BH101" s="94"/>
      <c r="BI101" s="94"/>
      <c r="BJ101" s="94"/>
      <c r="BK101" s="94"/>
      <c r="BL101" s="94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</row>
    <row r="102" spans="1:85" ht="35.25" customHeight="1" x14ac:dyDescent="0.2">
      <c r="A102" s="65"/>
      <c r="B102" s="65"/>
      <c r="C102" s="65"/>
      <c r="D102" s="65"/>
      <c r="E102" s="65"/>
      <c r="F102" s="65"/>
      <c r="G102" s="133" t="s">
        <v>105</v>
      </c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11" t="s">
        <v>50</v>
      </c>
      <c r="AA102" s="111"/>
      <c r="AB102" s="111"/>
      <c r="AC102" s="111"/>
      <c r="AD102" s="111"/>
      <c r="AE102" s="77" t="s">
        <v>114</v>
      </c>
      <c r="AF102" s="77"/>
      <c r="AG102" s="77"/>
      <c r="AH102" s="77"/>
      <c r="AI102" s="77"/>
      <c r="AJ102" s="77"/>
      <c r="AK102" s="77"/>
      <c r="AL102" s="77"/>
      <c r="AM102" s="77"/>
      <c r="AN102" s="77"/>
      <c r="AO102" s="71">
        <f>1+5+4</f>
        <v>10</v>
      </c>
      <c r="AP102" s="71"/>
      <c r="AQ102" s="71"/>
      <c r="AR102" s="71"/>
      <c r="AS102" s="71"/>
      <c r="AT102" s="71"/>
      <c r="AU102" s="71"/>
      <c r="AV102" s="71"/>
      <c r="AW102" s="65"/>
      <c r="AX102" s="65"/>
      <c r="AY102" s="65"/>
      <c r="AZ102" s="65"/>
      <c r="BA102" s="65"/>
      <c r="BB102" s="65"/>
      <c r="BC102" s="65"/>
      <c r="BD102" s="65"/>
      <c r="BE102" s="94">
        <f t="shared" si="1"/>
        <v>10</v>
      </c>
      <c r="BF102" s="94"/>
      <c r="BG102" s="94"/>
      <c r="BH102" s="94"/>
      <c r="BI102" s="94"/>
      <c r="BJ102" s="94"/>
      <c r="BK102" s="94"/>
      <c r="BL102" s="94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</row>
    <row r="103" spans="1:85" ht="15.75" customHeight="1" x14ac:dyDescent="0.2">
      <c r="A103" s="65"/>
      <c r="B103" s="65"/>
      <c r="C103" s="65"/>
      <c r="D103" s="65"/>
      <c r="E103" s="65"/>
      <c r="F103" s="65"/>
      <c r="G103" s="117" t="s">
        <v>52</v>
      </c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</row>
    <row r="104" spans="1:85" ht="35.25" customHeight="1" x14ac:dyDescent="0.2">
      <c r="A104" s="65"/>
      <c r="B104" s="65"/>
      <c r="C104" s="65"/>
      <c r="D104" s="65"/>
      <c r="E104" s="65"/>
      <c r="F104" s="65"/>
      <c r="G104" s="188" t="s">
        <v>272</v>
      </c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77" t="s">
        <v>49</v>
      </c>
      <c r="AA104" s="77"/>
      <c r="AB104" s="77"/>
      <c r="AC104" s="77"/>
      <c r="AD104" s="77"/>
      <c r="AE104" s="77" t="s">
        <v>62</v>
      </c>
      <c r="AF104" s="77"/>
      <c r="AG104" s="77"/>
      <c r="AH104" s="77"/>
      <c r="AI104" s="77"/>
      <c r="AJ104" s="77"/>
      <c r="AK104" s="77"/>
      <c r="AL104" s="77"/>
      <c r="AM104" s="77"/>
      <c r="AN104" s="77"/>
      <c r="AO104" s="69">
        <f>(15216.83+1535.78+7385.6+221.3)/AO96*1000</f>
        <v>137020.53099336257</v>
      </c>
      <c r="AP104" s="69"/>
      <c r="AQ104" s="69"/>
      <c r="AR104" s="69"/>
      <c r="AS104" s="69"/>
      <c r="AT104" s="69"/>
      <c r="AU104" s="69"/>
      <c r="AV104" s="69"/>
      <c r="AW104" s="65"/>
      <c r="AX104" s="65"/>
      <c r="AY104" s="65"/>
      <c r="AZ104" s="65"/>
      <c r="BA104" s="65"/>
      <c r="BB104" s="65"/>
      <c r="BC104" s="65"/>
      <c r="BD104" s="65"/>
      <c r="BE104" s="74">
        <f t="shared" ref="BE104:BE110" si="2">AO104+AW104</f>
        <v>137020.53099336257</v>
      </c>
      <c r="BF104" s="65"/>
      <c r="BG104" s="65"/>
      <c r="BH104" s="65"/>
      <c r="BI104" s="65"/>
      <c r="BJ104" s="65"/>
      <c r="BK104" s="65"/>
      <c r="BL104" s="65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</row>
    <row r="105" spans="1:85" ht="33.75" customHeight="1" x14ac:dyDescent="0.2">
      <c r="A105" s="65"/>
      <c r="B105" s="65"/>
      <c r="C105" s="65"/>
      <c r="D105" s="65"/>
      <c r="E105" s="65"/>
      <c r="F105" s="65"/>
      <c r="G105" s="188" t="s">
        <v>273</v>
      </c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77" t="s">
        <v>49</v>
      </c>
      <c r="AA105" s="77"/>
      <c r="AB105" s="77"/>
      <c r="AC105" s="77"/>
      <c r="AD105" s="77"/>
      <c r="AE105" s="77" t="s">
        <v>62</v>
      </c>
      <c r="AF105" s="77"/>
      <c r="AG105" s="77"/>
      <c r="AH105" s="77"/>
      <c r="AI105" s="77"/>
      <c r="AJ105" s="77"/>
      <c r="AK105" s="77"/>
      <c r="AL105" s="77"/>
      <c r="AM105" s="77"/>
      <c r="AN105" s="77"/>
      <c r="AO105" s="69">
        <f>991300/AO97</f>
        <v>4254.5064377682402</v>
      </c>
      <c r="AP105" s="69"/>
      <c r="AQ105" s="69"/>
      <c r="AR105" s="69"/>
      <c r="AS105" s="69"/>
      <c r="AT105" s="69"/>
      <c r="AU105" s="69"/>
      <c r="AV105" s="69"/>
      <c r="AW105" s="65"/>
      <c r="AX105" s="65"/>
      <c r="AY105" s="65"/>
      <c r="AZ105" s="65"/>
      <c r="BA105" s="65"/>
      <c r="BB105" s="65"/>
      <c r="BC105" s="65"/>
      <c r="BD105" s="65"/>
      <c r="BE105" s="74">
        <f t="shared" si="2"/>
        <v>4254.5064377682402</v>
      </c>
      <c r="BF105" s="65"/>
      <c r="BG105" s="65"/>
      <c r="BH105" s="65"/>
      <c r="BI105" s="65"/>
      <c r="BJ105" s="65"/>
      <c r="BK105" s="65"/>
      <c r="BL105" s="65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</row>
    <row r="106" spans="1:85" ht="33.75" customHeight="1" x14ac:dyDescent="0.2">
      <c r="A106" s="65"/>
      <c r="B106" s="65"/>
      <c r="C106" s="65"/>
      <c r="D106" s="65"/>
      <c r="E106" s="65"/>
      <c r="F106" s="65"/>
      <c r="G106" s="204" t="s">
        <v>255</v>
      </c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77" t="s">
        <v>49</v>
      </c>
      <c r="AA106" s="77"/>
      <c r="AB106" s="77"/>
      <c r="AC106" s="77"/>
      <c r="AD106" s="77"/>
      <c r="AE106" s="77" t="s">
        <v>62</v>
      </c>
      <c r="AF106" s="77"/>
      <c r="AG106" s="77"/>
      <c r="AH106" s="77"/>
      <c r="AI106" s="77"/>
      <c r="AJ106" s="77"/>
      <c r="AK106" s="77"/>
      <c r="AL106" s="77"/>
      <c r="AM106" s="77"/>
      <c r="AN106" s="77"/>
      <c r="AO106" s="69">
        <f>AO90/AO98/4</f>
        <v>20879.120879120881</v>
      </c>
      <c r="AP106" s="69"/>
      <c r="AQ106" s="69"/>
      <c r="AR106" s="69"/>
      <c r="AS106" s="69"/>
      <c r="AT106" s="69"/>
      <c r="AU106" s="69"/>
      <c r="AV106" s="69"/>
      <c r="AW106" s="65"/>
      <c r="AX106" s="65"/>
      <c r="AY106" s="65"/>
      <c r="AZ106" s="65"/>
      <c r="BA106" s="65"/>
      <c r="BB106" s="65"/>
      <c r="BC106" s="65"/>
      <c r="BD106" s="65"/>
      <c r="BE106" s="74">
        <f t="shared" si="2"/>
        <v>20879.120879120881</v>
      </c>
      <c r="BF106" s="65"/>
      <c r="BG106" s="65"/>
      <c r="BH106" s="65"/>
      <c r="BI106" s="65"/>
      <c r="BJ106" s="65"/>
      <c r="BK106" s="65"/>
      <c r="BL106" s="65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</row>
    <row r="107" spans="1:85" ht="31.5" customHeight="1" x14ac:dyDescent="0.2">
      <c r="A107" s="65"/>
      <c r="B107" s="65"/>
      <c r="C107" s="65"/>
      <c r="D107" s="65"/>
      <c r="E107" s="65"/>
      <c r="F107" s="65"/>
      <c r="G107" s="188" t="s">
        <v>274</v>
      </c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77" t="s">
        <v>49</v>
      </c>
      <c r="AA107" s="77"/>
      <c r="AB107" s="77"/>
      <c r="AC107" s="77"/>
      <c r="AD107" s="77"/>
      <c r="AE107" s="77" t="s">
        <v>62</v>
      </c>
      <c r="AF107" s="77"/>
      <c r="AG107" s="77"/>
      <c r="AH107" s="77"/>
      <c r="AI107" s="77"/>
      <c r="AJ107" s="77"/>
      <c r="AK107" s="77"/>
      <c r="AL107" s="77"/>
      <c r="AM107" s="77"/>
      <c r="AN107" s="77"/>
      <c r="AO107" s="69"/>
      <c r="AP107" s="69"/>
      <c r="AQ107" s="69"/>
      <c r="AR107" s="69"/>
      <c r="AS107" s="69"/>
      <c r="AT107" s="69"/>
      <c r="AU107" s="69"/>
      <c r="AV107" s="69"/>
      <c r="AW107" s="202">
        <f>AW91/AW99</f>
        <v>2000</v>
      </c>
      <c r="AX107" s="202"/>
      <c r="AY107" s="202"/>
      <c r="AZ107" s="202"/>
      <c r="BA107" s="202"/>
      <c r="BB107" s="202"/>
      <c r="BC107" s="202"/>
      <c r="BD107" s="202"/>
      <c r="BE107" s="74">
        <f t="shared" si="2"/>
        <v>2000</v>
      </c>
      <c r="BF107" s="65"/>
      <c r="BG107" s="65"/>
      <c r="BH107" s="65"/>
      <c r="BI107" s="65"/>
      <c r="BJ107" s="65"/>
      <c r="BK107" s="65"/>
      <c r="BL107" s="65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</row>
    <row r="108" spans="1:85" ht="18.75" customHeight="1" x14ac:dyDescent="0.2">
      <c r="A108" s="65"/>
      <c r="B108" s="65"/>
      <c r="C108" s="65"/>
      <c r="D108" s="65"/>
      <c r="E108" s="65"/>
      <c r="F108" s="65"/>
      <c r="G108" s="133" t="s">
        <v>275</v>
      </c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77" t="s">
        <v>49</v>
      </c>
      <c r="AA108" s="77"/>
      <c r="AB108" s="77"/>
      <c r="AC108" s="77"/>
      <c r="AD108" s="77"/>
      <c r="AE108" s="77" t="s">
        <v>62</v>
      </c>
      <c r="AF108" s="77"/>
      <c r="AG108" s="77"/>
      <c r="AH108" s="77"/>
      <c r="AI108" s="77"/>
      <c r="AJ108" s="77"/>
      <c r="AK108" s="77"/>
      <c r="AL108" s="77"/>
      <c r="AM108" s="77"/>
      <c r="AN108" s="77"/>
      <c r="AO108" s="69">
        <f>AO92/AO100</f>
        <v>1470.5882352941176</v>
      </c>
      <c r="AP108" s="69"/>
      <c r="AQ108" s="69"/>
      <c r="AR108" s="69"/>
      <c r="AS108" s="69"/>
      <c r="AT108" s="69"/>
      <c r="AU108" s="69"/>
      <c r="AV108" s="69"/>
      <c r="AW108" s="65"/>
      <c r="AX108" s="65"/>
      <c r="AY108" s="65"/>
      <c r="AZ108" s="65"/>
      <c r="BA108" s="65"/>
      <c r="BB108" s="65"/>
      <c r="BC108" s="65"/>
      <c r="BD108" s="65"/>
      <c r="BE108" s="74">
        <f t="shared" si="2"/>
        <v>1470.5882352941176</v>
      </c>
      <c r="BF108" s="65"/>
      <c r="BG108" s="65"/>
      <c r="BH108" s="65"/>
      <c r="BI108" s="65"/>
      <c r="BJ108" s="65"/>
      <c r="BK108" s="65"/>
      <c r="BL108" s="65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</row>
    <row r="109" spans="1:85" ht="18.75" customHeight="1" x14ac:dyDescent="0.2">
      <c r="A109" s="65"/>
      <c r="B109" s="65"/>
      <c r="C109" s="65"/>
      <c r="D109" s="65"/>
      <c r="E109" s="65"/>
      <c r="F109" s="65"/>
      <c r="G109" s="133" t="s">
        <v>276</v>
      </c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77" t="s">
        <v>49</v>
      </c>
      <c r="AA109" s="77"/>
      <c r="AB109" s="77"/>
      <c r="AC109" s="77"/>
      <c r="AD109" s="77"/>
      <c r="AE109" s="77" t="s">
        <v>62</v>
      </c>
      <c r="AF109" s="77"/>
      <c r="AG109" s="77"/>
      <c r="AH109" s="77"/>
      <c r="AI109" s="77"/>
      <c r="AJ109" s="77"/>
      <c r="AK109" s="77"/>
      <c r="AL109" s="77"/>
      <c r="AM109" s="77"/>
      <c r="AN109" s="77"/>
      <c r="AO109" s="69">
        <f>AO93/AO101</f>
        <v>1000</v>
      </c>
      <c r="AP109" s="69"/>
      <c r="AQ109" s="69"/>
      <c r="AR109" s="69"/>
      <c r="AS109" s="69"/>
      <c r="AT109" s="69"/>
      <c r="AU109" s="69"/>
      <c r="AV109" s="69"/>
      <c r="AW109" s="65"/>
      <c r="AX109" s="65"/>
      <c r="AY109" s="65"/>
      <c r="AZ109" s="65"/>
      <c r="BA109" s="65"/>
      <c r="BB109" s="65"/>
      <c r="BC109" s="65"/>
      <c r="BD109" s="65"/>
      <c r="BE109" s="74">
        <f t="shared" si="2"/>
        <v>1000</v>
      </c>
      <c r="BF109" s="65"/>
      <c r="BG109" s="65"/>
      <c r="BH109" s="65"/>
      <c r="BI109" s="65"/>
      <c r="BJ109" s="65"/>
      <c r="BK109" s="65"/>
      <c r="BL109" s="65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</row>
    <row r="110" spans="1:85" ht="18.75" customHeight="1" x14ac:dyDescent="0.2">
      <c r="A110" s="65"/>
      <c r="B110" s="65"/>
      <c r="C110" s="65"/>
      <c r="D110" s="65"/>
      <c r="E110" s="65"/>
      <c r="F110" s="65"/>
      <c r="G110" s="133" t="s">
        <v>106</v>
      </c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77" t="s">
        <v>49</v>
      </c>
      <c r="AA110" s="77"/>
      <c r="AB110" s="77"/>
      <c r="AC110" s="77"/>
      <c r="AD110" s="77"/>
      <c r="AE110" s="77" t="s">
        <v>62</v>
      </c>
      <c r="AF110" s="77"/>
      <c r="AG110" s="77"/>
      <c r="AH110" s="77"/>
      <c r="AI110" s="77"/>
      <c r="AJ110" s="77"/>
      <c r="AK110" s="77"/>
      <c r="AL110" s="77"/>
      <c r="AM110" s="77"/>
      <c r="AN110" s="77"/>
      <c r="AO110" s="69">
        <f>AO94/AO102</f>
        <v>23500</v>
      </c>
      <c r="AP110" s="69"/>
      <c r="AQ110" s="69"/>
      <c r="AR110" s="69"/>
      <c r="AS110" s="69"/>
      <c r="AT110" s="69"/>
      <c r="AU110" s="69"/>
      <c r="AV110" s="69"/>
      <c r="AW110" s="65"/>
      <c r="AX110" s="65"/>
      <c r="AY110" s="65"/>
      <c r="AZ110" s="65"/>
      <c r="BA110" s="65"/>
      <c r="BB110" s="65"/>
      <c r="BC110" s="65"/>
      <c r="BD110" s="65"/>
      <c r="BE110" s="74">
        <f t="shared" si="2"/>
        <v>23500</v>
      </c>
      <c r="BF110" s="65"/>
      <c r="BG110" s="65"/>
      <c r="BH110" s="65"/>
      <c r="BI110" s="65"/>
      <c r="BJ110" s="65"/>
      <c r="BK110" s="65"/>
      <c r="BL110" s="65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</row>
    <row r="111" spans="1:85" ht="18" customHeight="1" x14ac:dyDescent="0.2">
      <c r="A111" s="65"/>
      <c r="B111" s="65"/>
      <c r="C111" s="65"/>
      <c r="D111" s="65"/>
      <c r="E111" s="65"/>
      <c r="F111" s="65"/>
      <c r="G111" s="117" t="s">
        <v>53</v>
      </c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65"/>
      <c r="AX111" s="65"/>
      <c r="AY111" s="65"/>
      <c r="AZ111" s="65"/>
      <c r="BA111" s="65"/>
      <c r="BB111" s="65"/>
      <c r="BC111" s="65"/>
      <c r="BD111" s="65"/>
      <c r="BE111" s="74"/>
      <c r="BF111" s="65"/>
      <c r="BG111" s="65"/>
      <c r="BH111" s="65"/>
      <c r="BI111" s="65"/>
      <c r="BJ111" s="65"/>
      <c r="BK111" s="65"/>
      <c r="BL111" s="65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</row>
    <row r="112" spans="1:85" ht="33" customHeight="1" x14ac:dyDescent="0.2">
      <c r="A112" s="65"/>
      <c r="B112" s="65"/>
      <c r="C112" s="65"/>
      <c r="D112" s="65"/>
      <c r="E112" s="65"/>
      <c r="F112" s="65"/>
      <c r="G112" s="204" t="s">
        <v>277</v>
      </c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77" t="s">
        <v>54</v>
      </c>
      <c r="AA112" s="77"/>
      <c r="AB112" s="77"/>
      <c r="AC112" s="77"/>
      <c r="AD112" s="77"/>
      <c r="AE112" s="77" t="s">
        <v>62</v>
      </c>
      <c r="AF112" s="77"/>
      <c r="AG112" s="77"/>
      <c r="AH112" s="77"/>
      <c r="AI112" s="77"/>
      <c r="AJ112" s="77"/>
      <c r="AK112" s="77"/>
      <c r="AL112" s="77"/>
      <c r="AM112" s="77"/>
      <c r="AN112" s="77"/>
      <c r="AO112" s="191">
        <f>AO96/177.78*100</f>
        <v>100</v>
      </c>
      <c r="AP112" s="191"/>
      <c r="AQ112" s="191"/>
      <c r="AR112" s="191"/>
      <c r="AS112" s="191"/>
      <c r="AT112" s="191"/>
      <c r="AU112" s="191"/>
      <c r="AV112" s="191"/>
      <c r="AW112" s="72"/>
      <c r="AX112" s="72"/>
      <c r="AY112" s="72"/>
      <c r="AZ112" s="72"/>
      <c r="BA112" s="72"/>
      <c r="BB112" s="72"/>
      <c r="BC112" s="72"/>
      <c r="BD112" s="72"/>
      <c r="BE112" s="72">
        <f>AO112+AW112</f>
        <v>100</v>
      </c>
      <c r="BF112" s="72"/>
      <c r="BG112" s="72"/>
      <c r="BH112" s="72"/>
      <c r="BI112" s="72"/>
      <c r="BJ112" s="72"/>
      <c r="BK112" s="72"/>
      <c r="BL112" s="72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</row>
    <row r="113" spans="1:85" ht="49.5" customHeight="1" x14ac:dyDescent="0.2">
      <c r="A113" s="65"/>
      <c r="B113" s="65"/>
      <c r="C113" s="65"/>
      <c r="D113" s="65"/>
      <c r="E113" s="65"/>
      <c r="F113" s="65"/>
      <c r="G113" s="204" t="s">
        <v>278</v>
      </c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77" t="s">
        <v>54</v>
      </c>
      <c r="AA113" s="77"/>
      <c r="AB113" s="77"/>
      <c r="AC113" s="77"/>
      <c r="AD113" s="77"/>
      <c r="AE113" s="77" t="s">
        <v>62</v>
      </c>
      <c r="AF113" s="77"/>
      <c r="AG113" s="77"/>
      <c r="AH113" s="77"/>
      <c r="AI113" s="77"/>
      <c r="AJ113" s="77"/>
      <c r="AK113" s="77"/>
      <c r="AL113" s="77"/>
      <c r="AM113" s="77"/>
      <c r="AN113" s="77"/>
      <c r="AO113" s="191">
        <f>AO97/233*100</f>
        <v>100</v>
      </c>
      <c r="AP113" s="191"/>
      <c r="AQ113" s="191"/>
      <c r="AR113" s="191"/>
      <c r="AS113" s="191"/>
      <c r="AT113" s="191"/>
      <c r="AU113" s="191"/>
      <c r="AV113" s="191"/>
      <c r="AW113" s="72"/>
      <c r="AX113" s="72"/>
      <c r="AY113" s="72"/>
      <c r="AZ113" s="72"/>
      <c r="BA113" s="72"/>
      <c r="BB113" s="72"/>
      <c r="BC113" s="72"/>
      <c r="BD113" s="72"/>
      <c r="BE113" s="72">
        <f>AO113+AW113</f>
        <v>100</v>
      </c>
      <c r="BF113" s="72"/>
      <c r="BG113" s="72"/>
      <c r="BH113" s="72"/>
      <c r="BI113" s="72"/>
      <c r="BJ113" s="72"/>
      <c r="BK113" s="72"/>
      <c r="BL113" s="72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</row>
    <row r="114" spans="1:85" ht="48.75" customHeight="1" x14ac:dyDescent="0.2">
      <c r="A114" s="65"/>
      <c r="B114" s="65"/>
      <c r="C114" s="65"/>
      <c r="D114" s="65"/>
      <c r="E114" s="65"/>
      <c r="F114" s="65"/>
      <c r="G114" s="118" t="s">
        <v>279</v>
      </c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77" t="s">
        <v>54</v>
      </c>
      <c r="AA114" s="77"/>
      <c r="AB114" s="77"/>
      <c r="AC114" s="77"/>
      <c r="AD114" s="77"/>
      <c r="AE114" s="77" t="s">
        <v>62</v>
      </c>
      <c r="AF114" s="77"/>
      <c r="AG114" s="77"/>
      <c r="AH114" s="77"/>
      <c r="AI114" s="77"/>
      <c r="AJ114" s="77"/>
      <c r="AK114" s="77"/>
      <c r="AL114" s="77"/>
      <c r="AM114" s="77"/>
      <c r="AN114" s="77"/>
      <c r="AO114" s="191">
        <f>AO98/9.1*100</f>
        <v>100</v>
      </c>
      <c r="AP114" s="191"/>
      <c r="AQ114" s="191"/>
      <c r="AR114" s="191"/>
      <c r="AS114" s="191"/>
      <c r="AT114" s="191"/>
      <c r="AU114" s="191"/>
      <c r="AV114" s="191"/>
      <c r="AW114" s="72"/>
      <c r="AX114" s="72"/>
      <c r="AY114" s="72"/>
      <c r="AZ114" s="72"/>
      <c r="BA114" s="72"/>
      <c r="BB114" s="72"/>
      <c r="BC114" s="72"/>
      <c r="BD114" s="72"/>
      <c r="BE114" s="72">
        <f>AO114+AW114</f>
        <v>100</v>
      </c>
      <c r="BF114" s="72"/>
      <c r="BG114" s="72"/>
      <c r="BH114" s="72"/>
      <c r="BI114" s="72"/>
      <c r="BJ114" s="72"/>
      <c r="BK114" s="72"/>
      <c r="BL114" s="72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</row>
    <row r="115" spans="1:85" ht="48" customHeight="1" x14ac:dyDescent="0.2">
      <c r="A115" s="65"/>
      <c r="B115" s="65"/>
      <c r="C115" s="65"/>
      <c r="D115" s="65"/>
      <c r="E115" s="65"/>
      <c r="F115" s="65"/>
      <c r="G115" s="204" t="s">
        <v>280</v>
      </c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77" t="s">
        <v>54</v>
      </c>
      <c r="AA115" s="77"/>
      <c r="AB115" s="77"/>
      <c r="AC115" s="77"/>
      <c r="AD115" s="77"/>
      <c r="AE115" s="77" t="s">
        <v>62</v>
      </c>
      <c r="AF115" s="77"/>
      <c r="AG115" s="77"/>
      <c r="AH115" s="77"/>
      <c r="AI115" s="77"/>
      <c r="AJ115" s="77"/>
      <c r="AK115" s="77"/>
      <c r="AL115" s="77"/>
      <c r="AM115" s="77"/>
      <c r="AN115" s="77"/>
      <c r="AO115" s="191"/>
      <c r="AP115" s="191"/>
      <c r="AQ115" s="191"/>
      <c r="AR115" s="191"/>
      <c r="AS115" s="191"/>
      <c r="AT115" s="191"/>
      <c r="AU115" s="191"/>
      <c r="AV115" s="191"/>
      <c r="AW115" s="72">
        <v>100</v>
      </c>
      <c r="AX115" s="72"/>
      <c r="AY115" s="72"/>
      <c r="AZ115" s="72"/>
      <c r="BA115" s="72"/>
      <c r="BB115" s="72"/>
      <c r="BC115" s="72"/>
      <c r="BD115" s="72"/>
      <c r="BE115" s="72">
        <f>AW115</f>
        <v>100</v>
      </c>
      <c r="BF115" s="72"/>
      <c r="BG115" s="72"/>
      <c r="BH115" s="72"/>
      <c r="BI115" s="72"/>
      <c r="BJ115" s="72"/>
      <c r="BK115" s="72"/>
      <c r="BL115" s="72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</row>
    <row r="116" spans="1:85" ht="36.75" customHeight="1" x14ac:dyDescent="0.2">
      <c r="A116" s="65"/>
      <c r="B116" s="65"/>
      <c r="C116" s="65"/>
      <c r="D116" s="65"/>
      <c r="E116" s="65"/>
      <c r="F116" s="65"/>
      <c r="G116" s="204" t="s">
        <v>281</v>
      </c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77" t="s">
        <v>54</v>
      </c>
      <c r="AA116" s="77"/>
      <c r="AB116" s="77"/>
      <c r="AC116" s="77"/>
      <c r="AD116" s="77"/>
      <c r="AE116" s="77" t="s">
        <v>62</v>
      </c>
      <c r="AF116" s="77"/>
      <c r="AG116" s="77"/>
      <c r="AH116" s="77"/>
      <c r="AI116" s="77"/>
      <c r="AJ116" s="77"/>
      <c r="AK116" s="77"/>
      <c r="AL116" s="77"/>
      <c r="AM116" s="77"/>
      <c r="AN116" s="77"/>
      <c r="AO116" s="191">
        <f>AO100/680*100</f>
        <v>100</v>
      </c>
      <c r="AP116" s="191"/>
      <c r="AQ116" s="191"/>
      <c r="AR116" s="191"/>
      <c r="AS116" s="191"/>
      <c r="AT116" s="191"/>
      <c r="AU116" s="191"/>
      <c r="AV116" s="191"/>
      <c r="AW116" s="72"/>
      <c r="AX116" s="72"/>
      <c r="AY116" s="72"/>
      <c r="AZ116" s="72"/>
      <c r="BA116" s="72"/>
      <c r="BB116" s="72"/>
      <c r="BC116" s="72"/>
      <c r="BD116" s="72"/>
      <c r="BE116" s="72">
        <f>AO116+AW116</f>
        <v>100</v>
      </c>
      <c r="BF116" s="72"/>
      <c r="BG116" s="72"/>
      <c r="BH116" s="72"/>
      <c r="BI116" s="72"/>
      <c r="BJ116" s="72"/>
      <c r="BK116" s="72"/>
      <c r="BL116" s="72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</row>
    <row r="117" spans="1:85" ht="50.25" customHeight="1" x14ac:dyDescent="0.2">
      <c r="A117" s="65"/>
      <c r="B117" s="65"/>
      <c r="C117" s="65"/>
      <c r="D117" s="65"/>
      <c r="E117" s="65"/>
      <c r="F117" s="65"/>
      <c r="G117" s="204" t="s">
        <v>282</v>
      </c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77" t="s">
        <v>54</v>
      </c>
      <c r="AA117" s="77"/>
      <c r="AB117" s="77"/>
      <c r="AC117" s="77"/>
      <c r="AD117" s="77"/>
      <c r="AE117" s="77" t="s">
        <v>62</v>
      </c>
      <c r="AF117" s="77"/>
      <c r="AG117" s="77"/>
      <c r="AH117" s="77"/>
      <c r="AI117" s="77"/>
      <c r="AJ117" s="77"/>
      <c r="AK117" s="77"/>
      <c r="AL117" s="77"/>
      <c r="AM117" s="77"/>
      <c r="AN117" s="77"/>
      <c r="AO117" s="191">
        <f>AO101/800*100</f>
        <v>100</v>
      </c>
      <c r="AP117" s="191"/>
      <c r="AQ117" s="191"/>
      <c r="AR117" s="191"/>
      <c r="AS117" s="191"/>
      <c r="AT117" s="191"/>
      <c r="AU117" s="191"/>
      <c r="AV117" s="191"/>
      <c r="AW117" s="72"/>
      <c r="AX117" s="72"/>
      <c r="AY117" s="72"/>
      <c r="AZ117" s="72"/>
      <c r="BA117" s="72"/>
      <c r="BB117" s="72"/>
      <c r="BC117" s="72"/>
      <c r="BD117" s="72"/>
      <c r="BE117" s="72">
        <f>AO117+AW117</f>
        <v>100</v>
      </c>
      <c r="BF117" s="72"/>
      <c r="BG117" s="72"/>
      <c r="BH117" s="72"/>
      <c r="BI117" s="72"/>
      <c r="BJ117" s="72"/>
      <c r="BK117" s="72"/>
      <c r="BL117" s="72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</row>
    <row r="118" spans="1:85" ht="48" customHeight="1" x14ac:dyDescent="0.2">
      <c r="A118" s="65"/>
      <c r="B118" s="65"/>
      <c r="C118" s="65"/>
      <c r="D118" s="65"/>
      <c r="E118" s="65"/>
      <c r="F118" s="65"/>
      <c r="G118" s="204" t="s">
        <v>283</v>
      </c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77" t="s">
        <v>54</v>
      </c>
      <c r="AA118" s="77"/>
      <c r="AB118" s="77"/>
      <c r="AC118" s="77"/>
      <c r="AD118" s="77"/>
      <c r="AE118" s="77" t="s">
        <v>62</v>
      </c>
      <c r="AF118" s="77"/>
      <c r="AG118" s="77"/>
      <c r="AH118" s="77"/>
      <c r="AI118" s="77"/>
      <c r="AJ118" s="77"/>
      <c r="AK118" s="77"/>
      <c r="AL118" s="77"/>
      <c r="AM118" s="77"/>
      <c r="AN118" s="77"/>
      <c r="AO118" s="191">
        <f>AO102/10*100</f>
        <v>100</v>
      </c>
      <c r="AP118" s="191"/>
      <c r="AQ118" s="191"/>
      <c r="AR118" s="191"/>
      <c r="AS118" s="191"/>
      <c r="AT118" s="191"/>
      <c r="AU118" s="191"/>
      <c r="AV118" s="191"/>
      <c r="AW118" s="72"/>
      <c r="AX118" s="72"/>
      <c r="AY118" s="72"/>
      <c r="AZ118" s="72"/>
      <c r="BA118" s="72"/>
      <c r="BB118" s="72"/>
      <c r="BC118" s="72"/>
      <c r="BD118" s="72"/>
      <c r="BE118" s="72">
        <f>AO118+AW118</f>
        <v>100</v>
      </c>
      <c r="BF118" s="72"/>
      <c r="BG118" s="72"/>
      <c r="BH118" s="72"/>
      <c r="BI118" s="72"/>
      <c r="BJ118" s="72"/>
      <c r="BK118" s="72"/>
      <c r="BL118" s="72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</row>
    <row r="119" spans="1:85" ht="15.75" customHeight="1" x14ac:dyDescent="0.2">
      <c r="A119" s="31"/>
      <c r="B119" s="31"/>
      <c r="C119" s="31"/>
      <c r="D119" s="31"/>
      <c r="E119" s="31"/>
      <c r="F119" s="31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50"/>
      <c r="AA119" s="50"/>
      <c r="AB119" s="50"/>
      <c r="AC119" s="50"/>
      <c r="AD119" s="50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</row>
    <row r="120" spans="1:85" ht="35.25" customHeight="1" x14ac:dyDescent="0.2">
      <c r="A120" s="65"/>
      <c r="B120" s="65"/>
      <c r="C120" s="65"/>
      <c r="D120" s="65"/>
      <c r="E120" s="65"/>
      <c r="F120" s="65"/>
      <c r="G120" s="65" t="s">
        <v>28</v>
      </c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 t="s">
        <v>2</v>
      </c>
      <c r="AA120" s="65"/>
      <c r="AB120" s="65"/>
      <c r="AC120" s="65"/>
      <c r="AD120" s="65"/>
      <c r="AE120" s="65" t="s">
        <v>1</v>
      </c>
      <c r="AF120" s="65"/>
      <c r="AG120" s="65"/>
      <c r="AH120" s="65"/>
      <c r="AI120" s="65"/>
      <c r="AJ120" s="65"/>
      <c r="AK120" s="65"/>
      <c r="AL120" s="65"/>
      <c r="AM120" s="65"/>
      <c r="AN120" s="65"/>
      <c r="AO120" s="65" t="s">
        <v>16</v>
      </c>
      <c r="AP120" s="65"/>
      <c r="AQ120" s="65"/>
      <c r="AR120" s="65"/>
      <c r="AS120" s="65"/>
      <c r="AT120" s="65"/>
      <c r="AU120" s="65"/>
      <c r="AV120" s="65"/>
      <c r="AW120" s="65" t="s">
        <v>17</v>
      </c>
      <c r="AX120" s="65"/>
      <c r="AY120" s="65"/>
      <c r="AZ120" s="65"/>
      <c r="BA120" s="65"/>
      <c r="BB120" s="65"/>
      <c r="BC120" s="65"/>
      <c r="BD120" s="65"/>
      <c r="BE120" s="65" t="s">
        <v>14</v>
      </c>
      <c r="BF120" s="65"/>
      <c r="BG120" s="65"/>
      <c r="BH120" s="65"/>
      <c r="BI120" s="65"/>
      <c r="BJ120" s="65"/>
      <c r="BK120" s="65"/>
      <c r="BL120" s="65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</row>
    <row r="121" spans="1:85" ht="18" customHeight="1" x14ac:dyDescent="0.2">
      <c r="A121" s="65"/>
      <c r="B121" s="65"/>
      <c r="C121" s="65"/>
      <c r="D121" s="65"/>
      <c r="E121" s="65"/>
      <c r="F121" s="65"/>
      <c r="G121" s="65">
        <v>2</v>
      </c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>
        <v>3</v>
      </c>
      <c r="AA121" s="65"/>
      <c r="AB121" s="65"/>
      <c r="AC121" s="65"/>
      <c r="AD121" s="65"/>
      <c r="AE121" s="65">
        <v>4</v>
      </c>
      <c r="AF121" s="65"/>
      <c r="AG121" s="65"/>
      <c r="AH121" s="65"/>
      <c r="AI121" s="65"/>
      <c r="AJ121" s="65"/>
      <c r="AK121" s="65"/>
      <c r="AL121" s="65"/>
      <c r="AM121" s="65"/>
      <c r="AN121" s="65"/>
      <c r="AO121" s="65">
        <v>5</v>
      </c>
      <c r="AP121" s="65"/>
      <c r="AQ121" s="65"/>
      <c r="AR121" s="65"/>
      <c r="AS121" s="65"/>
      <c r="AT121" s="65"/>
      <c r="AU121" s="65"/>
      <c r="AV121" s="65"/>
      <c r="AW121" s="65">
        <v>6</v>
      </c>
      <c r="AX121" s="65"/>
      <c r="AY121" s="65"/>
      <c r="AZ121" s="65"/>
      <c r="BA121" s="65"/>
      <c r="BB121" s="65"/>
      <c r="BC121" s="65"/>
      <c r="BD121" s="65"/>
      <c r="BE121" s="65">
        <v>7</v>
      </c>
      <c r="BF121" s="65"/>
      <c r="BG121" s="65"/>
      <c r="BH121" s="65"/>
      <c r="BI121" s="65"/>
      <c r="BJ121" s="65"/>
      <c r="BK121" s="65"/>
      <c r="BL121" s="65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</row>
    <row r="122" spans="1:85" ht="18" customHeight="1" x14ac:dyDescent="0.2">
      <c r="A122" s="65"/>
      <c r="B122" s="65"/>
      <c r="C122" s="65"/>
      <c r="D122" s="65"/>
      <c r="E122" s="65"/>
      <c r="F122" s="65"/>
      <c r="G122" s="95" t="s">
        <v>75</v>
      </c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</row>
    <row r="123" spans="1:85" ht="18" customHeight="1" x14ac:dyDescent="0.2">
      <c r="A123" s="65"/>
      <c r="B123" s="65"/>
      <c r="C123" s="65"/>
      <c r="D123" s="65"/>
      <c r="E123" s="65"/>
      <c r="F123" s="65"/>
      <c r="G123" s="93" t="s">
        <v>48</v>
      </c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</row>
    <row r="124" spans="1:85" ht="18" customHeight="1" x14ac:dyDescent="0.2">
      <c r="A124" s="65"/>
      <c r="B124" s="65"/>
      <c r="C124" s="65"/>
      <c r="D124" s="65"/>
      <c r="E124" s="65"/>
      <c r="F124" s="65"/>
      <c r="G124" s="78" t="s">
        <v>107</v>
      </c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7" t="s">
        <v>49</v>
      </c>
      <c r="AA124" s="77"/>
      <c r="AB124" s="77"/>
      <c r="AC124" s="77"/>
      <c r="AD124" s="77"/>
      <c r="AE124" s="77" t="s">
        <v>61</v>
      </c>
      <c r="AF124" s="77"/>
      <c r="AG124" s="77"/>
      <c r="AH124" s="77"/>
      <c r="AI124" s="77"/>
      <c r="AJ124" s="77"/>
      <c r="AK124" s="77"/>
      <c r="AL124" s="77"/>
      <c r="AM124" s="77"/>
      <c r="AN124" s="77"/>
      <c r="AO124" s="74">
        <f>8713700+150000</f>
        <v>8863700</v>
      </c>
      <c r="AP124" s="74"/>
      <c r="AQ124" s="74"/>
      <c r="AR124" s="74"/>
      <c r="AS124" s="74"/>
      <c r="AT124" s="74"/>
      <c r="AU124" s="74"/>
      <c r="AV124" s="74"/>
      <c r="AW124" s="65"/>
      <c r="AX124" s="65"/>
      <c r="AY124" s="65"/>
      <c r="AZ124" s="65"/>
      <c r="BA124" s="65"/>
      <c r="BB124" s="65"/>
      <c r="BC124" s="65"/>
      <c r="BD124" s="65"/>
      <c r="BE124" s="74">
        <f>AO124+AW124</f>
        <v>8863700</v>
      </c>
      <c r="BF124" s="74"/>
      <c r="BG124" s="74"/>
      <c r="BH124" s="74"/>
      <c r="BI124" s="74"/>
      <c r="BJ124" s="74"/>
      <c r="BK124" s="74"/>
      <c r="BL124" s="74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</row>
    <row r="125" spans="1:85" ht="18" customHeight="1" x14ac:dyDescent="0.2">
      <c r="A125" s="65"/>
      <c r="B125" s="65"/>
      <c r="C125" s="65"/>
      <c r="D125" s="65"/>
      <c r="E125" s="65"/>
      <c r="F125" s="65"/>
      <c r="G125" s="93" t="s">
        <v>51</v>
      </c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72"/>
      <c r="BF125" s="72"/>
      <c r="BG125" s="72"/>
      <c r="BH125" s="72"/>
      <c r="BI125" s="72"/>
      <c r="BJ125" s="72"/>
      <c r="BK125" s="72"/>
      <c r="BL125" s="72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</row>
    <row r="126" spans="1:85" ht="18" customHeight="1" x14ac:dyDescent="0.2">
      <c r="A126" s="65"/>
      <c r="B126" s="65"/>
      <c r="C126" s="65"/>
      <c r="D126" s="65"/>
      <c r="E126" s="65"/>
      <c r="F126" s="65"/>
      <c r="G126" s="78" t="s">
        <v>108</v>
      </c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189" t="s">
        <v>111</v>
      </c>
      <c r="AA126" s="189"/>
      <c r="AB126" s="189"/>
      <c r="AC126" s="189"/>
      <c r="AD126" s="189"/>
      <c r="AE126" s="192" t="s">
        <v>118</v>
      </c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87">
        <f>158+4.977</f>
        <v>162.977</v>
      </c>
      <c r="AP126" s="187"/>
      <c r="AQ126" s="187"/>
      <c r="AR126" s="187"/>
      <c r="AS126" s="187"/>
      <c r="AT126" s="187"/>
      <c r="AU126" s="187"/>
      <c r="AV126" s="187"/>
      <c r="AW126" s="65"/>
      <c r="AX126" s="65"/>
      <c r="AY126" s="65"/>
      <c r="AZ126" s="65"/>
      <c r="BA126" s="65"/>
      <c r="BB126" s="65"/>
      <c r="BC126" s="65"/>
      <c r="BD126" s="65"/>
      <c r="BE126" s="72">
        <f>AO126+AW126</f>
        <v>162.977</v>
      </c>
      <c r="BF126" s="72"/>
      <c r="BG126" s="72"/>
      <c r="BH126" s="72"/>
      <c r="BI126" s="72"/>
      <c r="BJ126" s="72"/>
      <c r="BK126" s="72"/>
      <c r="BL126" s="72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</row>
    <row r="127" spans="1:85" ht="18" customHeight="1" x14ac:dyDescent="0.2">
      <c r="A127" s="65"/>
      <c r="B127" s="65"/>
      <c r="C127" s="65"/>
      <c r="D127" s="65"/>
      <c r="E127" s="65"/>
      <c r="F127" s="65"/>
      <c r="G127" s="78" t="s">
        <v>109</v>
      </c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189" t="s">
        <v>111</v>
      </c>
      <c r="AA127" s="189"/>
      <c r="AB127" s="189"/>
      <c r="AC127" s="189"/>
      <c r="AD127" s="189"/>
      <c r="AE127" s="192" t="s">
        <v>118</v>
      </c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87">
        <f>158+4.977</f>
        <v>162.977</v>
      </c>
      <c r="AP127" s="187"/>
      <c r="AQ127" s="187"/>
      <c r="AR127" s="187"/>
      <c r="AS127" s="187"/>
      <c r="AT127" s="187"/>
      <c r="AU127" s="187"/>
      <c r="AV127" s="187"/>
      <c r="AW127" s="65"/>
      <c r="AX127" s="65"/>
      <c r="AY127" s="65"/>
      <c r="AZ127" s="65"/>
      <c r="BA127" s="65"/>
      <c r="BB127" s="65"/>
      <c r="BC127" s="65"/>
      <c r="BD127" s="65"/>
      <c r="BE127" s="72">
        <f>AO127+AW127</f>
        <v>162.977</v>
      </c>
      <c r="BF127" s="72"/>
      <c r="BG127" s="72"/>
      <c r="BH127" s="72"/>
      <c r="BI127" s="72"/>
      <c r="BJ127" s="72"/>
      <c r="BK127" s="72"/>
      <c r="BL127" s="72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</row>
    <row r="128" spans="1:85" ht="18" customHeight="1" x14ac:dyDescent="0.2">
      <c r="A128" s="65"/>
      <c r="B128" s="65"/>
      <c r="C128" s="65"/>
      <c r="D128" s="65"/>
      <c r="E128" s="65"/>
      <c r="F128" s="65"/>
      <c r="G128" s="83" t="s">
        <v>52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72"/>
      <c r="BF128" s="72"/>
      <c r="BG128" s="72"/>
      <c r="BH128" s="72"/>
      <c r="BI128" s="72"/>
      <c r="BJ128" s="72"/>
      <c r="BK128" s="72"/>
      <c r="BL128" s="72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</row>
    <row r="129" spans="1:85" ht="18" customHeight="1" x14ac:dyDescent="0.2">
      <c r="A129" s="65"/>
      <c r="B129" s="65"/>
      <c r="C129" s="65"/>
      <c r="D129" s="65"/>
      <c r="E129" s="65"/>
      <c r="F129" s="65"/>
      <c r="G129" s="68" t="s">
        <v>110</v>
      </c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77" t="s">
        <v>49</v>
      </c>
      <c r="AA129" s="77"/>
      <c r="AB129" s="77"/>
      <c r="AC129" s="77"/>
      <c r="AD129" s="77"/>
      <c r="AE129" s="77" t="s">
        <v>62</v>
      </c>
      <c r="AF129" s="77"/>
      <c r="AG129" s="77"/>
      <c r="AH129" s="77"/>
      <c r="AI129" s="77"/>
      <c r="AJ129" s="77"/>
      <c r="AK129" s="77"/>
      <c r="AL129" s="77"/>
      <c r="AM129" s="77"/>
      <c r="AN129" s="77"/>
      <c r="AO129" s="191">
        <f>AO124/AO126</f>
        <v>54386.201733987</v>
      </c>
      <c r="AP129" s="191"/>
      <c r="AQ129" s="191"/>
      <c r="AR129" s="191"/>
      <c r="AS129" s="191"/>
      <c r="AT129" s="191"/>
      <c r="AU129" s="191"/>
      <c r="AV129" s="191"/>
      <c r="AW129" s="65"/>
      <c r="AX129" s="65"/>
      <c r="AY129" s="65"/>
      <c r="AZ129" s="65"/>
      <c r="BA129" s="65"/>
      <c r="BB129" s="65"/>
      <c r="BC129" s="65"/>
      <c r="BD129" s="65"/>
      <c r="BE129" s="72">
        <f>AO129+AW129</f>
        <v>54386.201733987</v>
      </c>
      <c r="BF129" s="72"/>
      <c r="BG129" s="72"/>
      <c r="BH129" s="72"/>
      <c r="BI129" s="72"/>
      <c r="BJ129" s="72"/>
      <c r="BK129" s="72"/>
      <c r="BL129" s="72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</row>
    <row r="130" spans="1:85" ht="15.75" x14ac:dyDescent="0.2">
      <c r="A130" s="31"/>
      <c r="B130" s="31"/>
      <c r="C130" s="31"/>
      <c r="D130" s="31"/>
      <c r="E130" s="31"/>
      <c r="F130" s="31"/>
      <c r="G130" s="26"/>
      <c r="H130" s="26"/>
      <c r="I130" s="26"/>
      <c r="J130" s="26"/>
      <c r="K130" s="26"/>
      <c r="L130" s="26"/>
      <c r="M130" s="26"/>
      <c r="N130" s="26"/>
      <c r="O130" s="26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</row>
    <row r="131" spans="1:85" ht="35.25" customHeight="1" x14ac:dyDescent="0.2">
      <c r="A131" s="65" t="s">
        <v>15</v>
      </c>
      <c r="B131" s="65"/>
      <c r="C131" s="65"/>
      <c r="D131" s="65"/>
      <c r="E131" s="65"/>
      <c r="F131" s="65"/>
      <c r="G131" s="65" t="s">
        <v>28</v>
      </c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 t="s">
        <v>2</v>
      </c>
      <c r="AA131" s="65"/>
      <c r="AB131" s="65"/>
      <c r="AC131" s="65"/>
      <c r="AD131" s="65"/>
      <c r="AE131" s="65" t="s">
        <v>1</v>
      </c>
      <c r="AF131" s="65"/>
      <c r="AG131" s="65"/>
      <c r="AH131" s="65"/>
      <c r="AI131" s="65"/>
      <c r="AJ131" s="65"/>
      <c r="AK131" s="65"/>
      <c r="AL131" s="65"/>
      <c r="AM131" s="65"/>
      <c r="AN131" s="65"/>
      <c r="AO131" s="65" t="s">
        <v>16</v>
      </c>
      <c r="AP131" s="65"/>
      <c r="AQ131" s="65"/>
      <c r="AR131" s="65"/>
      <c r="AS131" s="65"/>
      <c r="AT131" s="65"/>
      <c r="AU131" s="65"/>
      <c r="AV131" s="65"/>
      <c r="AW131" s="65" t="s">
        <v>17</v>
      </c>
      <c r="AX131" s="65"/>
      <c r="AY131" s="65"/>
      <c r="AZ131" s="65"/>
      <c r="BA131" s="65"/>
      <c r="BB131" s="65"/>
      <c r="BC131" s="65"/>
      <c r="BD131" s="65"/>
      <c r="BE131" s="65" t="s">
        <v>14</v>
      </c>
      <c r="BF131" s="65"/>
      <c r="BG131" s="65"/>
      <c r="BH131" s="65"/>
      <c r="BI131" s="65"/>
      <c r="BJ131" s="65"/>
      <c r="BK131" s="65"/>
      <c r="BL131" s="65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</row>
    <row r="132" spans="1:85" ht="15.75" x14ac:dyDescent="0.2">
      <c r="A132" s="65">
        <v>1</v>
      </c>
      <c r="B132" s="65"/>
      <c r="C132" s="65"/>
      <c r="D132" s="65"/>
      <c r="E132" s="65"/>
      <c r="F132" s="65"/>
      <c r="G132" s="65">
        <v>2</v>
      </c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>
        <v>3</v>
      </c>
      <c r="AA132" s="65"/>
      <c r="AB132" s="65"/>
      <c r="AC132" s="65"/>
      <c r="AD132" s="65"/>
      <c r="AE132" s="65">
        <v>4</v>
      </c>
      <c r="AF132" s="65"/>
      <c r="AG132" s="65"/>
      <c r="AH132" s="65"/>
      <c r="AI132" s="65"/>
      <c r="AJ132" s="65"/>
      <c r="AK132" s="65"/>
      <c r="AL132" s="65"/>
      <c r="AM132" s="65"/>
      <c r="AN132" s="65"/>
      <c r="AO132" s="65">
        <v>5</v>
      </c>
      <c r="AP132" s="65"/>
      <c r="AQ132" s="65"/>
      <c r="AR132" s="65"/>
      <c r="AS132" s="65"/>
      <c r="AT132" s="65"/>
      <c r="AU132" s="65"/>
      <c r="AV132" s="65"/>
      <c r="AW132" s="65">
        <v>6</v>
      </c>
      <c r="AX132" s="65"/>
      <c r="AY132" s="65"/>
      <c r="AZ132" s="65"/>
      <c r="BA132" s="65"/>
      <c r="BB132" s="65"/>
      <c r="BC132" s="65"/>
      <c r="BD132" s="65"/>
      <c r="BE132" s="65">
        <v>7</v>
      </c>
      <c r="BF132" s="65"/>
      <c r="BG132" s="65"/>
      <c r="BH132" s="65"/>
      <c r="BI132" s="65"/>
      <c r="BJ132" s="65"/>
      <c r="BK132" s="65"/>
      <c r="BL132" s="65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</row>
    <row r="133" spans="1:85" ht="18" customHeight="1" x14ac:dyDescent="0.2">
      <c r="A133" s="65"/>
      <c r="B133" s="65"/>
      <c r="C133" s="65"/>
      <c r="D133" s="65"/>
      <c r="E133" s="65"/>
      <c r="F133" s="65"/>
      <c r="G133" s="199" t="s">
        <v>76</v>
      </c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1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</row>
    <row r="134" spans="1:85" ht="18" customHeight="1" x14ac:dyDescent="0.2">
      <c r="A134" s="65"/>
      <c r="B134" s="65"/>
      <c r="C134" s="65"/>
      <c r="D134" s="65"/>
      <c r="E134" s="65"/>
      <c r="F134" s="65"/>
      <c r="G134" s="93" t="s">
        <v>48</v>
      </c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</row>
    <row r="135" spans="1:85" ht="18" customHeight="1" x14ac:dyDescent="0.2">
      <c r="A135" s="65"/>
      <c r="B135" s="65"/>
      <c r="C135" s="65"/>
      <c r="D135" s="65"/>
      <c r="E135" s="65"/>
      <c r="F135" s="65"/>
      <c r="G135" s="78" t="s">
        <v>96</v>
      </c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7" t="s">
        <v>49</v>
      </c>
      <c r="AA135" s="77"/>
      <c r="AB135" s="77"/>
      <c r="AC135" s="77"/>
      <c r="AD135" s="77"/>
      <c r="AE135" s="77" t="s">
        <v>61</v>
      </c>
      <c r="AF135" s="77"/>
      <c r="AG135" s="77"/>
      <c r="AH135" s="77"/>
      <c r="AI135" s="77"/>
      <c r="AJ135" s="77"/>
      <c r="AK135" s="77"/>
      <c r="AL135" s="77"/>
      <c r="AM135" s="77"/>
      <c r="AN135" s="77"/>
      <c r="AO135" s="74">
        <f>AO136+AO137</f>
        <v>34465369</v>
      </c>
      <c r="AP135" s="74"/>
      <c r="AQ135" s="74"/>
      <c r="AR135" s="74"/>
      <c r="AS135" s="74"/>
      <c r="AT135" s="74"/>
      <c r="AU135" s="74"/>
      <c r="AV135" s="74"/>
      <c r="AW135" s="74">
        <f>AW138+AW139</f>
        <v>1378984</v>
      </c>
      <c r="AX135" s="74"/>
      <c r="AY135" s="74"/>
      <c r="AZ135" s="74"/>
      <c r="BA135" s="74"/>
      <c r="BB135" s="74"/>
      <c r="BC135" s="74"/>
      <c r="BD135" s="74"/>
      <c r="BE135" s="74">
        <f>AO135+AW135</f>
        <v>35844353</v>
      </c>
      <c r="BF135" s="74"/>
      <c r="BG135" s="74"/>
      <c r="BH135" s="74"/>
      <c r="BI135" s="74"/>
      <c r="BJ135" s="74"/>
      <c r="BK135" s="74"/>
      <c r="BL135" s="74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</row>
    <row r="136" spans="1:85" ht="35.25" customHeight="1" x14ac:dyDescent="0.2">
      <c r="A136" s="65"/>
      <c r="B136" s="65"/>
      <c r="C136" s="65"/>
      <c r="D136" s="65"/>
      <c r="E136" s="65"/>
      <c r="F136" s="65"/>
      <c r="G136" s="78" t="s">
        <v>119</v>
      </c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7" t="s">
        <v>49</v>
      </c>
      <c r="AA136" s="77"/>
      <c r="AB136" s="77"/>
      <c r="AC136" s="77"/>
      <c r="AD136" s="77"/>
      <c r="AE136" s="77" t="s">
        <v>61</v>
      </c>
      <c r="AF136" s="77"/>
      <c r="AG136" s="77"/>
      <c r="AH136" s="77"/>
      <c r="AI136" s="77"/>
      <c r="AJ136" s="77"/>
      <c r="AK136" s="77"/>
      <c r="AL136" s="77"/>
      <c r="AM136" s="77"/>
      <c r="AN136" s="77"/>
      <c r="AO136" s="74">
        <f>12725000+1000000</f>
        <v>13725000</v>
      </c>
      <c r="AP136" s="74"/>
      <c r="AQ136" s="74"/>
      <c r="AR136" s="74"/>
      <c r="AS136" s="74"/>
      <c r="AT136" s="74"/>
      <c r="AU136" s="74"/>
      <c r="AV136" s="74"/>
      <c r="AW136" s="65"/>
      <c r="AX136" s="65"/>
      <c r="AY136" s="65"/>
      <c r="AZ136" s="65"/>
      <c r="BA136" s="65"/>
      <c r="BB136" s="65"/>
      <c r="BC136" s="65"/>
      <c r="BD136" s="65"/>
      <c r="BE136" s="74">
        <f t="shared" ref="BE136:BE153" si="3">AO136+AW136</f>
        <v>13725000</v>
      </c>
      <c r="BF136" s="74"/>
      <c r="BG136" s="74"/>
      <c r="BH136" s="74"/>
      <c r="BI136" s="74"/>
      <c r="BJ136" s="74"/>
      <c r="BK136" s="74"/>
      <c r="BL136" s="74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</row>
    <row r="137" spans="1:85" ht="18" customHeight="1" x14ac:dyDescent="0.2">
      <c r="A137" s="65"/>
      <c r="B137" s="65"/>
      <c r="C137" s="65"/>
      <c r="D137" s="65"/>
      <c r="E137" s="65"/>
      <c r="F137" s="65"/>
      <c r="G137" s="78" t="s">
        <v>120</v>
      </c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7" t="s">
        <v>49</v>
      </c>
      <c r="AA137" s="77"/>
      <c r="AB137" s="77"/>
      <c r="AC137" s="77"/>
      <c r="AD137" s="77"/>
      <c r="AE137" s="77" t="s">
        <v>61</v>
      </c>
      <c r="AF137" s="77"/>
      <c r="AG137" s="77"/>
      <c r="AH137" s="77"/>
      <c r="AI137" s="77"/>
      <c r="AJ137" s="77"/>
      <c r="AK137" s="77"/>
      <c r="AL137" s="77"/>
      <c r="AM137" s="77"/>
      <c r="AN137" s="77"/>
      <c r="AO137" s="74">
        <f>15017044+5723325</f>
        <v>20740369</v>
      </c>
      <c r="AP137" s="74"/>
      <c r="AQ137" s="74"/>
      <c r="AR137" s="74"/>
      <c r="AS137" s="74"/>
      <c r="AT137" s="74"/>
      <c r="AU137" s="74"/>
      <c r="AV137" s="74"/>
      <c r="AW137" s="65"/>
      <c r="AX137" s="65"/>
      <c r="AY137" s="65"/>
      <c r="AZ137" s="65"/>
      <c r="BA137" s="65"/>
      <c r="BB137" s="65"/>
      <c r="BC137" s="65"/>
      <c r="BD137" s="65"/>
      <c r="BE137" s="74">
        <f t="shared" si="3"/>
        <v>20740369</v>
      </c>
      <c r="BF137" s="74"/>
      <c r="BG137" s="74"/>
      <c r="BH137" s="74"/>
      <c r="BI137" s="74"/>
      <c r="BJ137" s="74"/>
      <c r="BK137" s="74"/>
      <c r="BL137" s="74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</row>
    <row r="138" spans="1:85" ht="18" customHeight="1" x14ac:dyDescent="0.2">
      <c r="A138" s="65"/>
      <c r="B138" s="65"/>
      <c r="C138" s="65"/>
      <c r="D138" s="65"/>
      <c r="E138" s="65"/>
      <c r="F138" s="65"/>
      <c r="G138" s="78" t="s">
        <v>121</v>
      </c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7" t="s">
        <v>49</v>
      </c>
      <c r="AA138" s="77"/>
      <c r="AB138" s="77"/>
      <c r="AC138" s="77"/>
      <c r="AD138" s="77"/>
      <c r="AE138" s="77" t="s">
        <v>61</v>
      </c>
      <c r="AF138" s="77"/>
      <c r="AG138" s="77"/>
      <c r="AH138" s="77"/>
      <c r="AI138" s="77"/>
      <c r="AJ138" s="77"/>
      <c r="AK138" s="77"/>
      <c r="AL138" s="77"/>
      <c r="AM138" s="77"/>
      <c r="AN138" s="77"/>
      <c r="AO138" s="74"/>
      <c r="AP138" s="74"/>
      <c r="AQ138" s="74"/>
      <c r="AR138" s="74"/>
      <c r="AS138" s="74"/>
      <c r="AT138" s="74"/>
      <c r="AU138" s="74"/>
      <c r="AV138" s="74"/>
      <c r="AW138" s="74">
        <f>3000000-2121016</f>
        <v>878984</v>
      </c>
      <c r="AX138" s="74"/>
      <c r="AY138" s="74"/>
      <c r="AZ138" s="74"/>
      <c r="BA138" s="74"/>
      <c r="BB138" s="74"/>
      <c r="BC138" s="74"/>
      <c r="BD138" s="74"/>
      <c r="BE138" s="74">
        <f t="shared" si="3"/>
        <v>878984</v>
      </c>
      <c r="BF138" s="74"/>
      <c r="BG138" s="74"/>
      <c r="BH138" s="74"/>
      <c r="BI138" s="74"/>
      <c r="BJ138" s="74"/>
      <c r="BK138" s="74"/>
      <c r="BL138" s="74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</row>
    <row r="139" spans="1:85" ht="34.5" customHeight="1" x14ac:dyDescent="0.2">
      <c r="A139" s="65"/>
      <c r="B139" s="65"/>
      <c r="C139" s="65"/>
      <c r="D139" s="65"/>
      <c r="E139" s="65"/>
      <c r="F139" s="65"/>
      <c r="G139" s="205" t="s">
        <v>285</v>
      </c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7"/>
      <c r="Z139" s="77" t="s">
        <v>49</v>
      </c>
      <c r="AA139" s="77"/>
      <c r="AB139" s="77"/>
      <c r="AC139" s="77"/>
      <c r="AD139" s="77"/>
      <c r="AE139" s="77" t="s">
        <v>61</v>
      </c>
      <c r="AF139" s="77"/>
      <c r="AG139" s="77"/>
      <c r="AH139" s="77"/>
      <c r="AI139" s="77"/>
      <c r="AJ139" s="77"/>
      <c r="AK139" s="77"/>
      <c r="AL139" s="77"/>
      <c r="AM139" s="77"/>
      <c r="AN139" s="77"/>
      <c r="AO139" s="74"/>
      <c r="AP139" s="74"/>
      <c r="AQ139" s="74"/>
      <c r="AR139" s="74"/>
      <c r="AS139" s="74"/>
      <c r="AT139" s="74"/>
      <c r="AU139" s="74"/>
      <c r="AV139" s="74"/>
      <c r="AW139" s="74">
        <v>500000</v>
      </c>
      <c r="AX139" s="74"/>
      <c r="AY139" s="74"/>
      <c r="AZ139" s="74"/>
      <c r="BA139" s="74"/>
      <c r="BB139" s="74"/>
      <c r="BC139" s="74"/>
      <c r="BD139" s="74"/>
      <c r="BE139" s="74">
        <f>AO139+AW139</f>
        <v>500000</v>
      </c>
      <c r="BF139" s="74"/>
      <c r="BG139" s="74"/>
      <c r="BH139" s="74"/>
      <c r="BI139" s="74"/>
      <c r="BJ139" s="74"/>
      <c r="BK139" s="74"/>
      <c r="BL139" s="74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</row>
    <row r="140" spans="1:85" ht="18" customHeight="1" x14ac:dyDescent="0.2">
      <c r="A140" s="65"/>
      <c r="B140" s="65"/>
      <c r="C140" s="65"/>
      <c r="D140" s="65"/>
      <c r="E140" s="65"/>
      <c r="F140" s="65"/>
      <c r="G140" s="93" t="s">
        <v>51</v>
      </c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72"/>
      <c r="BF140" s="72"/>
      <c r="BG140" s="72"/>
      <c r="BH140" s="72"/>
      <c r="BI140" s="72"/>
      <c r="BJ140" s="72"/>
      <c r="BK140" s="72"/>
      <c r="BL140" s="72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</row>
    <row r="141" spans="1:85" ht="34.5" customHeight="1" x14ac:dyDescent="0.2">
      <c r="A141" s="65"/>
      <c r="B141" s="65"/>
      <c r="C141" s="65"/>
      <c r="D141" s="65"/>
      <c r="E141" s="65"/>
      <c r="F141" s="65"/>
      <c r="G141" s="98" t="s">
        <v>122</v>
      </c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77" t="s">
        <v>50</v>
      </c>
      <c r="AA141" s="77"/>
      <c r="AB141" s="77"/>
      <c r="AC141" s="77"/>
      <c r="AD141" s="77"/>
      <c r="AE141" s="77" t="s">
        <v>132</v>
      </c>
      <c r="AF141" s="77"/>
      <c r="AG141" s="77"/>
      <c r="AH141" s="77"/>
      <c r="AI141" s="77"/>
      <c r="AJ141" s="77"/>
      <c r="AK141" s="77"/>
      <c r="AL141" s="77"/>
      <c r="AM141" s="77"/>
      <c r="AN141" s="77"/>
      <c r="AO141" s="75">
        <f>14950+2603</f>
        <v>17553</v>
      </c>
      <c r="AP141" s="75"/>
      <c r="AQ141" s="75"/>
      <c r="AR141" s="75"/>
      <c r="AS141" s="75"/>
      <c r="AT141" s="75"/>
      <c r="AU141" s="75"/>
      <c r="AV141" s="75"/>
      <c r="AW141" s="77"/>
      <c r="AX141" s="77"/>
      <c r="AY141" s="77"/>
      <c r="AZ141" s="77"/>
      <c r="BA141" s="77"/>
      <c r="BB141" s="77"/>
      <c r="BC141" s="77"/>
      <c r="BD141" s="77"/>
      <c r="BE141" s="209">
        <f t="shared" si="3"/>
        <v>17553</v>
      </c>
      <c r="BF141" s="209"/>
      <c r="BG141" s="209"/>
      <c r="BH141" s="209"/>
      <c r="BI141" s="209"/>
      <c r="BJ141" s="209"/>
      <c r="BK141" s="209"/>
      <c r="BL141" s="209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</row>
    <row r="142" spans="1:85" ht="31.5" customHeight="1" x14ac:dyDescent="0.2">
      <c r="A142" s="65"/>
      <c r="B142" s="65"/>
      <c r="C142" s="65"/>
      <c r="D142" s="65"/>
      <c r="E142" s="65"/>
      <c r="F142" s="65"/>
      <c r="G142" s="78" t="s">
        <v>123</v>
      </c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65" t="s">
        <v>131</v>
      </c>
      <c r="AA142" s="65"/>
      <c r="AB142" s="65"/>
      <c r="AC142" s="65"/>
      <c r="AD142" s="65"/>
      <c r="AE142" s="65" t="s">
        <v>62</v>
      </c>
      <c r="AF142" s="65"/>
      <c r="AG142" s="65"/>
      <c r="AH142" s="65"/>
      <c r="AI142" s="65"/>
      <c r="AJ142" s="65"/>
      <c r="AK142" s="65"/>
      <c r="AL142" s="65"/>
      <c r="AM142" s="65"/>
      <c r="AN142" s="65"/>
      <c r="AO142" s="208">
        <f>5157.11+341.25</f>
        <v>5498.36</v>
      </c>
      <c r="AP142" s="208"/>
      <c r="AQ142" s="208"/>
      <c r="AR142" s="208"/>
      <c r="AS142" s="208"/>
      <c r="AT142" s="208"/>
      <c r="AU142" s="208"/>
      <c r="AV142" s="208"/>
      <c r="AW142" s="77"/>
      <c r="AX142" s="77"/>
      <c r="AY142" s="77"/>
      <c r="AZ142" s="77"/>
      <c r="BA142" s="77"/>
      <c r="BB142" s="77"/>
      <c r="BC142" s="77"/>
      <c r="BD142" s="77"/>
      <c r="BE142" s="72">
        <f t="shared" si="3"/>
        <v>5498.36</v>
      </c>
      <c r="BF142" s="72"/>
      <c r="BG142" s="72"/>
      <c r="BH142" s="72"/>
      <c r="BI142" s="72"/>
      <c r="BJ142" s="72"/>
      <c r="BK142" s="72"/>
      <c r="BL142" s="72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</row>
    <row r="143" spans="1:85" ht="35.25" customHeight="1" x14ac:dyDescent="0.2">
      <c r="A143" s="65"/>
      <c r="B143" s="65"/>
      <c r="C143" s="65"/>
      <c r="D143" s="65"/>
      <c r="E143" s="65"/>
      <c r="F143" s="65"/>
      <c r="G143" s="78" t="s">
        <v>124</v>
      </c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65" t="s">
        <v>50</v>
      </c>
      <c r="AA143" s="65"/>
      <c r="AB143" s="65"/>
      <c r="AC143" s="65"/>
      <c r="AD143" s="65"/>
      <c r="AE143" s="77" t="s">
        <v>113</v>
      </c>
      <c r="AF143" s="77"/>
      <c r="AG143" s="77"/>
      <c r="AH143" s="77"/>
      <c r="AI143" s="77"/>
      <c r="AJ143" s="77"/>
      <c r="AK143" s="77"/>
      <c r="AL143" s="77"/>
      <c r="AM143" s="77"/>
      <c r="AN143" s="77"/>
      <c r="AO143" s="76"/>
      <c r="AP143" s="76"/>
      <c r="AQ143" s="76"/>
      <c r="AR143" s="76"/>
      <c r="AS143" s="76"/>
      <c r="AT143" s="76"/>
      <c r="AU143" s="76"/>
      <c r="AV143" s="76"/>
      <c r="AW143" s="112">
        <v>30</v>
      </c>
      <c r="AX143" s="112"/>
      <c r="AY143" s="112"/>
      <c r="AZ143" s="112"/>
      <c r="BA143" s="112"/>
      <c r="BB143" s="112"/>
      <c r="BC143" s="112"/>
      <c r="BD143" s="112"/>
      <c r="BE143" s="209">
        <f t="shared" si="3"/>
        <v>30</v>
      </c>
      <c r="BF143" s="209"/>
      <c r="BG143" s="209"/>
      <c r="BH143" s="209"/>
      <c r="BI143" s="209"/>
      <c r="BJ143" s="209"/>
      <c r="BK143" s="209"/>
      <c r="BL143" s="209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</row>
    <row r="144" spans="1:85" ht="35.25" customHeight="1" x14ac:dyDescent="0.2">
      <c r="A144" s="65"/>
      <c r="B144" s="65"/>
      <c r="C144" s="65"/>
      <c r="D144" s="65"/>
      <c r="E144" s="65"/>
      <c r="F144" s="65"/>
      <c r="G144" s="98" t="s">
        <v>290</v>
      </c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65" t="s">
        <v>50</v>
      </c>
      <c r="AA144" s="65"/>
      <c r="AB144" s="65"/>
      <c r="AC144" s="65"/>
      <c r="AD144" s="65"/>
      <c r="AE144" s="77" t="s">
        <v>113</v>
      </c>
      <c r="AF144" s="77"/>
      <c r="AG144" s="77"/>
      <c r="AH144" s="77"/>
      <c r="AI144" s="77"/>
      <c r="AJ144" s="77"/>
      <c r="AK144" s="77"/>
      <c r="AL144" s="77"/>
      <c r="AM144" s="77"/>
      <c r="AN144" s="77"/>
      <c r="AO144" s="76"/>
      <c r="AP144" s="76"/>
      <c r="AQ144" s="76"/>
      <c r="AR144" s="76"/>
      <c r="AS144" s="76"/>
      <c r="AT144" s="76"/>
      <c r="AU144" s="76"/>
      <c r="AV144" s="76"/>
      <c r="AW144" s="112">
        <v>156</v>
      </c>
      <c r="AX144" s="112"/>
      <c r="AY144" s="112"/>
      <c r="AZ144" s="112"/>
      <c r="BA144" s="112"/>
      <c r="BB144" s="112"/>
      <c r="BC144" s="112"/>
      <c r="BD144" s="112"/>
      <c r="BE144" s="209">
        <f>AO144+AW144</f>
        <v>156</v>
      </c>
      <c r="BF144" s="209"/>
      <c r="BG144" s="209"/>
      <c r="BH144" s="209"/>
      <c r="BI144" s="209"/>
      <c r="BJ144" s="209"/>
      <c r="BK144" s="209"/>
      <c r="BL144" s="209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</row>
    <row r="145" spans="1:85" ht="18" customHeight="1" x14ac:dyDescent="0.2">
      <c r="A145" s="65"/>
      <c r="B145" s="65"/>
      <c r="C145" s="65"/>
      <c r="D145" s="65"/>
      <c r="E145" s="65"/>
      <c r="F145" s="65"/>
      <c r="G145" s="93" t="s">
        <v>52</v>
      </c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 t="s">
        <v>55</v>
      </c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72"/>
      <c r="BF145" s="72"/>
      <c r="BG145" s="72"/>
      <c r="BH145" s="72"/>
      <c r="BI145" s="72"/>
      <c r="BJ145" s="72"/>
      <c r="BK145" s="72"/>
      <c r="BL145" s="72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</row>
    <row r="146" spans="1:85" ht="35.25" customHeight="1" x14ac:dyDescent="0.2">
      <c r="A146" s="65"/>
      <c r="B146" s="65"/>
      <c r="C146" s="65"/>
      <c r="D146" s="65"/>
      <c r="E146" s="65"/>
      <c r="F146" s="65"/>
      <c r="G146" s="68" t="s">
        <v>125</v>
      </c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77" t="s">
        <v>49</v>
      </c>
      <c r="AA146" s="77"/>
      <c r="AB146" s="77"/>
      <c r="AC146" s="77"/>
      <c r="AD146" s="77"/>
      <c r="AE146" s="77" t="s">
        <v>62</v>
      </c>
      <c r="AF146" s="77"/>
      <c r="AG146" s="77"/>
      <c r="AH146" s="77"/>
      <c r="AI146" s="77"/>
      <c r="AJ146" s="77"/>
      <c r="AK146" s="77"/>
      <c r="AL146" s="77"/>
      <c r="AM146" s="77"/>
      <c r="AN146" s="77"/>
      <c r="AO146" s="69">
        <f>AO136/AO141</f>
        <v>781.91762091950091</v>
      </c>
      <c r="AP146" s="69"/>
      <c r="AQ146" s="69"/>
      <c r="AR146" s="69"/>
      <c r="AS146" s="69"/>
      <c r="AT146" s="69"/>
      <c r="AU146" s="69"/>
      <c r="AV146" s="69"/>
      <c r="AW146" s="74"/>
      <c r="AX146" s="74"/>
      <c r="AY146" s="74"/>
      <c r="AZ146" s="74"/>
      <c r="BA146" s="74"/>
      <c r="BB146" s="74"/>
      <c r="BC146" s="74"/>
      <c r="BD146" s="74"/>
      <c r="BE146" s="74">
        <f t="shared" si="3"/>
        <v>781.91762091950091</v>
      </c>
      <c r="BF146" s="74"/>
      <c r="BG146" s="74"/>
      <c r="BH146" s="74"/>
      <c r="BI146" s="74"/>
      <c r="BJ146" s="74"/>
      <c r="BK146" s="74"/>
      <c r="BL146" s="74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</row>
    <row r="147" spans="1:85" ht="18" customHeight="1" x14ac:dyDescent="0.2">
      <c r="A147" s="65"/>
      <c r="B147" s="65"/>
      <c r="C147" s="65"/>
      <c r="D147" s="65"/>
      <c r="E147" s="65"/>
      <c r="F147" s="65"/>
      <c r="G147" s="97" t="s">
        <v>126</v>
      </c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77" t="s">
        <v>49</v>
      </c>
      <c r="AA147" s="77"/>
      <c r="AB147" s="77"/>
      <c r="AC147" s="77"/>
      <c r="AD147" s="77"/>
      <c r="AE147" s="77" t="s">
        <v>117</v>
      </c>
      <c r="AF147" s="77"/>
      <c r="AG147" s="77"/>
      <c r="AH147" s="77"/>
      <c r="AI147" s="77"/>
      <c r="AJ147" s="77"/>
      <c r="AK147" s="77"/>
      <c r="AL147" s="77"/>
      <c r="AM147" s="77"/>
      <c r="AN147" s="77"/>
      <c r="AO147" s="69">
        <v>3.77</v>
      </c>
      <c r="AP147" s="69"/>
      <c r="AQ147" s="69"/>
      <c r="AR147" s="69"/>
      <c r="AS147" s="69"/>
      <c r="AT147" s="69"/>
      <c r="AU147" s="69"/>
      <c r="AV147" s="69"/>
      <c r="AW147" s="74"/>
      <c r="AX147" s="74"/>
      <c r="AY147" s="74"/>
      <c r="AZ147" s="74"/>
      <c r="BA147" s="74"/>
      <c r="BB147" s="74"/>
      <c r="BC147" s="74"/>
      <c r="BD147" s="74"/>
      <c r="BE147" s="74">
        <f t="shared" si="3"/>
        <v>3.77</v>
      </c>
      <c r="BF147" s="74"/>
      <c r="BG147" s="74"/>
      <c r="BH147" s="74"/>
      <c r="BI147" s="74"/>
      <c r="BJ147" s="74"/>
      <c r="BK147" s="74"/>
      <c r="BL147" s="74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</row>
    <row r="148" spans="1:85" ht="32.25" customHeight="1" x14ac:dyDescent="0.2">
      <c r="A148" s="65"/>
      <c r="B148" s="65"/>
      <c r="C148" s="65"/>
      <c r="D148" s="65"/>
      <c r="E148" s="65"/>
      <c r="F148" s="65"/>
      <c r="G148" s="68" t="s">
        <v>127</v>
      </c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77" t="s">
        <v>49</v>
      </c>
      <c r="AA148" s="77"/>
      <c r="AB148" s="77"/>
      <c r="AC148" s="77"/>
      <c r="AD148" s="77"/>
      <c r="AE148" s="77" t="s">
        <v>62</v>
      </c>
      <c r="AF148" s="77"/>
      <c r="AG148" s="77"/>
      <c r="AH148" s="77"/>
      <c r="AI148" s="77"/>
      <c r="AJ148" s="77"/>
      <c r="AK148" s="77"/>
      <c r="AL148" s="77"/>
      <c r="AM148" s="77"/>
      <c r="AN148" s="77"/>
      <c r="AO148" s="74"/>
      <c r="AP148" s="74"/>
      <c r="AQ148" s="74"/>
      <c r="AR148" s="74"/>
      <c r="AS148" s="74"/>
      <c r="AT148" s="74"/>
      <c r="AU148" s="74"/>
      <c r="AV148" s="74"/>
      <c r="AW148" s="74">
        <f>AW138/AW143</f>
        <v>29299.466666666667</v>
      </c>
      <c r="AX148" s="74"/>
      <c r="AY148" s="74"/>
      <c r="AZ148" s="74"/>
      <c r="BA148" s="74"/>
      <c r="BB148" s="74"/>
      <c r="BC148" s="74"/>
      <c r="BD148" s="74"/>
      <c r="BE148" s="74">
        <f t="shared" si="3"/>
        <v>29299.466666666667</v>
      </c>
      <c r="BF148" s="74"/>
      <c r="BG148" s="74"/>
      <c r="BH148" s="74"/>
      <c r="BI148" s="74"/>
      <c r="BJ148" s="74"/>
      <c r="BK148" s="74"/>
      <c r="BL148" s="74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</row>
    <row r="149" spans="1:85" ht="32.25" customHeight="1" x14ac:dyDescent="0.2">
      <c r="A149" s="65"/>
      <c r="B149" s="65"/>
      <c r="C149" s="65"/>
      <c r="D149" s="65"/>
      <c r="E149" s="65"/>
      <c r="F149" s="65"/>
      <c r="G149" s="68" t="s">
        <v>291</v>
      </c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77" t="s">
        <v>49</v>
      </c>
      <c r="AA149" s="77"/>
      <c r="AB149" s="77"/>
      <c r="AC149" s="77"/>
      <c r="AD149" s="77"/>
      <c r="AE149" s="77" t="s">
        <v>62</v>
      </c>
      <c r="AF149" s="77"/>
      <c r="AG149" s="77"/>
      <c r="AH149" s="77"/>
      <c r="AI149" s="77"/>
      <c r="AJ149" s="77"/>
      <c r="AK149" s="77"/>
      <c r="AL149" s="77"/>
      <c r="AM149" s="77"/>
      <c r="AN149" s="77"/>
      <c r="AO149" s="74"/>
      <c r="AP149" s="74"/>
      <c r="AQ149" s="74"/>
      <c r="AR149" s="74"/>
      <c r="AS149" s="74"/>
      <c r="AT149" s="74"/>
      <c r="AU149" s="74"/>
      <c r="AV149" s="74"/>
      <c r="AW149" s="74">
        <f>AW139/AW144</f>
        <v>3205.1282051282051</v>
      </c>
      <c r="AX149" s="74"/>
      <c r="AY149" s="74"/>
      <c r="AZ149" s="74"/>
      <c r="BA149" s="74"/>
      <c r="BB149" s="74"/>
      <c r="BC149" s="74"/>
      <c r="BD149" s="74"/>
      <c r="BE149" s="74">
        <f>AO149+AW149</f>
        <v>3205.1282051282051</v>
      </c>
      <c r="BF149" s="74"/>
      <c r="BG149" s="74"/>
      <c r="BH149" s="74"/>
      <c r="BI149" s="74"/>
      <c r="BJ149" s="74"/>
      <c r="BK149" s="74"/>
      <c r="BL149" s="74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</row>
    <row r="150" spans="1:85" ht="18" customHeight="1" x14ac:dyDescent="0.2">
      <c r="A150" s="65"/>
      <c r="B150" s="65"/>
      <c r="C150" s="65"/>
      <c r="D150" s="65"/>
      <c r="E150" s="65"/>
      <c r="F150" s="65"/>
      <c r="G150" s="83" t="s">
        <v>53</v>
      </c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72"/>
      <c r="BF150" s="72"/>
      <c r="BG150" s="72"/>
      <c r="BH150" s="72"/>
      <c r="BI150" s="72"/>
      <c r="BJ150" s="72"/>
      <c r="BK150" s="72"/>
      <c r="BL150" s="72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</row>
    <row r="151" spans="1:85" ht="50.25" customHeight="1" x14ac:dyDescent="0.2">
      <c r="A151" s="65"/>
      <c r="B151" s="65"/>
      <c r="C151" s="65"/>
      <c r="D151" s="65"/>
      <c r="E151" s="65"/>
      <c r="F151" s="65"/>
      <c r="G151" s="78" t="s">
        <v>128</v>
      </c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7" t="s">
        <v>54</v>
      </c>
      <c r="AA151" s="77"/>
      <c r="AB151" s="77"/>
      <c r="AC151" s="77"/>
      <c r="AD151" s="77"/>
      <c r="AE151" s="77" t="s">
        <v>62</v>
      </c>
      <c r="AF151" s="77"/>
      <c r="AG151" s="77"/>
      <c r="AH151" s="77"/>
      <c r="AI151" s="77"/>
      <c r="AJ151" s="77"/>
      <c r="AK151" s="77"/>
      <c r="AL151" s="77"/>
      <c r="AM151" s="77"/>
      <c r="AN151" s="77"/>
      <c r="AO151" s="72">
        <f>AO136/11651700*100</f>
        <v>117.79396997862972</v>
      </c>
      <c r="AP151" s="72"/>
      <c r="AQ151" s="72"/>
      <c r="AR151" s="72"/>
      <c r="AS151" s="72"/>
      <c r="AT151" s="72"/>
      <c r="AU151" s="72"/>
      <c r="AV151" s="72"/>
      <c r="AW151" s="65"/>
      <c r="AX151" s="65"/>
      <c r="AY151" s="65"/>
      <c r="AZ151" s="65"/>
      <c r="BA151" s="65"/>
      <c r="BB151" s="65"/>
      <c r="BC151" s="65"/>
      <c r="BD151" s="65"/>
      <c r="BE151" s="72">
        <f t="shared" si="3"/>
        <v>117.79396997862972</v>
      </c>
      <c r="BF151" s="72"/>
      <c r="BG151" s="72"/>
      <c r="BH151" s="72"/>
      <c r="BI151" s="72"/>
      <c r="BJ151" s="72"/>
      <c r="BK151" s="72"/>
      <c r="BL151" s="72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</row>
    <row r="152" spans="1:85" ht="33.75" customHeight="1" x14ac:dyDescent="0.2">
      <c r="A152" s="65"/>
      <c r="B152" s="65"/>
      <c r="C152" s="65"/>
      <c r="D152" s="65"/>
      <c r="E152" s="65"/>
      <c r="F152" s="65"/>
      <c r="G152" s="98" t="s">
        <v>129</v>
      </c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77" t="s">
        <v>54</v>
      </c>
      <c r="AA152" s="77"/>
      <c r="AB152" s="77"/>
      <c r="AC152" s="77"/>
      <c r="AD152" s="77"/>
      <c r="AE152" s="77" t="s">
        <v>62</v>
      </c>
      <c r="AF152" s="77"/>
      <c r="AG152" s="77"/>
      <c r="AH152" s="77"/>
      <c r="AI152" s="77"/>
      <c r="AJ152" s="77"/>
      <c r="AK152" s="77"/>
      <c r="AL152" s="77"/>
      <c r="AM152" s="77"/>
      <c r="AN152" s="77"/>
      <c r="AO152" s="115">
        <f>AO137/13124113.41*100</f>
        <v>158.03253410014534</v>
      </c>
      <c r="AP152" s="115"/>
      <c r="AQ152" s="115"/>
      <c r="AR152" s="115"/>
      <c r="AS152" s="115"/>
      <c r="AT152" s="115"/>
      <c r="AU152" s="115"/>
      <c r="AV152" s="115"/>
      <c r="AW152" s="65"/>
      <c r="AX152" s="65"/>
      <c r="AY152" s="65"/>
      <c r="AZ152" s="65"/>
      <c r="BA152" s="65"/>
      <c r="BB152" s="65"/>
      <c r="BC152" s="65"/>
      <c r="BD152" s="65"/>
      <c r="BE152" s="72">
        <f t="shared" si="3"/>
        <v>158.03253410014534</v>
      </c>
      <c r="BF152" s="72"/>
      <c r="BG152" s="72"/>
      <c r="BH152" s="72"/>
      <c r="BI152" s="72"/>
      <c r="BJ152" s="72"/>
      <c r="BK152" s="72"/>
      <c r="BL152" s="72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</row>
    <row r="153" spans="1:85" ht="50.25" customHeight="1" x14ac:dyDescent="0.2">
      <c r="A153" s="65"/>
      <c r="B153" s="65"/>
      <c r="C153" s="65"/>
      <c r="D153" s="65"/>
      <c r="E153" s="65"/>
      <c r="F153" s="65"/>
      <c r="G153" s="98" t="s">
        <v>130</v>
      </c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77" t="s">
        <v>54</v>
      </c>
      <c r="AA153" s="77"/>
      <c r="AB153" s="77"/>
      <c r="AC153" s="77"/>
      <c r="AD153" s="77"/>
      <c r="AE153" s="77" t="s">
        <v>62</v>
      </c>
      <c r="AF153" s="77"/>
      <c r="AG153" s="77"/>
      <c r="AH153" s="77"/>
      <c r="AI153" s="77"/>
      <c r="AJ153" s="77"/>
      <c r="AK153" s="77"/>
      <c r="AL153" s="77"/>
      <c r="AM153" s="77"/>
      <c r="AN153" s="77"/>
      <c r="AO153" s="191"/>
      <c r="AP153" s="191"/>
      <c r="AQ153" s="191"/>
      <c r="AR153" s="191"/>
      <c r="AS153" s="191"/>
      <c r="AT153" s="191"/>
      <c r="AU153" s="191"/>
      <c r="AV153" s="191"/>
      <c r="AW153" s="72">
        <f>AW143/182*100</f>
        <v>16.483516483516482</v>
      </c>
      <c r="AX153" s="72"/>
      <c r="AY153" s="72"/>
      <c r="AZ153" s="72"/>
      <c r="BA153" s="72"/>
      <c r="BB153" s="72"/>
      <c r="BC153" s="72"/>
      <c r="BD153" s="72"/>
      <c r="BE153" s="72">
        <f t="shared" si="3"/>
        <v>16.483516483516482</v>
      </c>
      <c r="BF153" s="72"/>
      <c r="BG153" s="72"/>
      <c r="BH153" s="72"/>
      <c r="BI153" s="72"/>
      <c r="BJ153" s="72"/>
      <c r="BK153" s="72"/>
      <c r="BL153" s="72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</row>
    <row r="154" spans="1:85" ht="50.25" customHeight="1" x14ac:dyDescent="0.2">
      <c r="A154" s="111"/>
      <c r="B154" s="111"/>
      <c r="C154" s="111"/>
      <c r="D154" s="111"/>
      <c r="E154" s="111"/>
      <c r="F154" s="111"/>
      <c r="G154" s="223" t="s">
        <v>286</v>
      </c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111" t="s">
        <v>54</v>
      </c>
      <c r="AA154" s="111"/>
      <c r="AB154" s="111"/>
      <c r="AC154" s="111"/>
      <c r="AD154" s="111"/>
      <c r="AE154" s="111" t="s">
        <v>62</v>
      </c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6"/>
      <c r="AP154" s="116"/>
      <c r="AQ154" s="116"/>
      <c r="AR154" s="116"/>
      <c r="AS154" s="116"/>
      <c r="AT154" s="116"/>
      <c r="AU154" s="116"/>
      <c r="AV154" s="116"/>
      <c r="AW154" s="116">
        <f>AW144/156*100</f>
        <v>100</v>
      </c>
      <c r="AX154" s="116"/>
      <c r="AY154" s="116"/>
      <c r="AZ154" s="116"/>
      <c r="BA154" s="116"/>
      <c r="BB154" s="116"/>
      <c r="BC154" s="116"/>
      <c r="BD154" s="116"/>
      <c r="BE154" s="116">
        <f>AO154+AW154</f>
        <v>100</v>
      </c>
      <c r="BF154" s="116"/>
      <c r="BG154" s="116"/>
      <c r="BH154" s="116"/>
      <c r="BI154" s="116"/>
      <c r="BJ154" s="116"/>
      <c r="BK154" s="116"/>
      <c r="BL154" s="116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</row>
    <row r="155" spans="1:85" s="48" customFormat="1" ht="16.5" customHeight="1" x14ac:dyDescent="0.2">
      <c r="A155" s="31"/>
      <c r="B155" s="31"/>
      <c r="C155" s="31"/>
      <c r="D155" s="31"/>
      <c r="E155" s="31"/>
      <c r="F155" s="31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4"/>
      <c r="AP155" s="54"/>
      <c r="AQ155" s="54"/>
      <c r="AR155" s="54"/>
      <c r="AS155" s="54"/>
      <c r="AT155" s="54"/>
      <c r="AU155" s="54"/>
      <c r="AV155" s="54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</row>
    <row r="156" spans="1:85" ht="35.25" customHeight="1" x14ac:dyDescent="0.2">
      <c r="A156" s="65" t="s">
        <v>15</v>
      </c>
      <c r="B156" s="65"/>
      <c r="C156" s="65"/>
      <c r="D156" s="65"/>
      <c r="E156" s="65"/>
      <c r="F156" s="65"/>
      <c r="G156" s="65" t="s">
        <v>28</v>
      </c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 t="s">
        <v>2</v>
      </c>
      <c r="AA156" s="65"/>
      <c r="AB156" s="65"/>
      <c r="AC156" s="65"/>
      <c r="AD156" s="65"/>
      <c r="AE156" s="65" t="s">
        <v>1</v>
      </c>
      <c r="AF156" s="65"/>
      <c r="AG156" s="65"/>
      <c r="AH156" s="65"/>
      <c r="AI156" s="65"/>
      <c r="AJ156" s="65"/>
      <c r="AK156" s="65"/>
      <c r="AL156" s="65"/>
      <c r="AM156" s="65"/>
      <c r="AN156" s="65"/>
      <c r="AO156" s="65" t="s">
        <v>16</v>
      </c>
      <c r="AP156" s="65"/>
      <c r="AQ156" s="65"/>
      <c r="AR156" s="65"/>
      <c r="AS156" s="65"/>
      <c r="AT156" s="65"/>
      <c r="AU156" s="65"/>
      <c r="AV156" s="65"/>
      <c r="AW156" s="65" t="s">
        <v>17</v>
      </c>
      <c r="AX156" s="65"/>
      <c r="AY156" s="65"/>
      <c r="AZ156" s="65"/>
      <c r="BA156" s="65"/>
      <c r="BB156" s="65"/>
      <c r="BC156" s="65"/>
      <c r="BD156" s="65"/>
      <c r="BE156" s="65" t="s">
        <v>14</v>
      </c>
      <c r="BF156" s="65"/>
      <c r="BG156" s="65"/>
      <c r="BH156" s="65"/>
      <c r="BI156" s="65"/>
      <c r="BJ156" s="65"/>
      <c r="BK156" s="65"/>
      <c r="BL156" s="65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</row>
    <row r="157" spans="1:85" ht="15.75" x14ac:dyDescent="0.2">
      <c r="A157" s="65">
        <v>1</v>
      </c>
      <c r="B157" s="65"/>
      <c r="C157" s="65"/>
      <c r="D157" s="65"/>
      <c r="E157" s="65"/>
      <c r="F157" s="65"/>
      <c r="G157" s="65">
        <v>2</v>
      </c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>
        <v>3</v>
      </c>
      <c r="AA157" s="65"/>
      <c r="AB157" s="65"/>
      <c r="AC157" s="65"/>
      <c r="AD157" s="65"/>
      <c r="AE157" s="65">
        <v>4</v>
      </c>
      <c r="AF157" s="65"/>
      <c r="AG157" s="65"/>
      <c r="AH157" s="65"/>
      <c r="AI157" s="65"/>
      <c r="AJ157" s="65"/>
      <c r="AK157" s="65"/>
      <c r="AL157" s="65"/>
      <c r="AM157" s="65"/>
      <c r="AN157" s="65"/>
      <c r="AO157" s="65">
        <v>5</v>
      </c>
      <c r="AP157" s="65"/>
      <c r="AQ157" s="65"/>
      <c r="AR157" s="65"/>
      <c r="AS157" s="65"/>
      <c r="AT157" s="65"/>
      <c r="AU157" s="65"/>
      <c r="AV157" s="65"/>
      <c r="AW157" s="65">
        <v>6</v>
      </c>
      <c r="AX157" s="65"/>
      <c r="AY157" s="65"/>
      <c r="AZ157" s="65"/>
      <c r="BA157" s="65"/>
      <c r="BB157" s="65"/>
      <c r="BC157" s="65"/>
      <c r="BD157" s="65"/>
      <c r="BE157" s="65">
        <v>7</v>
      </c>
      <c r="BF157" s="65"/>
      <c r="BG157" s="65"/>
      <c r="BH157" s="65"/>
      <c r="BI157" s="65"/>
      <c r="BJ157" s="65"/>
      <c r="BK157" s="65"/>
      <c r="BL157" s="65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</row>
    <row r="158" spans="1:85" ht="18" customHeight="1" x14ac:dyDescent="0.2">
      <c r="A158" s="65"/>
      <c r="B158" s="65"/>
      <c r="C158" s="65"/>
      <c r="D158" s="65"/>
      <c r="E158" s="65"/>
      <c r="F158" s="65"/>
      <c r="G158" s="95" t="s">
        <v>77</v>
      </c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211"/>
      <c r="AP158" s="211"/>
      <c r="AQ158" s="211"/>
      <c r="AR158" s="211"/>
      <c r="AS158" s="211"/>
      <c r="AT158" s="211"/>
      <c r="AU158" s="211"/>
      <c r="AV158" s="211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</row>
    <row r="159" spans="1:85" ht="18" customHeight="1" x14ac:dyDescent="0.2">
      <c r="A159" s="65"/>
      <c r="B159" s="65"/>
      <c r="C159" s="65"/>
      <c r="D159" s="65"/>
      <c r="E159" s="65"/>
      <c r="F159" s="65"/>
      <c r="G159" s="93" t="s">
        <v>48</v>
      </c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</row>
    <row r="160" spans="1:85" ht="18" customHeight="1" x14ac:dyDescent="0.2">
      <c r="A160" s="65"/>
      <c r="B160" s="65"/>
      <c r="C160" s="65"/>
      <c r="D160" s="65"/>
      <c r="E160" s="65"/>
      <c r="F160" s="65"/>
      <c r="G160" s="78" t="s">
        <v>96</v>
      </c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7" t="s">
        <v>49</v>
      </c>
      <c r="AA160" s="77"/>
      <c r="AB160" s="77"/>
      <c r="AC160" s="77"/>
      <c r="AD160" s="77"/>
      <c r="AE160" s="77" t="s">
        <v>61</v>
      </c>
      <c r="AF160" s="77"/>
      <c r="AG160" s="77"/>
      <c r="AH160" s="77"/>
      <c r="AI160" s="77"/>
      <c r="AJ160" s="77"/>
      <c r="AK160" s="77"/>
      <c r="AL160" s="77"/>
      <c r="AM160" s="77"/>
      <c r="AN160" s="77"/>
      <c r="AO160" s="74">
        <f>SUM(AO161:AV164)</f>
        <v>5424300</v>
      </c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>
        <f>AO160+AW160</f>
        <v>5424300</v>
      </c>
      <c r="BF160" s="74"/>
      <c r="BG160" s="74"/>
      <c r="BH160" s="74"/>
      <c r="BI160" s="74"/>
      <c r="BJ160" s="74"/>
      <c r="BK160" s="74"/>
      <c r="BL160" s="74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</row>
    <row r="161" spans="1:85" ht="18" customHeight="1" x14ac:dyDescent="0.2">
      <c r="A161" s="65"/>
      <c r="B161" s="65"/>
      <c r="C161" s="65"/>
      <c r="D161" s="65"/>
      <c r="E161" s="65"/>
      <c r="F161" s="65"/>
      <c r="G161" s="210" t="s">
        <v>134</v>
      </c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77" t="s">
        <v>49</v>
      </c>
      <c r="AA161" s="77"/>
      <c r="AB161" s="77"/>
      <c r="AC161" s="77"/>
      <c r="AD161" s="77"/>
      <c r="AE161" s="111" t="s">
        <v>144</v>
      </c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69">
        <f>1317400+12600</f>
        <v>1330000</v>
      </c>
      <c r="AP161" s="69"/>
      <c r="AQ161" s="69"/>
      <c r="AR161" s="69"/>
      <c r="AS161" s="69"/>
      <c r="AT161" s="69"/>
      <c r="AU161" s="69"/>
      <c r="AV161" s="69"/>
      <c r="AW161" s="74"/>
      <c r="AX161" s="74"/>
      <c r="AY161" s="74"/>
      <c r="AZ161" s="74"/>
      <c r="BA161" s="74"/>
      <c r="BB161" s="74"/>
      <c r="BC161" s="74"/>
      <c r="BD161" s="74"/>
      <c r="BE161" s="74">
        <f t="shared" ref="BE161:BE177" si="4">AO161+AW161</f>
        <v>1330000</v>
      </c>
      <c r="BF161" s="74"/>
      <c r="BG161" s="74"/>
      <c r="BH161" s="74"/>
      <c r="BI161" s="74"/>
      <c r="BJ161" s="74"/>
      <c r="BK161" s="74"/>
      <c r="BL161" s="74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</row>
    <row r="162" spans="1:85" ht="18" customHeight="1" x14ac:dyDescent="0.2">
      <c r="A162" s="65"/>
      <c r="B162" s="65"/>
      <c r="C162" s="65"/>
      <c r="D162" s="65"/>
      <c r="E162" s="65"/>
      <c r="F162" s="65"/>
      <c r="G162" s="68" t="s">
        <v>135</v>
      </c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77" t="s">
        <v>49</v>
      </c>
      <c r="AA162" s="77"/>
      <c r="AB162" s="77"/>
      <c r="AC162" s="77"/>
      <c r="AD162" s="77"/>
      <c r="AE162" s="111" t="s">
        <v>144</v>
      </c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69">
        <v>3008600</v>
      </c>
      <c r="AP162" s="69"/>
      <c r="AQ162" s="69"/>
      <c r="AR162" s="69"/>
      <c r="AS162" s="69"/>
      <c r="AT162" s="69"/>
      <c r="AU162" s="69"/>
      <c r="AV162" s="69"/>
      <c r="AW162" s="74"/>
      <c r="AX162" s="74"/>
      <c r="AY162" s="74"/>
      <c r="AZ162" s="74"/>
      <c r="BA162" s="74"/>
      <c r="BB162" s="74"/>
      <c r="BC162" s="74"/>
      <c r="BD162" s="74"/>
      <c r="BE162" s="74">
        <f t="shared" si="4"/>
        <v>3008600</v>
      </c>
      <c r="BF162" s="74"/>
      <c r="BG162" s="74"/>
      <c r="BH162" s="74"/>
      <c r="BI162" s="74"/>
      <c r="BJ162" s="74"/>
      <c r="BK162" s="74"/>
      <c r="BL162" s="74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</row>
    <row r="163" spans="1:85" ht="33.75" customHeight="1" x14ac:dyDescent="0.2">
      <c r="A163" s="65"/>
      <c r="B163" s="65"/>
      <c r="C163" s="65"/>
      <c r="D163" s="65"/>
      <c r="E163" s="65"/>
      <c r="F163" s="65"/>
      <c r="G163" s="68" t="s">
        <v>136</v>
      </c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77" t="s">
        <v>49</v>
      </c>
      <c r="AA163" s="77"/>
      <c r="AB163" s="77"/>
      <c r="AC163" s="77"/>
      <c r="AD163" s="77"/>
      <c r="AE163" s="111" t="s">
        <v>117</v>
      </c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69">
        <v>970700</v>
      </c>
      <c r="AP163" s="69"/>
      <c r="AQ163" s="69"/>
      <c r="AR163" s="69"/>
      <c r="AS163" s="69"/>
      <c r="AT163" s="69"/>
      <c r="AU163" s="69"/>
      <c r="AV163" s="69"/>
      <c r="AW163" s="74"/>
      <c r="AX163" s="74"/>
      <c r="AY163" s="74"/>
      <c r="AZ163" s="74"/>
      <c r="BA163" s="74"/>
      <c r="BB163" s="74"/>
      <c r="BC163" s="74"/>
      <c r="BD163" s="74"/>
      <c r="BE163" s="74">
        <f t="shared" si="4"/>
        <v>970700</v>
      </c>
      <c r="BF163" s="74"/>
      <c r="BG163" s="74"/>
      <c r="BH163" s="74"/>
      <c r="BI163" s="74"/>
      <c r="BJ163" s="74"/>
      <c r="BK163" s="74"/>
      <c r="BL163" s="74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</row>
    <row r="164" spans="1:85" ht="33.75" customHeight="1" x14ac:dyDescent="0.2">
      <c r="A164" s="65"/>
      <c r="B164" s="65"/>
      <c r="C164" s="65"/>
      <c r="D164" s="65"/>
      <c r="E164" s="65"/>
      <c r="F164" s="65"/>
      <c r="G164" s="181" t="s">
        <v>256</v>
      </c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3"/>
      <c r="Z164" s="77" t="s">
        <v>49</v>
      </c>
      <c r="AA164" s="77"/>
      <c r="AB164" s="77"/>
      <c r="AC164" s="77"/>
      <c r="AD164" s="77"/>
      <c r="AE164" s="111" t="s">
        <v>117</v>
      </c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69">
        <f>115000</f>
        <v>115000</v>
      </c>
      <c r="AP164" s="69"/>
      <c r="AQ164" s="69"/>
      <c r="AR164" s="69"/>
      <c r="AS164" s="69"/>
      <c r="AT164" s="69"/>
      <c r="AU164" s="69"/>
      <c r="AV164" s="69"/>
      <c r="AW164" s="74"/>
      <c r="AX164" s="74"/>
      <c r="AY164" s="74"/>
      <c r="AZ164" s="74"/>
      <c r="BA164" s="74"/>
      <c r="BB164" s="74"/>
      <c r="BC164" s="74"/>
      <c r="BD164" s="74"/>
      <c r="BE164" s="74">
        <f>AO164+AW164</f>
        <v>115000</v>
      </c>
      <c r="BF164" s="74"/>
      <c r="BG164" s="74"/>
      <c r="BH164" s="74"/>
      <c r="BI164" s="74"/>
      <c r="BJ164" s="74"/>
      <c r="BK164" s="74"/>
      <c r="BL164" s="74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</row>
    <row r="165" spans="1:85" ht="18" customHeight="1" x14ac:dyDescent="0.2">
      <c r="A165" s="65"/>
      <c r="B165" s="65"/>
      <c r="C165" s="65"/>
      <c r="D165" s="65"/>
      <c r="E165" s="65"/>
      <c r="F165" s="65"/>
      <c r="G165" s="83" t="s">
        <v>51</v>
      </c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65"/>
      <c r="AA165" s="65"/>
      <c r="AB165" s="65"/>
      <c r="AC165" s="65"/>
      <c r="AD165" s="65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72"/>
      <c r="BF165" s="72"/>
      <c r="BG165" s="72"/>
      <c r="BH165" s="72"/>
      <c r="BI165" s="72"/>
      <c r="BJ165" s="72"/>
      <c r="BK165" s="72"/>
      <c r="BL165" s="72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</row>
    <row r="166" spans="1:85" ht="18" customHeight="1" x14ac:dyDescent="0.2">
      <c r="A166" s="65"/>
      <c r="B166" s="65"/>
      <c r="C166" s="65"/>
      <c r="D166" s="65"/>
      <c r="E166" s="65"/>
      <c r="F166" s="65"/>
      <c r="G166" s="68" t="s">
        <v>134</v>
      </c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5" t="s">
        <v>50</v>
      </c>
      <c r="AA166" s="65"/>
      <c r="AB166" s="65"/>
      <c r="AC166" s="65"/>
      <c r="AD166" s="65"/>
      <c r="AE166" s="65" t="s">
        <v>62</v>
      </c>
      <c r="AF166" s="65"/>
      <c r="AG166" s="65"/>
      <c r="AH166" s="65"/>
      <c r="AI166" s="65"/>
      <c r="AJ166" s="65"/>
      <c r="AK166" s="65"/>
      <c r="AL166" s="65"/>
      <c r="AM166" s="65"/>
      <c r="AN166" s="65"/>
      <c r="AO166" s="71">
        <v>1100</v>
      </c>
      <c r="AP166" s="71"/>
      <c r="AQ166" s="71"/>
      <c r="AR166" s="71"/>
      <c r="AS166" s="71"/>
      <c r="AT166" s="71"/>
      <c r="AU166" s="71"/>
      <c r="AV166" s="71"/>
      <c r="AW166" s="209"/>
      <c r="AX166" s="209"/>
      <c r="AY166" s="209"/>
      <c r="AZ166" s="209"/>
      <c r="BA166" s="209"/>
      <c r="BB166" s="209"/>
      <c r="BC166" s="209"/>
      <c r="BD166" s="209"/>
      <c r="BE166" s="209">
        <f t="shared" si="4"/>
        <v>1100</v>
      </c>
      <c r="BF166" s="209"/>
      <c r="BG166" s="209"/>
      <c r="BH166" s="209"/>
      <c r="BI166" s="209"/>
      <c r="BJ166" s="209"/>
      <c r="BK166" s="209"/>
      <c r="BL166" s="209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</row>
    <row r="167" spans="1:85" ht="18" customHeight="1" x14ac:dyDescent="0.2">
      <c r="A167" s="65"/>
      <c r="B167" s="65"/>
      <c r="C167" s="65"/>
      <c r="D167" s="65"/>
      <c r="E167" s="65"/>
      <c r="F167" s="65"/>
      <c r="G167" s="68" t="s">
        <v>137</v>
      </c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5" t="s">
        <v>50</v>
      </c>
      <c r="AA167" s="65"/>
      <c r="AB167" s="65"/>
      <c r="AC167" s="65"/>
      <c r="AD167" s="65"/>
      <c r="AE167" s="65" t="s">
        <v>62</v>
      </c>
      <c r="AF167" s="65"/>
      <c r="AG167" s="65"/>
      <c r="AH167" s="65"/>
      <c r="AI167" s="65"/>
      <c r="AJ167" s="65"/>
      <c r="AK167" s="65"/>
      <c r="AL167" s="65"/>
      <c r="AM167" s="65"/>
      <c r="AN167" s="65"/>
      <c r="AO167" s="71">
        <v>150</v>
      </c>
      <c r="AP167" s="71"/>
      <c r="AQ167" s="71"/>
      <c r="AR167" s="71"/>
      <c r="AS167" s="71"/>
      <c r="AT167" s="71"/>
      <c r="AU167" s="71"/>
      <c r="AV167" s="71"/>
      <c r="AW167" s="209"/>
      <c r="AX167" s="209"/>
      <c r="AY167" s="209"/>
      <c r="AZ167" s="209"/>
      <c r="BA167" s="209"/>
      <c r="BB167" s="209"/>
      <c r="BC167" s="209"/>
      <c r="BD167" s="209"/>
      <c r="BE167" s="209">
        <f t="shared" si="4"/>
        <v>150</v>
      </c>
      <c r="BF167" s="209"/>
      <c r="BG167" s="209"/>
      <c r="BH167" s="209"/>
      <c r="BI167" s="209"/>
      <c r="BJ167" s="209"/>
      <c r="BK167" s="209"/>
      <c r="BL167" s="209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</row>
    <row r="168" spans="1:85" ht="18" customHeight="1" x14ac:dyDescent="0.2">
      <c r="A168" s="65"/>
      <c r="B168" s="65"/>
      <c r="C168" s="65"/>
      <c r="D168" s="65"/>
      <c r="E168" s="65"/>
      <c r="F168" s="65"/>
      <c r="G168" s="68" t="s">
        <v>138</v>
      </c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5" t="s">
        <v>146</v>
      </c>
      <c r="AA168" s="65"/>
      <c r="AB168" s="65"/>
      <c r="AC168" s="65"/>
      <c r="AD168" s="65"/>
      <c r="AE168" s="65" t="s">
        <v>145</v>
      </c>
      <c r="AF168" s="65"/>
      <c r="AG168" s="65"/>
      <c r="AH168" s="65"/>
      <c r="AI168" s="65"/>
      <c r="AJ168" s="65"/>
      <c r="AK168" s="65"/>
      <c r="AL168" s="65"/>
      <c r="AM168" s="65"/>
      <c r="AN168" s="65"/>
      <c r="AO168" s="71">
        <v>9</v>
      </c>
      <c r="AP168" s="71"/>
      <c r="AQ168" s="71"/>
      <c r="AR168" s="71"/>
      <c r="AS168" s="71"/>
      <c r="AT168" s="71"/>
      <c r="AU168" s="71"/>
      <c r="AV168" s="71"/>
      <c r="AW168" s="209"/>
      <c r="AX168" s="209"/>
      <c r="AY168" s="209"/>
      <c r="AZ168" s="209"/>
      <c r="BA168" s="209"/>
      <c r="BB168" s="209"/>
      <c r="BC168" s="209"/>
      <c r="BD168" s="209"/>
      <c r="BE168" s="209">
        <f t="shared" si="4"/>
        <v>9</v>
      </c>
      <c r="BF168" s="209"/>
      <c r="BG168" s="209"/>
      <c r="BH168" s="209"/>
      <c r="BI168" s="209"/>
      <c r="BJ168" s="209"/>
      <c r="BK168" s="209"/>
      <c r="BL168" s="209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</row>
    <row r="169" spans="1:85" ht="33.75" customHeight="1" x14ac:dyDescent="0.2">
      <c r="A169" s="65"/>
      <c r="B169" s="65"/>
      <c r="C169" s="65"/>
      <c r="D169" s="65"/>
      <c r="E169" s="65"/>
      <c r="F169" s="65"/>
      <c r="G169" s="181" t="s">
        <v>257</v>
      </c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3"/>
      <c r="Z169" s="65" t="s">
        <v>50</v>
      </c>
      <c r="AA169" s="65"/>
      <c r="AB169" s="65"/>
      <c r="AC169" s="65"/>
      <c r="AD169" s="65"/>
      <c r="AE169" s="111" t="s">
        <v>117</v>
      </c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71">
        <v>1</v>
      </c>
      <c r="AP169" s="71"/>
      <c r="AQ169" s="71"/>
      <c r="AR169" s="71"/>
      <c r="AS169" s="71"/>
      <c r="AT169" s="71"/>
      <c r="AU169" s="71"/>
      <c r="AV169" s="71"/>
      <c r="AW169" s="209"/>
      <c r="AX169" s="209"/>
      <c r="AY169" s="209"/>
      <c r="AZ169" s="209"/>
      <c r="BA169" s="209"/>
      <c r="BB169" s="209"/>
      <c r="BC169" s="209"/>
      <c r="BD169" s="209"/>
      <c r="BE169" s="209">
        <f>AO169+AW169</f>
        <v>1</v>
      </c>
      <c r="BF169" s="209"/>
      <c r="BG169" s="209"/>
      <c r="BH169" s="209"/>
      <c r="BI169" s="209"/>
      <c r="BJ169" s="209"/>
      <c r="BK169" s="209"/>
      <c r="BL169" s="209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</row>
    <row r="170" spans="1:85" ht="18" customHeight="1" x14ac:dyDescent="0.2">
      <c r="A170" s="65"/>
      <c r="B170" s="65"/>
      <c r="C170" s="65"/>
      <c r="D170" s="65"/>
      <c r="E170" s="65"/>
      <c r="F170" s="65"/>
      <c r="G170" s="93" t="s">
        <v>52</v>
      </c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72"/>
      <c r="BF170" s="72"/>
      <c r="BG170" s="72"/>
      <c r="BH170" s="72"/>
      <c r="BI170" s="72"/>
      <c r="BJ170" s="72"/>
      <c r="BK170" s="72"/>
      <c r="BL170" s="72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</row>
    <row r="171" spans="1:85" ht="31.5" customHeight="1" x14ac:dyDescent="0.2">
      <c r="A171" s="65"/>
      <c r="B171" s="65"/>
      <c r="C171" s="65"/>
      <c r="D171" s="65"/>
      <c r="E171" s="65"/>
      <c r="F171" s="65"/>
      <c r="G171" s="68" t="s">
        <v>139</v>
      </c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77" t="s">
        <v>49</v>
      </c>
      <c r="AA171" s="77"/>
      <c r="AB171" s="77"/>
      <c r="AC171" s="77"/>
      <c r="AD171" s="77"/>
      <c r="AE171" s="65" t="s">
        <v>62</v>
      </c>
      <c r="AF171" s="65"/>
      <c r="AG171" s="65"/>
      <c r="AH171" s="65"/>
      <c r="AI171" s="65"/>
      <c r="AJ171" s="65"/>
      <c r="AK171" s="65"/>
      <c r="AL171" s="65"/>
      <c r="AM171" s="65"/>
      <c r="AN171" s="65"/>
      <c r="AO171" s="74">
        <f>AO161/AO166</f>
        <v>1209.090909090909</v>
      </c>
      <c r="AP171" s="74"/>
      <c r="AQ171" s="74"/>
      <c r="AR171" s="74"/>
      <c r="AS171" s="74"/>
      <c r="AT171" s="74"/>
      <c r="AU171" s="74"/>
      <c r="AV171" s="74"/>
      <c r="AW171" s="65"/>
      <c r="AX171" s="65"/>
      <c r="AY171" s="65"/>
      <c r="AZ171" s="65"/>
      <c r="BA171" s="65"/>
      <c r="BB171" s="65"/>
      <c r="BC171" s="65"/>
      <c r="BD171" s="65"/>
      <c r="BE171" s="74">
        <f t="shared" si="4"/>
        <v>1209.090909090909</v>
      </c>
      <c r="BF171" s="74"/>
      <c r="BG171" s="74"/>
      <c r="BH171" s="74"/>
      <c r="BI171" s="74"/>
      <c r="BJ171" s="74"/>
      <c r="BK171" s="74"/>
      <c r="BL171" s="74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</row>
    <row r="172" spans="1:85" ht="33" customHeight="1" x14ac:dyDescent="0.2">
      <c r="A172" s="65"/>
      <c r="B172" s="65"/>
      <c r="C172" s="65"/>
      <c r="D172" s="65"/>
      <c r="E172" s="65"/>
      <c r="F172" s="65"/>
      <c r="G172" s="68" t="s">
        <v>140</v>
      </c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77" t="s">
        <v>49</v>
      </c>
      <c r="AA172" s="77"/>
      <c r="AB172" s="77"/>
      <c r="AC172" s="77"/>
      <c r="AD172" s="77"/>
      <c r="AE172" s="65" t="s">
        <v>62</v>
      </c>
      <c r="AF172" s="65"/>
      <c r="AG172" s="65"/>
      <c r="AH172" s="65"/>
      <c r="AI172" s="65"/>
      <c r="AJ172" s="65"/>
      <c r="AK172" s="65"/>
      <c r="AL172" s="65"/>
      <c r="AM172" s="65"/>
      <c r="AN172" s="65"/>
      <c r="AO172" s="74">
        <f>AO162/12</f>
        <v>250716.66666666666</v>
      </c>
      <c r="AP172" s="74"/>
      <c r="AQ172" s="74"/>
      <c r="AR172" s="74"/>
      <c r="AS172" s="74"/>
      <c r="AT172" s="74"/>
      <c r="AU172" s="74"/>
      <c r="AV172" s="74"/>
      <c r="AW172" s="65"/>
      <c r="AX172" s="65"/>
      <c r="AY172" s="65"/>
      <c r="AZ172" s="65"/>
      <c r="BA172" s="65"/>
      <c r="BB172" s="65"/>
      <c r="BC172" s="65"/>
      <c r="BD172" s="65"/>
      <c r="BE172" s="74">
        <f t="shared" si="4"/>
        <v>250716.66666666666</v>
      </c>
      <c r="BF172" s="74"/>
      <c r="BG172" s="74"/>
      <c r="BH172" s="74"/>
      <c r="BI172" s="74"/>
      <c r="BJ172" s="74"/>
      <c r="BK172" s="74"/>
      <c r="BL172" s="74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</row>
    <row r="173" spans="1:85" ht="34.5" customHeight="1" x14ac:dyDescent="0.2">
      <c r="A173" s="65"/>
      <c r="B173" s="65"/>
      <c r="C173" s="65"/>
      <c r="D173" s="65"/>
      <c r="E173" s="65"/>
      <c r="F173" s="65"/>
      <c r="G173" s="68" t="s">
        <v>141</v>
      </c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77" t="s">
        <v>49</v>
      </c>
      <c r="AA173" s="77"/>
      <c r="AB173" s="77"/>
      <c r="AC173" s="77"/>
      <c r="AD173" s="77"/>
      <c r="AE173" s="65" t="s">
        <v>62</v>
      </c>
      <c r="AF173" s="65"/>
      <c r="AG173" s="65"/>
      <c r="AH173" s="65"/>
      <c r="AI173" s="65"/>
      <c r="AJ173" s="65"/>
      <c r="AK173" s="65"/>
      <c r="AL173" s="65"/>
      <c r="AM173" s="65"/>
      <c r="AN173" s="65"/>
      <c r="AO173" s="74">
        <f>AO163/AO168</f>
        <v>107855.55555555556</v>
      </c>
      <c r="AP173" s="74"/>
      <c r="AQ173" s="74"/>
      <c r="AR173" s="74"/>
      <c r="AS173" s="74"/>
      <c r="AT173" s="74"/>
      <c r="AU173" s="74"/>
      <c r="AV173" s="74"/>
      <c r="AW173" s="65"/>
      <c r="AX173" s="65"/>
      <c r="AY173" s="65"/>
      <c r="AZ173" s="65"/>
      <c r="BA173" s="65"/>
      <c r="BB173" s="65"/>
      <c r="BC173" s="65"/>
      <c r="BD173" s="65"/>
      <c r="BE173" s="74">
        <f t="shared" si="4"/>
        <v>107855.55555555556</v>
      </c>
      <c r="BF173" s="74"/>
      <c r="BG173" s="74"/>
      <c r="BH173" s="74"/>
      <c r="BI173" s="74"/>
      <c r="BJ173" s="74"/>
      <c r="BK173" s="74"/>
      <c r="BL173" s="74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</row>
    <row r="174" spans="1:85" ht="34.5" customHeight="1" x14ac:dyDescent="0.2">
      <c r="A174" s="65"/>
      <c r="B174" s="65"/>
      <c r="C174" s="65"/>
      <c r="D174" s="65"/>
      <c r="E174" s="65"/>
      <c r="F174" s="65"/>
      <c r="G174" s="181" t="s">
        <v>258</v>
      </c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3"/>
      <c r="Z174" s="77" t="s">
        <v>49</v>
      </c>
      <c r="AA174" s="77"/>
      <c r="AB174" s="77"/>
      <c r="AC174" s="77"/>
      <c r="AD174" s="77"/>
      <c r="AE174" s="65" t="s">
        <v>62</v>
      </c>
      <c r="AF174" s="65"/>
      <c r="AG174" s="65"/>
      <c r="AH174" s="65"/>
      <c r="AI174" s="65"/>
      <c r="AJ174" s="65"/>
      <c r="AK174" s="65"/>
      <c r="AL174" s="65"/>
      <c r="AM174" s="65"/>
      <c r="AN174" s="65"/>
      <c r="AO174" s="74">
        <f>AO164/AO169</f>
        <v>115000</v>
      </c>
      <c r="AP174" s="74"/>
      <c r="AQ174" s="74"/>
      <c r="AR174" s="74"/>
      <c r="AS174" s="74"/>
      <c r="AT174" s="74"/>
      <c r="AU174" s="74"/>
      <c r="AV174" s="74"/>
      <c r="AW174" s="65"/>
      <c r="AX174" s="65"/>
      <c r="AY174" s="65"/>
      <c r="AZ174" s="65"/>
      <c r="BA174" s="65"/>
      <c r="BB174" s="65"/>
      <c r="BC174" s="65"/>
      <c r="BD174" s="65"/>
      <c r="BE174" s="74">
        <f>AO174+AW174</f>
        <v>115000</v>
      </c>
      <c r="BF174" s="74"/>
      <c r="BG174" s="74"/>
      <c r="BH174" s="74"/>
      <c r="BI174" s="74"/>
      <c r="BJ174" s="74"/>
      <c r="BK174" s="74"/>
      <c r="BL174" s="74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</row>
    <row r="175" spans="1:85" ht="15.75" customHeight="1" x14ac:dyDescent="0.2">
      <c r="A175" s="65"/>
      <c r="B175" s="65"/>
      <c r="C175" s="65"/>
      <c r="D175" s="65"/>
      <c r="E175" s="65"/>
      <c r="F175" s="65"/>
      <c r="G175" s="83" t="s">
        <v>53</v>
      </c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72"/>
      <c r="BF175" s="72"/>
      <c r="BG175" s="72"/>
      <c r="BH175" s="72"/>
      <c r="BI175" s="72"/>
      <c r="BJ175" s="72"/>
      <c r="BK175" s="72"/>
      <c r="BL175" s="72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</row>
    <row r="176" spans="1:85" ht="49.5" customHeight="1" x14ac:dyDescent="0.2">
      <c r="A176" s="65"/>
      <c r="B176" s="65"/>
      <c r="C176" s="65"/>
      <c r="D176" s="65"/>
      <c r="E176" s="65"/>
      <c r="F176" s="65"/>
      <c r="G176" s="98" t="s">
        <v>142</v>
      </c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77" t="s">
        <v>54</v>
      </c>
      <c r="AA176" s="77"/>
      <c r="AB176" s="77"/>
      <c r="AC176" s="77"/>
      <c r="AD176" s="77"/>
      <c r="AE176" s="65" t="s">
        <v>62</v>
      </c>
      <c r="AF176" s="65"/>
      <c r="AG176" s="65"/>
      <c r="AH176" s="65"/>
      <c r="AI176" s="65"/>
      <c r="AJ176" s="65"/>
      <c r="AK176" s="65"/>
      <c r="AL176" s="65"/>
      <c r="AM176" s="65"/>
      <c r="AN176" s="65"/>
      <c r="AO176" s="191">
        <f>AO172/213341.67*100</f>
        <v>117.51884508388196</v>
      </c>
      <c r="AP176" s="191"/>
      <c r="AQ176" s="191"/>
      <c r="AR176" s="191"/>
      <c r="AS176" s="191"/>
      <c r="AT176" s="191"/>
      <c r="AU176" s="191"/>
      <c r="AV176" s="191"/>
      <c r="AW176" s="65"/>
      <c r="AX176" s="65"/>
      <c r="AY176" s="65"/>
      <c r="AZ176" s="65"/>
      <c r="BA176" s="65"/>
      <c r="BB176" s="65"/>
      <c r="BC176" s="65"/>
      <c r="BD176" s="65"/>
      <c r="BE176" s="72">
        <f t="shared" si="4"/>
        <v>117.51884508388196</v>
      </c>
      <c r="BF176" s="72"/>
      <c r="BG176" s="72"/>
      <c r="BH176" s="72"/>
      <c r="BI176" s="72"/>
      <c r="BJ176" s="72"/>
      <c r="BK176" s="72"/>
      <c r="BL176" s="72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</row>
    <row r="177" spans="1:85" ht="51" customHeight="1" x14ac:dyDescent="0.2">
      <c r="A177" s="65"/>
      <c r="B177" s="65"/>
      <c r="C177" s="65"/>
      <c r="D177" s="65"/>
      <c r="E177" s="65"/>
      <c r="F177" s="65"/>
      <c r="G177" s="98" t="s">
        <v>143</v>
      </c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77" t="s">
        <v>54</v>
      </c>
      <c r="AA177" s="77"/>
      <c r="AB177" s="77"/>
      <c r="AC177" s="77"/>
      <c r="AD177" s="77"/>
      <c r="AE177" s="65" t="s">
        <v>62</v>
      </c>
      <c r="AF177" s="65"/>
      <c r="AG177" s="65"/>
      <c r="AH177" s="65"/>
      <c r="AI177" s="65"/>
      <c r="AJ177" s="65"/>
      <c r="AK177" s="65"/>
      <c r="AL177" s="65"/>
      <c r="AM177" s="65"/>
      <c r="AN177" s="65"/>
      <c r="AO177" s="191">
        <f>AO163/696088*100</f>
        <v>139.4507590994242</v>
      </c>
      <c r="AP177" s="191"/>
      <c r="AQ177" s="191"/>
      <c r="AR177" s="191"/>
      <c r="AS177" s="191"/>
      <c r="AT177" s="191"/>
      <c r="AU177" s="191"/>
      <c r="AV177" s="191"/>
      <c r="AW177" s="65"/>
      <c r="AX177" s="65"/>
      <c r="AY177" s="65"/>
      <c r="AZ177" s="65"/>
      <c r="BA177" s="65"/>
      <c r="BB177" s="65"/>
      <c r="BC177" s="65"/>
      <c r="BD177" s="65"/>
      <c r="BE177" s="72">
        <f t="shared" si="4"/>
        <v>139.4507590994242</v>
      </c>
      <c r="BF177" s="72"/>
      <c r="BG177" s="72"/>
      <c r="BH177" s="72"/>
      <c r="BI177" s="72"/>
      <c r="BJ177" s="72"/>
      <c r="BK177" s="72"/>
      <c r="BL177" s="72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</row>
    <row r="178" spans="1:85" ht="18.75" customHeight="1" x14ac:dyDescent="0.2">
      <c r="A178" s="31"/>
      <c r="B178" s="31"/>
      <c r="C178" s="31"/>
      <c r="D178" s="31"/>
      <c r="E178" s="31"/>
      <c r="F178" s="31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0"/>
      <c r="AA178" s="50"/>
      <c r="AB178" s="50"/>
      <c r="AC178" s="50"/>
      <c r="AD178" s="50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54"/>
      <c r="AP178" s="54"/>
      <c r="AQ178" s="54"/>
      <c r="AR178" s="54"/>
      <c r="AS178" s="54"/>
      <c r="AT178" s="54"/>
      <c r="AU178" s="54"/>
      <c r="AV178" s="54"/>
      <c r="AW178" s="31"/>
      <c r="AX178" s="31"/>
      <c r="AY178" s="31"/>
      <c r="AZ178" s="31"/>
      <c r="BA178" s="31"/>
      <c r="BB178" s="31"/>
      <c r="BC178" s="31"/>
      <c r="BD178" s="31"/>
      <c r="BE178" s="51"/>
      <c r="BF178" s="51"/>
      <c r="BG178" s="51"/>
      <c r="BH178" s="51"/>
      <c r="BI178" s="51"/>
      <c r="BJ178" s="51"/>
      <c r="BK178" s="51"/>
      <c r="BL178" s="51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</row>
    <row r="179" spans="1:85" ht="36" customHeight="1" x14ac:dyDescent="0.2">
      <c r="A179" s="65" t="s">
        <v>15</v>
      </c>
      <c r="B179" s="65"/>
      <c r="C179" s="65"/>
      <c r="D179" s="65"/>
      <c r="E179" s="65"/>
      <c r="F179" s="65"/>
      <c r="G179" s="65" t="s">
        <v>28</v>
      </c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 t="s">
        <v>2</v>
      </c>
      <c r="AA179" s="65"/>
      <c r="AB179" s="65"/>
      <c r="AC179" s="65"/>
      <c r="AD179" s="65"/>
      <c r="AE179" s="65" t="s">
        <v>1</v>
      </c>
      <c r="AF179" s="65"/>
      <c r="AG179" s="65"/>
      <c r="AH179" s="65"/>
      <c r="AI179" s="65"/>
      <c r="AJ179" s="65"/>
      <c r="AK179" s="65"/>
      <c r="AL179" s="65"/>
      <c r="AM179" s="65"/>
      <c r="AN179" s="65"/>
      <c r="AO179" s="65" t="s">
        <v>16</v>
      </c>
      <c r="AP179" s="65"/>
      <c r="AQ179" s="65"/>
      <c r="AR179" s="65"/>
      <c r="AS179" s="65"/>
      <c r="AT179" s="65"/>
      <c r="AU179" s="65"/>
      <c r="AV179" s="65"/>
      <c r="AW179" s="65" t="s">
        <v>17</v>
      </c>
      <c r="AX179" s="65"/>
      <c r="AY179" s="65"/>
      <c r="AZ179" s="65"/>
      <c r="BA179" s="65"/>
      <c r="BB179" s="65"/>
      <c r="BC179" s="65"/>
      <c r="BD179" s="65"/>
      <c r="BE179" s="65" t="s">
        <v>14</v>
      </c>
      <c r="BF179" s="65"/>
      <c r="BG179" s="65"/>
      <c r="BH179" s="65"/>
      <c r="BI179" s="65"/>
      <c r="BJ179" s="65"/>
      <c r="BK179" s="65"/>
      <c r="BL179" s="65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</row>
    <row r="180" spans="1:85" ht="17.25" customHeight="1" x14ac:dyDescent="0.2">
      <c r="A180" s="65">
        <v>1</v>
      </c>
      <c r="B180" s="65"/>
      <c r="C180" s="65"/>
      <c r="D180" s="65"/>
      <c r="E180" s="65"/>
      <c r="F180" s="65"/>
      <c r="G180" s="65">
        <v>2</v>
      </c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>
        <v>3</v>
      </c>
      <c r="AA180" s="65"/>
      <c r="AB180" s="65"/>
      <c r="AC180" s="65"/>
      <c r="AD180" s="65"/>
      <c r="AE180" s="65">
        <v>4</v>
      </c>
      <c r="AF180" s="65"/>
      <c r="AG180" s="65"/>
      <c r="AH180" s="65"/>
      <c r="AI180" s="65"/>
      <c r="AJ180" s="65"/>
      <c r="AK180" s="65"/>
      <c r="AL180" s="65"/>
      <c r="AM180" s="65"/>
      <c r="AN180" s="65"/>
      <c r="AO180" s="65">
        <v>5</v>
      </c>
      <c r="AP180" s="65"/>
      <c r="AQ180" s="65"/>
      <c r="AR180" s="65"/>
      <c r="AS180" s="65"/>
      <c r="AT180" s="65"/>
      <c r="AU180" s="65"/>
      <c r="AV180" s="65"/>
      <c r="AW180" s="65">
        <v>6</v>
      </c>
      <c r="AX180" s="65"/>
      <c r="AY180" s="65"/>
      <c r="AZ180" s="65"/>
      <c r="BA180" s="65"/>
      <c r="BB180" s="65"/>
      <c r="BC180" s="65"/>
      <c r="BD180" s="65"/>
      <c r="BE180" s="65">
        <v>7</v>
      </c>
      <c r="BF180" s="65"/>
      <c r="BG180" s="65"/>
      <c r="BH180" s="65"/>
      <c r="BI180" s="65"/>
      <c r="BJ180" s="65"/>
      <c r="BK180" s="65"/>
      <c r="BL180" s="65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</row>
    <row r="181" spans="1:85" ht="18" customHeight="1" x14ac:dyDescent="0.2">
      <c r="A181" s="65"/>
      <c r="B181" s="65"/>
      <c r="C181" s="65"/>
      <c r="D181" s="65"/>
      <c r="E181" s="65"/>
      <c r="F181" s="65"/>
      <c r="G181" s="176" t="s">
        <v>78</v>
      </c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76"/>
      <c r="AT181" s="176"/>
      <c r="AU181" s="176"/>
      <c r="AV181" s="176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</row>
    <row r="182" spans="1:85" ht="18" customHeight="1" x14ac:dyDescent="0.2">
      <c r="A182" s="65"/>
      <c r="B182" s="65"/>
      <c r="C182" s="65"/>
      <c r="D182" s="65"/>
      <c r="E182" s="65"/>
      <c r="F182" s="65"/>
      <c r="G182" s="117" t="s">
        <v>48</v>
      </c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</row>
    <row r="183" spans="1:85" ht="18" customHeight="1" x14ac:dyDescent="0.2">
      <c r="A183" s="65"/>
      <c r="B183" s="65"/>
      <c r="C183" s="65"/>
      <c r="D183" s="65"/>
      <c r="E183" s="65"/>
      <c r="F183" s="65"/>
      <c r="G183" s="118" t="s">
        <v>96</v>
      </c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77" t="s">
        <v>49</v>
      </c>
      <c r="AA183" s="77"/>
      <c r="AB183" s="77"/>
      <c r="AC183" s="77"/>
      <c r="AD183" s="77"/>
      <c r="AE183" s="77" t="s">
        <v>61</v>
      </c>
      <c r="AF183" s="77"/>
      <c r="AG183" s="77"/>
      <c r="AH183" s="77"/>
      <c r="AI183" s="77"/>
      <c r="AJ183" s="77"/>
      <c r="AK183" s="77"/>
      <c r="AL183" s="77"/>
      <c r="AM183" s="77"/>
      <c r="AN183" s="77"/>
      <c r="AO183" s="69">
        <f>AO184+AO188</f>
        <v>76592600</v>
      </c>
      <c r="AP183" s="69"/>
      <c r="AQ183" s="69"/>
      <c r="AR183" s="69"/>
      <c r="AS183" s="69"/>
      <c r="AT183" s="69"/>
      <c r="AU183" s="69"/>
      <c r="AV183" s="69"/>
      <c r="AW183" s="65"/>
      <c r="AX183" s="65"/>
      <c r="AY183" s="65"/>
      <c r="AZ183" s="65"/>
      <c r="BA183" s="65"/>
      <c r="BB183" s="65"/>
      <c r="BC183" s="65"/>
      <c r="BD183" s="65"/>
      <c r="BE183" s="74">
        <f>AO183+AW183</f>
        <v>76592600</v>
      </c>
      <c r="BF183" s="74"/>
      <c r="BG183" s="74"/>
      <c r="BH183" s="74"/>
      <c r="BI183" s="74"/>
      <c r="BJ183" s="74"/>
      <c r="BK183" s="74"/>
      <c r="BL183" s="74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</row>
    <row r="184" spans="1:85" ht="33" customHeight="1" x14ac:dyDescent="0.2">
      <c r="A184" s="65"/>
      <c r="B184" s="65"/>
      <c r="C184" s="65"/>
      <c r="D184" s="65"/>
      <c r="E184" s="65"/>
      <c r="F184" s="65"/>
      <c r="G184" s="117" t="s">
        <v>147</v>
      </c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77" t="s">
        <v>49</v>
      </c>
      <c r="AA184" s="77"/>
      <c r="AB184" s="77"/>
      <c r="AC184" s="77"/>
      <c r="AD184" s="77"/>
      <c r="AE184" s="77" t="s">
        <v>61</v>
      </c>
      <c r="AF184" s="77"/>
      <c r="AG184" s="77"/>
      <c r="AH184" s="77"/>
      <c r="AI184" s="77"/>
      <c r="AJ184" s="77"/>
      <c r="AK184" s="77"/>
      <c r="AL184" s="77"/>
      <c r="AM184" s="77"/>
      <c r="AN184" s="77"/>
      <c r="AO184" s="69">
        <f>SUM(AO185:AV187)</f>
        <v>72592600</v>
      </c>
      <c r="AP184" s="69"/>
      <c r="AQ184" s="69"/>
      <c r="AR184" s="69"/>
      <c r="AS184" s="69"/>
      <c r="AT184" s="69"/>
      <c r="AU184" s="69"/>
      <c r="AV184" s="69"/>
      <c r="AW184" s="65"/>
      <c r="AX184" s="65"/>
      <c r="AY184" s="65"/>
      <c r="AZ184" s="65"/>
      <c r="BA184" s="65"/>
      <c r="BB184" s="65"/>
      <c r="BC184" s="65"/>
      <c r="BD184" s="65"/>
      <c r="BE184" s="74">
        <f t="shared" ref="BE184:BE208" si="5">AO184+AW184</f>
        <v>72592600</v>
      </c>
      <c r="BF184" s="74"/>
      <c r="BG184" s="74"/>
      <c r="BH184" s="74"/>
      <c r="BI184" s="74"/>
      <c r="BJ184" s="74"/>
      <c r="BK184" s="74"/>
      <c r="BL184" s="74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</row>
    <row r="185" spans="1:85" ht="33.75" customHeight="1" x14ac:dyDescent="0.2">
      <c r="A185" s="65"/>
      <c r="B185" s="65"/>
      <c r="C185" s="65"/>
      <c r="D185" s="65"/>
      <c r="E185" s="65"/>
      <c r="F185" s="65"/>
      <c r="G185" s="118" t="s">
        <v>148</v>
      </c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77" t="s">
        <v>49</v>
      </c>
      <c r="AA185" s="77"/>
      <c r="AB185" s="77"/>
      <c r="AC185" s="77"/>
      <c r="AD185" s="77"/>
      <c r="AE185" s="111" t="s">
        <v>144</v>
      </c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5">
        <v>19896050</v>
      </c>
      <c r="AP185" s="115"/>
      <c r="AQ185" s="115"/>
      <c r="AR185" s="115"/>
      <c r="AS185" s="115"/>
      <c r="AT185" s="115"/>
      <c r="AU185" s="115"/>
      <c r="AV185" s="115"/>
      <c r="AW185" s="65"/>
      <c r="AX185" s="65"/>
      <c r="AY185" s="65"/>
      <c r="AZ185" s="65"/>
      <c r="BA185" s="65"/>
      <c r="BB185" s="65"/>
      <c r="BC185" s="65"/>
      <c r="BD185" s="65"/>
      <c r="BE185" s="74">
        <f t="shared" si="5"/>
        <v>19896050</v>
      </c>
      <c r="BF185" s="74"/>
      <c r="BG185" s="74"/>
      <c r="BH185" s="74"/>
      <c r="BI185" s="74"/>
      <c r="BJ185" s="74"/>
      <c r="BK185" s="74"/>
      <c r="BL185" s="74"/>
      <c r="BQ185" s="48"/>
      <c r="BR185" s="64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</row>
    <row r="186" spans="1:85" ht="21" customHeight="1" x14ac:dyDescent="0.2">
      <c r="A186" s="65"/>
      <c r="B186" s="65"/>
      <c r="C186" s="65"/>
      <c r="D186" s="65"/>
      <c r="E186" s="65"/>
      <c r="F186" s="65"/>
      <c r="G186" s="118" t="s">
        <v>149</v>
      </c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77" t="s">
        <v>49</v>
      </c>
      <c r="AA186" s="77"/>
      <c r="AB186" s="77"/>
      <c r="AC186" s="77"/>
      <c r="AD186" s="77"/>
      <c r="AE186" s="111" t="s">
        <v>144</v>
      </c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5">
        <f>31637300+6000000+3000000</f>
        <v>40637300</v>
      </c>
      <c r="AP186" s="115"/>
      <c r="AQ186" s="115"/>
      <c r="AR186" s="115"/>
      <c r="AS186" s="115"/>
      <c r="AT186" s="115"/>
      <c r="AU186" s="115"/>
      <c r="AV186" s="115"/>
      <c r="AW186" s="65"/>
      <c r="AX186" s="65"/>
      <c r="AY186" s="65"/>
      <c r="AZ186" s="65"/>
      <c r="BA186" s="65"/>
      <c r="BB186" s="65"/>
      <c r="BC186" s="65"/>
      <c r="BD186" s="65"/>
      <c r="BE186" s="74">
        <f t="shared" si="5"/>
        <v>40637300</v>
      </c>
      <c r="BF186" s="74"/>
      <c r="BG186" s="74"/>
      <c r="BH186" s="74"/>
      <c r="BI186" s="74"/>
      <c r="BJ186" s="74"/>
      <c r="BK186" s="74"/>
      <c r="BL186" s="74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</row>
    <row r="187" spans="1:85" ht="18" customHeight="1" x14ac:dyDescent="0.2">
      <c r="A187" s="65"/>
      <c r="B187" s="65"/>
      <c r="C187" s="65"/>
      <c r="D187" s="65"/>
      <c r="E187" s="65"/>
      <c r="F187" s="65"/>
      <c r="G187" s="118" t="s">
        <v>150</v>
      </c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77" t="s">
        <v>49</v>
      </c>
      <c r="AA187" s="77"/>
      <c r="AB187" s="77"/>
      <c r="AC187" s="77"/>
      <c r="AD187" s="77"/>
      <c r="AE187" s="111" t="s">
        <v>144</v>
      </c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5">
        <v>12059250</v>
      </c>
      <c r="AP187" s="115"/>
      <c r="AQ187" s="115"/>
      <c r="AR187" s="115"/>
      <c r="AS187" s="115"/>
      <c r="AT187" s="115"/>
      <c r="AU187" s="115"/>
      <c r="AV187" s="115"/>
      <c r="AW187" s="65"/>
      <c r="AX187" s="65"/>
      <c r="AY187" s="65"/>
      <c r="AZ187" s="65"/>
      <c r="BA187" s="65"/>
      <c r="BB187" s="65"/>
      <c r="BC187" s="65"/>
      <c r="BD187" s="65"/>
      <c r="BE187" s="74">
        <f t="shared" si="5"/>
        <v>12059250</v>
      </c>
      <c r="BF187" s="74"/>
      <c r="BG187" s="74"/>
      <c r="BH187" s="74"/>
      <c r="BI187" s="74"/>
      <c r="BJ187" s="74"/>
      <c r="BK187" s="74"/>
      <c r="BL187" s="74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</row>
    <row r="188" spans="1:85" ht="30.75" customHeight="1" x14ac:dyDescent="0.2">
      <c r="A188" s="65"/>
      <c r="B188" s="65"/>
      <c r="C188" s="65"/>
      <c r="D188" s="65"/>
      <c r="E188" s="65"/>
      <c r="F188" s="65"/>
      <c r="G188" s="175" t="s">
        <v>151</v>
      </c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77" t="s">
        <v>49</v>
      </c>
      <c r="AA188" s="77"/>
      <c r="AB188" s="77"/>
      <c r="AC188" s="77"/>
      <c r="AD188" s="77"/>
      <c r="AE188" s="77" t="s">
        <v>61</v>
      </c>
      <c r="AF188" s="77"/>
      <c r="AG188" s="77"/>
      <c r="AH188" s="77"/>
      <c r="AI188" s="77"/>
      <c r="AJ188" s="77"/>
      <c r="AK188" s="77"/>
      <c r="AL188" s="77"/>
      <c r="AM188" s="77"/>
      <c r="AN188" s="77"/>
      <c r="AO188" s="115">
        <v>4000000</v>
      </c>
      <c r="AP188" s="115"/>
      <c r="AQ188" s="115"/>
      <c r="AR188" s="115"/>
      <c r="AS188" s="115"/>
      <c r="AT188" s="115"/>
      <c r="AU188" s="115"/>
      <c r="AV188" s="115"/>
      <c r="AW188" s="65"/>
      <c r="AX188" s="65"/>
      <c r="AY188" s="65"/>
      <c r="AZ188" s="65"/>
      <c r="BA188" s="65"/>
      <c r="BB188" s="65"/>
      <c r="BC188" s="65"/>
      <c r="BD188" s="65"/>
      <c r="BE188" s="74">
        <f t="shared" si="5"/>
        <v>4000000</v>
      </c>
      <c r="BF188" s="74"/>
      <c r="BG188" s="74"/>
      <c r="BH188" s="74"/>
      <c r="BI188" s="74"/>
      <c r="BJ188" s="74"/>
      <c r="BK188" s="74"/>
      <c r="BL188" s="74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</row>
    <row r="189" spans="1:85" ht="18" customHeight="1" x14ac:dyDescent="0.2">
      <c r="A189" s="65"/>
      <c r="B189" s="65"/>
      <c r="C189" s="65"/>
      <c r="D189" s="65"/>
      <c r="E189" s="65"/>
      <c r="F189" s="65"/>
      <c r="G189" s="176" t="s">
        <v>51</v>
      </c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72"/>
      <c r="BF189" s="72"/>
      <c r="BG189" s="72"/>
      <c r="BH189" s="72"/>
      <c r="BI189" s="72"/>
      <c r="BJ189" s="72"/>
      <c r="BK189" s="72"/>
      <c r="BL189" s="72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</row>
    <row r="190" spans="1:85" ht="33" customHeight="1" x14ac:dyDescent="0.2">
      <c r="A190" s="65"/>
      <c r="B190" s="65"/>
      <c r="C190" s="65"/>
      <c r="D190" s="65"/>
      <c r="E190" s="65"/>
      <c r="F190" s="65"/>
      <c r="G190" s="118" t="s">
        <v>152</v>
      </c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77" t="s">
        <v>167</v>
      </c>
      <c r="AA190" s="77"/>
      <c r="AB190" s="77"/>
      <c r="AC190" s="77"/>
      <c r="AD190" s="77"/>
      <c r="AE190" s="111" t="s">
        <v>144</v>
      </c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6">
        <v>29.281649999999999</v>
      </c>
      <c r="AP190" s="116"/>
      <c r="AQ190" s="116"/>
      <c r="AR190" s="116"/>
      <c r="AS190" s="116"/>
      <c r="AT190" s="116"/>
      <c r="AU190" s="116"/>
      <c r="AV190" s="116"/>
      <c r="AW190" s="65"/>
      <c r="AX190" s="65"/>
      <c r="AY190" s="65"/>
      <c r="AZ190" s="65"/>
      <c r="BA190" s="65"/>
      <c r="BB190" s="65"/>
      <c r="BC190" s="65"/>
      <c r="BD190" s="65"/>
      <c r="BE190" s="72">
        <f t="shared" si="5"/>
        <v>29.281649999999999</v>
      </c>
      <c r="BF190" s="72"/>
      <c r="BG190" s="72"/>
      <c r="BH190" s="72"/>
      <c r="BI190" s="72"/>
      <c r="BJ190" s="72"/>
      <c r="BK190" s="72"/>
      <c r="BL190" s="72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</row>
    <row r="191" spans="1:85" ht="49.5" customHeight="1" x14ac:dyDescent="0.2">
      <c r="A191" s="65"/>
      <c r="B191" s="65"/>
      <c r="C191" s="65"/>
      <c r="D191" s="65"/>
      <c r="E191" s="65"/>
      <c r="F191" s="65"/>
      <c r="G191" s="118" t="s">
        <v>153</v>
      </c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77" t="s">
        <v>167</v>
      </c>
      <c r="AA191" s="77"/>
      <c r="AB191" s="77"/>
      <c r="AC191" s="77"/>
      <c r="AD191" s="77"/>
      <c r="AE191" s="111" t="s">
        <v>144</v>
      </c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215">
        <f>114307356.3/1000</f>
        <v>114307.3563</v>
      </c>
      <c r="AP191" s="215">
        <f t="shared" ref="AP191:AV191" si="6">(72425+31335)*1000+6400000+1637222/0.45744</f>
        <v>113739096.71213712</v>
      </c>
      <c r="AQ191" s="215">
        <f t="shared" si="6"/>
        <v>113739096.71213712</v>
      </c>
      <c r="AR191" s="215">
        <f t="shared" si="6"/>
        <v>113739096.71213712</v>
      </c>
      <c r="AS191" s="215">
        <f t="shared" si="6"/>
        <v>113739096.71213712</v>
      </c>
      <c r="AT191" s="215">
        <f t="shared" si="6"/>
        <v>113739096.71213712</v>
      </c>
      <c r="AU191" s="215">
        <f t="shared" si="6"/>
        <v>113739096.71213712</v>
      </c>
      <c r="AV191" s="215">
        <f t="shared" si="6"/>
        <v>113739096.71213712</v>
      </c>
      <c r="AW191" s="213"/>
      <c r="AX191" s="213"/>
      <c r="AY191" s="213"/>
      <c r="AZ191" s="213"/>
      <c r="BA191" s="213"/>
      <c r="BB191" s="213"/>
      <c r="BC191" s="213"/>
      <c r="BD191" s="213"/>
      <c r="BE191" s="213">
        <f t="shared" si="5"/>
        <v>114307.3563</v>
      </c>
      <c r="BF191" s="213"/>
      <c r="BG191" s="213"/>
      <c r="BH191" s="213"/>
      <c r="BI191" s="213"/>
      <c r="BJ191" s="213"/>
      <c r="BK191" s="213"/>
      <c r="BL191" s="213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</row>
    <row r="192" spans="1:85" ht="32.25" customHeight="1" x14ac:dyDescent="0.2">
      <c r="A192" s="65"/>
      <c r="B192" s="65"/>
      <c r="C192" s="65"/>
      <c r="D192" s="65"/>
      <c r="E192" s="65"/>
      <c r="F192" s="65"/>
      <c r="G192" s="118" t="s">
        <v>154</v>
      </c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77" t="s">
        <v>168</v>
      </c>
      <c r="AA192" s="77"/>
      <c r="AB192" s="77"/>
      <c r="AC192" s="77"/>
      <c r="AD192" s="77"/>
      <c r="AE192" s="111" t="s">
        <v>144</v>
      </c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214">
        <v>120</v>
      </c>
      <c r="AP192" s="214"/>
      <c r="AQ192" s="214"/>
      <c r="AR192" s="214"/>
      <c r="AS192" s="214"/>
      <c r="AT192" s="214"/>
      <c r="AU192" s="214"/>
      <c r="AV192" s="214"/>
      <c r="AW192" s="65"/>
      <c r="AX192" s="65"/>
      <c r="AY192" s="65"/>
      <c r="AZ192" s="65"/>
      <c r="BA192" s="65"/>
      <c r="BB192" s="65"/>
      <c r="BC192" s="65"/>
      <c r="BD192" s="65"/>
      <c r="BE192" s="73">
        <f t="shared" si="5"/>
        <v>120</v>
      </c>
      <c r="BF192" s="73"/>
      <c r="BG192" s="73"/>
      <c r="BH192" s="73"/>
      <c r="BI192" s="73"/>
      <c r="BJ192" s="73"/>
      <c r="BK192" s="73"/>
      <c r="BL192" s="73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</row>
    <row r="193" spans="1:85" ht="18" customHeight="1" x14ac:dyDescent="0.2">
      <c r="A193" s="65"/>
      <c r="B193" s="65"/>
      <c r="C193" s="65"/>
      <c r="D193" s="65"/>
      <c r="E193" s="65"/>
      <c r="F193" s="65"/>
      <c r="G193" s="118" t="s">
        <v>155</v>
      </c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77" t="s">
        <v>167</v>
      </c>
      <c r="AA193" s="77"/>
      <c r="AB193" s="77"/>
      <c r="AC193" s="77"/>
      <c r="AD193" s="77"/>
      <c r="AE193" s="111" t="s">
        <v>144</v>
      </c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212">
        <v>30.114999999999998</v>
      </c>
      <c r="AP193" s="212"/>
      <c r="AQ193" s="212"/>
      <c r="AR193" s="212"/>
      <c r="AS193" s="212"/>
      <c r="AT193" s="212"/>
      <c r="AU193" s="212"/>
      <c r="AV193" s="212"/>
      <c r="AW193" s="65"/>
      <c r="AX193" s="65"/>
      <c r="AY193" s="65"/>
      <c r="AZ193" s="65"/>
      <c r="BA193" s="65"/>
      <c r="BB193" s="65"/>
      <c r="BC193" s="65"/>
      <c r="BD193" s="65"/>
      <c r="BE193" s="72">
        <f t="shared" si="5"/>
        <v>30.114999999999998</v>
      </c>
      <c r="BF193" s="72"/>
      <c r="BG193" s="72"/>
      <c r="BH193" s="72"/>
      <c r="BI193" s="72"/>
      <c r="BJ193" s="72"/>
      <c r="BK193" s="72"/>
      <c r="BL193" s="72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</row>
    <row r="194" spans="1:85" ht="34.5" customHeight="1" x14ac:dyDescent="0.2">
      <c r="A194" s="65"/>
      <c r="B194" s="65"/>
      <c r="C194" s="65"/>
      <c r="D194" s="65"/>
      <c r="E194" s="65"/>
      <c r="F194" s="65"/>
      <c r="G194" s="175" t="s">
        <v>156</v>
      </c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65" t="s">
        <v>167</v>
      </c>
      <c r="AA194" s="65"/>
      <c r="AB194" s="65"/>
      <c r="AC194" s="65"/>
      <c r="AD194" s="65"/>
      <c r="AE194" s="65" t="s">
        <v>113</v>
      </c>
      <c r="AF194" s="65"/>
      <c r="AG194" s="65"/>
      <c r="AH194" s="65"/>
      <c r="AI194" s="65"/>
      <c r="AJ194" s="65"/>
      <c r="AK194" s="65"/>
      <c r="AL194" s="65"/>
      <c r="AM194" s="65"/>
      <c r="AN194" s="65"/>
      <c r="AO194" s="212">
        <v>6.0620000000000003</v>
      </c>
      <c r="AP194" s="212"/>
      <c r="AQ194" s="212"/>
      <c r="AR194" s="212"/>
      <c r="AS194" s="212"/>
      <c r="AT194" s="212"/>
      <c r="AU194" s="212"/>
      <c r="AV194" s="212"/>
      <c r="AW194" s="65"/>
      <c r="AX194" s="65"/>
      <c r="AY194" s="65"/>
      <c r="AZ194" s="65"/>
      <c r="BA194" s="65"/>
      <c r="BB194" s="65"/>
      <c r="BC194" s="65"/>
      <c r="BD194" s="65"/>
      <c r="BE194" s="72">
        <f t="shared" si="5"/>
        <v>6.0620000000000003</v>
      </c>
      <c r="BF194" s="72"/>
      <c r="BG194" s="72"/>
      <c r="BH194" s="72"/>
      <c r="BI194" s="72"/>
      <c r="BJ194" s="72"/>
      <c r="BK194" s="72"/>
      <c r="BL194" s="72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</row>
    <row r="195" spans="1:85" ht="18" customHeight="1" x14ac:dyDescent="0.2">
      <c r="A195" s="65"/>
      <c r="B195" s="65"/>
      <c r="C195" s="65"/>
      <c r="D195" s="65"/>
      <c r="E195" s="65"/>
      <c r="F195" s="65"/>
      <c r="G195" s="117" t="s">
        <v>52</v>
      </c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111"/>
      <c r="AP195" s="111"/>
      <c r="AQ195" s="111"/>
      <c r="AR195" s="111"/>
      <c r="AS195" s="111"/>
      <c r="AT195" s="111"/>
      <c r="AU195" s="111"/>
      <c r="AV195" s="111"/>
      <c r="AW195" s="65"/>
      <c r="AX195" s="65"/>
      <c r="AY195" s="65"/>
      <c r="AZ195" s="65"/>
      <c r="BA195" s="65"/>
      <c r="BB195" s="65"/>
      <c r="BC195" s="65"/>
      <c r="BD195" s="65"/>
      <c r="BE195" s="72"/>
      <c r="BF195" s="72"/>
      <c r="BG195" s="72"/>
      <c r="BH195" s="72"/>
      <c r="BI195" s="72"/>
      <c r="BJ195" s="72"/>
      <c r="BK195" s="72"/>
      <c r="BL195" s="72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</row>
    <row r="196" spans="1:85" ht="32.25" customHeight="1" x14ac:dyDescent="0.2">
      <c r="A196" s="65"/>
      <c r="B196" s="65"/>
      <c r="C196" s="65"/>
      <c r="D196" s="65"/>
      <c r="E196" s="65"/>
      <c r="F196" s="65"/>
      <c r="G196" s="118" t="s">
        <v>157</v>
      </c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77" t="s">
        <v>49</v>
      </c>
      <c r="AA196" s="77"/>
      <c r="AB196" s="77"/>
      <c r="AC196" s="77"/>
      <c r="AD196" s="77"/>
      <c r="AE196" s="65" t="s">
        <v>62</v>
      </c>
      <c r="AF196" s="65"/>
      <c r="AG196" s="65"/>
      <c r="AH196" s="65"/>
      <c r="AI196" s="65"/>
      <c r="AJ196" s="65"/>
      <c r="AK196" s="65"/>
      <c r="AL196" s="65"/>
      <c r="AM196" s="65"/>
      <c r="AN196" s="65"/>
      <c r="AO196" s="115">
        <f>14728.89/AO190</f>
        <v>503.00751494536678</v>
      </c>
      <c r="AP196" s="115"/>
      <c r="AQ196" s="115"/>
      <c r="AR196" s="115"/>
      <c r="AS196" s="115"/>
      <c r="AT196" s="115"/>
      <c r="AU196" s="115"/>
      <c r="AV196" s="115"/>
      <c r="AW196" s="74"/>
      <c r="AX196" s="74"/>
      <c r="AY196" s="74"/>
      <c r="AZ196" s="74"/>
      <c r="BA196" s="74"/>
      <c r="BB196" s="74"/>
      <c r="BC196" s="74"/>
      <c r="BD196" s="74"/>
      <c r="BE196" s="74">
        <f t="shared" si="5"/>
        <v>503.00751494536678</v>
      </c>
      <c r="BF196" s="74"/>
      <c r="BG196" s="74"/>
      <c r="BH196" s="74"/>
      <c r="BI196" s="74"/>
      <c r="BJ196" s="74"/>
      <c r="BK196" s="74"/>
      <c r="BL196" s="74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</row>
    <row r="197" spans="1:85" ht="33" customHeight="1" x14ac:dyDescent="0.2">
      <c r="A197" s="65"/>
      <c r="B197" s="65"/>
      <c r="C197" s="65"/>
      <c r="D197" s="65"/>
      <c r="E197" s="65"/>
      <c r="F197" s="65"/>
      <c r="G197" s="204" t="s">
        <v>158</v>
      </c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77" t="s">
        <v>49</v>
      </c>
      <c r="AA197" s="77"/>
      <c r="AB197" s="77"/>
      <c r="AC197" s="77"/>
      <c r="AD197" s="77"/>
      <c r="AE197" s="65" t="s">
        <v>62</v>
      </c>
      <c r="AF197" s="65"/>
      <c r="AG197" s="65"/>
      <c r="AH197" s="65"/>
      <c r="AI197" s="65"/>
      <c r="AJ197" s="65"/>
      <c r="AK197" s="65"/>
      <c r="AL197" s="65"/>
      <c r="AM197" s="65"/>
      <c r="AN197" s="65"/>
      <c r="AO197" s="115">
        <f>15251870/(AO191*0.5705)/1000*100</f>
        <v>23.388009718452889</v>
      </c>
      <c r="AP197" s="115">
        <f t="shared" ref="AP197:AV198" si="7">(3647.9+2.63+7.26+23.92+25+2838.52+2.63+7.26+23.92+25+2475.3+1.1+2.81+6.5+15.37+2102.81+1+2.81+6.5+2000+1+2.82+6.5+2000+1.82+4.76+16.73)*1000</f>
        <v>15251869.999999998</v>
      </c>
      <c r="AQ197" s="115">
        <f t="shared" si="7"/>
        <v>15251869.999999998</v>
      </c>
      <c r="AR197" s="115">
        <f t="shared" si="7"/>
        <v>15251869.999999998</v>
      </c>
      <c r="AS197" s="115">
        <f t="shared" si="7"/>
        <v>15251869.999999998</v>
      </c>
      <c r="AT197" s="115">
        <f t="shared" si="7"/>
        <v>15251869.999999998</v>
      </c>
      <c r="AU197" s="115">
        <f t="shared" si="7"/>
        <v>15251869.999999998</v>
      </c>
      <c r="AV197" s="115">
        <f t="shared" si="7"/>
        <v>15251869.999999998</v>
      </c>
      <c r="AW197" s="74"/>
      <c r="AX197" s="74"/>
      <c r="AY197" s="74"/>
      <c r="AZ197" s="74"/>
      <c r="BA197" s="74"/>
      <c r="BB197" s="74"/>
      <c r="BC197" s="74"/>
      <c r="BD197" s="74"/>
      <c r="BE197" s="74">
        <f t="shared" si="5"/>
        <v>23.388009718452889</v>
      </c>
      <c r="BF197" s="74"/>
      <c r="BG197" s="74"/>
      <c r="BH197" s="74"/>
      <c r="BI197" s="74"/>
      <c r="BJ197" s="74"/>
      <c r="BK197" s="74"/>
      <c r="BL197" s="74"/>
      <c r="BQ197" s="48"/>
      <c r="BR197" s="62"/>
      <c r="BS197" s="63"/>
      <c r="BT197" s="62"/>
      <c r="BU197" s="63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</row>
    <row r="198" spans="1:85" ht="32.25" customHeight="1" x14ac:dyDescent="0.2">
      <c r="A198" s="65"/>
      <c r="B198" s="65"/>
      <c r="C198" s="65"/>
      <c r="D198" s="65"/>
      <c r="E198" s="65"/>
      <c r="F198" s="65"/>
      <c r="G198" s="204" t="s">
        <v>159</v>
      </c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77" t="s">
        <v>49</v>
      </c>
      <c r="AA198" s="77"/>
      <c r="AB198" s="77"/>
      <c r="AC198" s="77"/>
      <c r="AD198" s="77"/>
      <c r="AE198" s="65" t="s">
        <v>62</v>
      </c>
      <c r="AF198" s="65"/>
      <c r="AG198" s="65"/>
      <c r="AH198" s="65"/>
      <c r="AI198" s="65"/>
      <c r="AJ198" s="65"/>
      <c r="AK198" s="65"/>
      <c r="AL198" s="65"/>
      <c r="AM198" s="65"/>
      <c r="AN198" s="65"/>
      <c r="AO198" s="115">
        <f>17450440/(AO191*0.4295)/1000*100</f>
        <v>35.544223673150746</v>
      </c>
      <c r="AP198" s="115">
        <f t="shared" si="7"/>
        <v>15251869.999999998</v>
      </c>
      <c r="AQ198" s="115">
        <f t="shared" si="7"/>
        <v>15251869.999999998</v>
      </c>
      <c r="AR198" s="115">
        <f t="shared" si="7"/>
        <v>15251869.999999998</v>
      </c>
      <c r="AS198" s="115">
        <f t="shared" si="7"/>
        <v>15251869.999999998</v>
      </c>
      <c r="AT198" s="115">
        <f t="shared" si="7"/>
        <v>15251869.999999998</v>
      </c>
      <c r="AU198" s="115">
        <f t="shared" si="7"/>
        <v>15251869.999999998</v>
      </c>
      <c r="AV198" s="115">
        <f t="shared" si="7"/>
        <v>15251869.999999998</v>
      </c>
      <c r="AW198" s="74"/>
      <c r="AX198" s="74"/>
      <c r="AY198" s="74"/>
      <c r="AZ198" s="74"/>
      <c r="BA198" s="74"/>
      <c r="BB198" s="74"/>
      <c r="BC198" s="74"/>
      <c r="BD198" s="74"/>
      <c r="BE198" s="74">
        <f t="shared" si="5"/>
        <v>35.544223673150746</v>
      </c>
      <c r="BF198" s="74"/>
      <c r="BG198" s="74"/>
      <c r="BH198" s="74"/>
      <c r="BI198" s="74"/>
      <c r="BJ198" s="74"/>
      <c r="BK198" s="74"/>
      <c r="BL198" s="74"/>
      <c r="BQ198" s="48"/>
      <c r="BR198" s="62"/>
      <c r="BS198" s="63"/>
      <c r="BT198" s="62"/>
      <c r="BU198" s="62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</row>
    <row r="199" spans="1:85" ht="18.75" customHeight="1" x14ac:dyDescent="0.2">
      <c r="A199" s="65"/>
      <c r="B199" s="65"/>
      <c r="C199" s="65"/>
      <c r="D199" s="65"/>
      <c r="E199" s="65"/>
      <c r="F199" s="65"/>
      <c r="G199" s="118" t="s">
        <v>160</v>
      </c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77" t="s">
        <v>49</v>
      </c>
      <c r="AA199" s="77"/>
      <c r="AB199" s="77"/>
      <c r="AC199" s="77"/>
      <c r="AD199" s="77"/>
      <c r="AE199" s="65" t="s">
        <v>62</v>
      </c>
      <c r="AF199" s="65"/>
      <c r="AG199" s="65"/>
      <c r="AH199" s="65"/>
      <c r="AI199" s="65"/>
      <c r="AJ199" s="65"/>
      <c r="AK199" s="65"/>
      <c r="AL199" s="65"/>
      <c r="AM199" s="65"/>
      <c r="AN199" s="65"/>
      <c r="AO199" s="208">
        <f>3562.9/AO192/12*1000</f>
        <v>2474.2361111111113</v>
      </c>
      <c r="AP199" s="208"/>
      <c r="AQ199" s="208"/>
      <c r="AR199" s="208"/>
      <c r="AS199" s="208"/>
      <c r="AT199" s="208"/>
      <c r="AU199" s="208"/>
      <c r="AV199" s="208"/>
      <c r="AW199" s="65"/>
      <c r="AX199" s="65"/>
      <c r="AY199" s="65"/>
      <c r="AZ199" s="65"/>
      <c r="BA199" s="65"/>
      <c r="BB199" s="65"/>
      <c r="BC199" s="65"/>
      <c r="BD199" s="65"/>
      <c r="BE199" s="72">
        <f t="shared" si="5"/>
        <v>2474.2361111111113</v>
      </c>
      <c r="BF199" s="72"/>
      <c r="BG199" s="72"/>
      <c r="BH199" s="72"/>
      <c r="BI199" s="72"/>
      <c r="BJ199" s="72"/>
      <c r="BK199" s="72"/>
      <c r="BL199" s="72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</row>
    <row r="200" spans="1:85" ht="18" customHeight="1" x14ac:dyDescent="0.2">
      <c r="A200" s="65"/>
      <c r="B200" s="65"/>
      <c r="C200" s="65"/>
      <c r="D200" s="65"/>
      <c r="E200" s="65"/>
      <c r="F200" s="65"/>
      <c r="G200" s="204" t="s">
        <v>161</v>
      </c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77" t="s">
        <v>49</v>
      </c>
      <c r="AA200" s="77"/>
      <c r="AB200" s="77"/>
      <c r="AC200" s="77"/>
      <c r="AD200" s="77"/>
      <c r="AE200" s="65" t="s">
        <v>62</v>
      </c>
      <c r="AF200" s="65"/>
      <c r="AG200" s="65"/>
      <c r="AH200" s="65"/>
      <c r="AI200" s="65"/>
      <c r="AJ200" s="65"/>
      <c r="AK200" s="65"/>
      <c r="AL200" s="65"/>
      <c r="AM200" s="65"/>
      <c r="AN200" s="65"/>
      <c r="AO200" s="208">
        <f>5829.26/AO193</f>
        <v>193.56666113232609</v>
      </c>
      <c r="AP200" s="208"/>
      <c r="AQ200" s="208"/>
      <c r="AR200" s="208"/>
      <c r="AS200" s="208"/>
      <c r="AT200" s="208"/>
      <c r="AU200" s="208"/>
      <c r="AV200" s="208"/>
      <c r="AW200" s="65"/>
      <c r="AX200" s="65"/>
      <c r="AY200" s="65"/>
      <c r="AZ200" s="65"/>
      <c r="BA200" s="65"/>
      <c r="BB200" s="65"/>
      <c r="BC200" s="65"/>
      <c r="BD200" s="65"/>
      <c r="BE200" s="72">
        <f t="shared" si="5"/>
        <v>193.56666113232609</v>
      </c>
      <c r="BF200" s="72"/>
      <c r="BG200" s="72"/>
      <c r="BH200" s="72"/>
      <c r="BI200" s="72"/>
      <c r="BJ200" s="72"/>
      <c r="BK200" s="72"/>
      <c r="BL200" s="72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</row>
    <row r="201" spans="1:85" ht="33.75" customHeight="1" x14ac:dyDescent="0.2">
      <c r="A201" s="65"/>
      <c r="B201" s="65"/>
      <c r="C201" s="65"/>
      <c r="D201" s="65"/>
      <c r="E201" s="65"/>
      <c r="F201" s="65"/>
      <c r="G201" s="133" t="s">
        <v>162</v>
      </c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77" t="s">
        <v>49</v>
      </c>
      <c r="AA201" s="77"/>
      <c r="AB201" s="77"/>
      <c r="AC201" s="77"/>
      <c r="AD201" s="77"/>
      <c r="AE201" s="65" t="s">
        <v>62</v>
      </c>
      <c r="AF201" s="65"/>
      <c r="AG201" s="65"/>
      <c r="AH201" s="65"/>
      <c r="AI201" s="65"/>
      <c r="AJ201" s="65"/>
      <c r="AK201" s="65"/>
      <c r="AL201" s="65"/>
      <c r="AM201" s="65"/>
      <c r="AN201" s="65"/>
      <c r="AO201" s="208">
        <f>AO188/AO194/1000</f>
        <v>659.84823490597159</v>
      </c>
      <c r="AP201" s="208"/>
      <c r="AQ201" s="208"/>
      <c r="AR201" s="208"/>
      <c r="AS201" s="208"/>
      <c r="AT201" s="208"/>
      <c r="AU201" s="208"/>
      <c r="AV201" s="208"/>
      <c r="AW201" s="65"/>
      <c r="AX201" s="65"/>
      <c r="AY201" s="65"/>
      <c r="AZ201" s="65"/>
      <c r="BA201" s="65"/>
      <c r="BB201" s="65"/>
      <c r="BC201" s="65"/>
      <c r="BD201" s="65"/>
      <c r="BE201" s="72">
        <f t="shared" si="5"/>
        <v>659.84823490597159</v>
      </c>
      <c r="BF201" s="72"/>
      <c r="BG201" s="72"/>
      <c r="BH201" s="72"/>
      <c r="BI201" s="72"/>
      <c r="BJ201" s="72"/>
      <c r="BK201" s="72"/>
      <c r="BL201" s="72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</row>
    <row r="202" spans="1:85" ht="18" customHeight="1" x14ac:dyDescent="0.2">
      <c r="A202" s="65"/>
      <c r="B202" s="65"/>
      <c r="C202" s="65"/>
      <c r="D202" s="65"/>
      <c r="E202" s="65"/>
      <c r="F202" s="65"/>
      <c r="G202" s="176" t="s">
        <v>53</v>
      </c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111"/>
      <c r="AP202" s="111"/>
      <c r="AQ202" s="111"/>
      <c r="AR202" s="111"/>
      <c r="AS202" s="111"/>
      <c r="AT202" s="111"/>
      <c r="AU202" s="111"/>
      <c r="AV202" s="111"/>
      <c r="AW202" s="65"/>
      <c r="AX202" s="65"/>
      <c r="AY202" s="65"/>
      <c r="AZ202" s="65"/>
      <c r="BA202" s="65"/>
      <c r="BB202" s="65"/>
      <c r="BC202" s="65"/>
      <c r="BD202" s="65"/>
      <c r="BE202" s="72"/>
      <c r="BF202" s="72"/>
      <c r="BG202" s="72"/>
      <c r="BH202" s="72"/>
      <c r="BI202" s="72"/>
      <c r="BJ202" s="72"/>
      <c r="BK202" s="72"/>
      <c r="BL202" s="72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</row>
    <row r="203" spans="1:85" ht="48.75" customHeight="1" x14ac:dyDescent="0.2">
      <c r="A203" s="65"/>
      <c r="B203" s="65"/>
      <c r="C203" s="65"/>
      <c r="D203" s="65"/>
      <c r="E203" s="65"/>
      <c r="F203" s="65"/>
      <c r="G203" s="118" t="s">
        <v>163</v>
      </c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77" t="s">
        <v>54</v>
      </c>
      <c r="AA203" s="77"/>
      <c r="AB203" s="77"/>
      <c r="AC203" s="77"/>
      <c r="AD203" s="77"/>
      <c r="AE203" s="65" t="s">
        <v>62</v>
      </c>
      <c r="AF203" s="65"/>
      <c r="AG203" s="65"/>
      <c r="AH203" s="65"/>
      <c r="AI203" s="65"/>
      <c r="AJ203" s="65"/>
      <c r="AK203" s="65"/>
      <c r="AL203" s="65"/>
      <c r="AM203" s="65"/>
      <c r="AN203" s="65"/>
      <c r="AO203" s="116">
        <f>AO196/416.59*100</f>
        <v>120.74402048665758</v>
      </c>
      <c r="AP203" s="116"/>
      <c r="AQ203" s="116"/>
      <c r="AR203" s="116"/>
      <c r="AS203" s="116"/>
      <c r="AT203" s="116"/>
      <c r="AU203" s="116"/>
      <c r="AV203" s="116"/>
      <c r="AW203" s="65"/>
      <c r="AX203" s="65"/>
      <c r="AY203" s="65"/>
      <c r="AZ203" s="65"/>
      <c r="BA203" s="65"/>
      <c r="BB203" s="65"/>
      <c r="BC203" s="65"/>
      <c r="BD203" s="65"/>
      <c r="BE203" s="72">
        <f t="shared" si="5"/>
        <v>120.74402048665758</v>
      </c>
      <c r="BF203" s="72"/>
      <c r="BG203" s="72"/>
      <c r="BH203" s="72"/>
      <c r="BI203" s="72"/>
      <c r="BJ203" s="72"/>
      <c r="BK203" s="72"/>
      <c r="BL203" s="72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</row>
    <row r="204" spans="1:85" ht="48.75" customHeight="1" x14ac:dyDescent="0.2">
      <c r="A204" s="65"/>
      <c r="B204" s="65"/>
      <c r="C204" s="65"/>
      <c r="D204" s="65"/>
      <c r="E204" s="65"/>
      <c r="F204" s="65"/>
      <c r="G204" s="118" t="s">
        <v>252</v>
      </c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77" t="s">
        <v>54</v>
      </c>
      <c r="AA204" s="77"/>
      <c r="AB204" s="77"/>
      <c r="AC204" s="77"/>
      <c r="AD204" s="77"/>
      <c r="AE204" s="65" t="s">
        <v>62</v>
      </c>
      <c r="AF204" s="65"/>
      <c r="AG204" s="65"/>
      <c r="AH204" s="65"/>
      <c r="AI204" s="65"/>
      <c r="AJ204" s="65"/>
      <c r="AK204" s="65"/>
      <c r="AL204" s="65"/>
      <c r="AM204" s="65"/>
      <c r="AN204" s="65"/>
      <c r="AO204" s="116">
        <f>AO197/16.32*100</f>
        <v>143.30888307875546</v>
      </c>
      <c r="AP204" s="116"/>
      <c r="AQ204" s="116"/>
      <c r="AR204" s="116"/>
      <c r="AS204" s="116"/>
      <c r="AT204" s="116"/>
      <c r="AU204" s="116"/>
      <c r="AV204" s="116"/>
      <c r="AW204" s="65"/>
      <c r="AX204" s="65"/>
      <c r="AY204" s="65"/>
      <c r="AZ204" s="65"/>
      <c r="BA204" s="65"/>
      <c r="BB204" s="65"/>
      <c r="BC204" s="65"/>
      <c r="BD204" s="65"/>
      <c r="BE204" s="72">
        <f t="shared" si="5"/>
        <v>143.30888307875546</v>
      </c>
      <c r="BF204" s="72"/>
      <c r="BG204" s="72"/>
      <c r="BH204" s="72"/>
      <c r="BI204" s="72"/>
      <c r="BJ204" s="72"/>
      <c r="BK204" s="72"/>
      <c r="BL204" s="72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</row>
    <row r="205" spans="1:85" ht="49.5" customHeight="1" x14ac:dyDescent="0.2">
      <c r="A205" s="65"/>
      <c r="B205" s="65"/>
      <c r="C205" s="65"/>
      <c r="D205" s="65"/>
      <c r="E205" s="65"/>
      <c r="F205" s="65"/>
      <c r="G205" s="118" t="s">
        <v>293</v>
      </c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77" t="s">
        <v>54</v>
      </c>
      <c r="AA205" s="77"/>
      <c r="AB205" s="77"/>
      <c r="AC205" s="77"/>
      <c r="AD205" s="77"/>
      <c r="AE205" s="65" t="s">
        <v>62</v>
      </c>
      <c r="AF205" s="65"/>
      <c r="AG205" s="65"/>
      <c r="AH205" s="65"/>
      <c r="AI205" s="65"/>
      <c r="AJ205" s="65"/>
      <c r="AK205" s="65"/>
      <c r="AL205" s="65"/>
      <c r="AM205" s="65"/>
      <c r="AN205" s="65"/>
      <c r="AO205" s="191">
        <f>AO198/17.89*100</f>
        <v>198.68207754695777</v>
      </c>
      <c r="AP205" s="191"/>
      <c r="AQ205" s="191"/>
      <c r="AR205" s="191"/>
      <c r="AS205" s="191"/>
      <c r="AT205" s="191"/>
      <c r="AU205" s="191"/>
      <c r="AV205" s="191"/>
      <c r="AW205" s="65"/>
      <c r="AX205" s="65"/>
      <c r="AY205" s="65"/>
      <c r="AZ205" s="65"/>
      <c r="BA205" s="65"/>
      <c r="BB205" s="65"/>
      <c r="BC205" s="65"/>
      <c r="BD205" s="65"/>
      <c r="BE205" s="72">
        <f t="shared" si="5"/>
        <v>198.68207754695777</v>
      </c>
      <c r="BF205" s="72"/>
      <c r="BG205" s="72"/>
      <c r="BH205" s="72"/>
      <c r="BI205" s="72"/>
      <c r="BJ205" s="72"/>
      <c r="BK205" s="72"/>
      <c r="BL205" s="72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</row>
    <row r="206" spans="1:85" ht="33.75" customHeight="1" x14ac:dyDescent="0.2">
      <c r="A206" s="65"/>
      <c r="B206" s="65"/>
      <c r="C206" s="65"/>
      <c r="D206" s="65"/>
      <c r="E206" s="65"/>
      <c r="F206" s="65"/>
      <c r="G206" s="118" t="s">
        <v>248</v>
      </c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77" t="s">
        <v>54</v>
      </c>
      <c r="AA206" s="77"/>
      <c r="AB206" s="77"/>
      <c r="AC206" s="77"/>
      <c r="AD206" s="77"/>
      <c r="AE206" s="65" t="s">
        <v>62</v>
      </c>
      <c r="AF206" s="65"/>
      <c r="AG206" s="65"/>
      <c r="AH206" s="65"/>
      <c r="AI206" s="65"/>
      <c r="AJ206" s="65"/>
      <c r="AK206" s="65"/>
      <c r="AL206" s="65"/>
      <c r="AM206" s="65"/>
      <c r="AN206" s="65"/>
      <c r="AO206" s="191">
        <f>AO199/2993.08*100</f>
        <v>82.66521814021381</v>
      </c>
      <c r="AP206" s="191"/>
      <c r="AQ206" s="191"/>
      <c r="AR206" s="191"/>
      <c r="AS206" s="191"/>
      <c r="AT206" s="191"/>
      <c r="AU206" s="191"/>
      <c r="AV206" s="191"/>
      <c r="AW206" s="65"/>
      <c r="AX206" s="65"/>
      <c r="AY206" s="65"/>
      <c r="AZ206" s="65"/>
      <c r="BA206" s="65"/>
      <c r="BB206" s="65"/>
      <c r="BC206" s="65"/>
      <c r="BD206" s="65"/>
      <c r="BE206" s="72">
        <f t="shared" si="5"/>
        <v>82.66521814021381</v>
      </c>
      <c r="BF206" s="72"/>
      <c r="BG206" s="72"/>
      <c r="BH206" s="72"/>
      <c r="BI206" s="72"/>
      <c r="BJ206" s="72"/>
      <c r="BK206" s="72"/>
      <c r="BL206" s="72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</row>
    <row r="207" spans="1:85" ht="33" customHeight="1" x14ac:dyDescent="0.2">
      <c r="A207" s="65"/>
      <c r="B207" s="65"/>
      <c r="C207" s="65"/>
      <c r="D207" s="65"/>
      <c r="E207" s="65"/>
      <c r="F207" s="65"/>
      <c r="G207" s="118" t="s">
        <v>164</v>
      </c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77" t="s">
        <v>54</v>
      </c>
      <c r="AA207" s="77"/>
      <c r="AB207" s="77"/>
      <c r="AC207" s="77"/>
      <c r="AD207" s="77"/>
      <c r="AE207" s="65" t="s">
        <v>62</v>
      </c>
      <c r="AF207" s="65"/>
      <c r="AG207" s="65"/>
      <c r="AH207" s="65"/>
      <c r="AI207" s="65"/>
      <c r="AJ207" s="65"/>
      <c r="AK207" s="65"/>
      <c r="AL207" s="65"/>
      <c r="AM207" s="65"/>
      <c r="AN207" s="65"/>
      <c r="AO207" s="116">
        <f>AO200/150.21*100</f>
        <v>128.86403111132822</v>
      </c>
      <c r="AP207" s="116"/>
      <c r="AQ207" s="116"/>
      <c r="AR207" s="116"/>
      <c r="AS207" s="116"/>
      <c r="AT207" s="116"/>
      <c r="AU207" s="116"/>
      <c r="AV207" s="116"/>
      <c r="AW207" s="65"/>
      <c r="AX207" s="65"/>
      <c r="AY207" s="65"/>
      <c r="AZ207" s="65"/>
      <c r="BA207" s="65"/>
      <c r="BB207" s="65"/>
      <c r="BC207" s="65"/>
      <c r="BD207" s="65"/>
      <c r="BE207" s="72">
        <f t="shared" si="5"/>
        <v>128.86403111132822</v>
      </c>
      <c r="BF207" s="72"/>
      <c r="BG207" s="72"/>
      <c r="BH207" s="72"/>
      <c r="BI207" s="72"/>
      <c r="BJ207" s="72"/>
      <c r="BK207" s="72"/>
      <c r="BL207" s="72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</row>
    <row r="208" spans="1:85" ht="51" customHeight="1" x14ac:dyDescent="0.2">
      <c r="A208" s="65"/>
      <c r="B208" s="65"/>
      <c r="C208" s="65"/>
      <c r="D208" s="65"/>
      <c r="E208" s="65"/>
      <c r="F208" s="65"/>
      <c r="G208" s="118" t="s">
        <v>253</v>
      </c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77" t="s">
        <v>54</v>
      </c>
      <c r="AA208" s="77"/>
      <c r="AB208" s="77"/>
      <c r="AC208" s="77"/>
      <c r="AD208" s="77"/>
      <c r="AE208" s="65" t="s">
        <v>62</v>
      </c>
      <c r="AF208" s="65"/>
      <c r="AG208" s="65"/>
      <c r="AH208" s="65"/>
      <c r="AI208" s="65"/>
      <c r="AJ208" s="65"/>
      <c r="AK208" s="65"/>
      <c r="AL208" s="65"/>
      <c r="AM208" s="65"/>
      <c r="AN208" s="65"/>
      <c r="AO208" s="116">
        <f>AO194/5.723*100</f>
        <v>105.92346671326229</v>
      </c>
      <c r="AP208" s="116"/>
      <c r="AQ208" s="116"/>
      <c r="AR208" s="116"/>
      <c r="AS208" s="116"/>
      <c r="AT208" s="116"/>
      <c r="AU208" s="116"/>
      <c r="AV208" s="116"/>
      <c r="AW208" s="65"/>
      <c r="AX208" s="65"/>
      <c r="AY208" s="65"/>
      <c r="AZ208" s="65"/>
      <c r="BA208" s="65"/>
      <c r="BB208" s="65"/>
      <c r="BC208" s="65"/>
      <c r="BD208" s="65"/>
      <c r="BE208" s="72">
        <f t="shared" si="5"/>
        <v>105.92346671326229</v>
      </c>
      <c r="BF208" s="72"/>
      <c r="BG208" s="72"/>
      <c r="BH208" s="72"/>
      <c r="BI208" s="72"/>
      <c r="BJ208" s="72"/>
      <c r="BK208" s="72"/>
      <c r="BL208" s="72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</row>
    <row r="209" spans="1:85" ht="16.5" customHeight="1" x14ac:dyDescent="0.2">
      <c r="A209" s="31"/>
      <c r="B209" s="31"/>
      <c r="C209" s="31"/>
      <c r="D209" s="31"/>
      <c r="E209" s="31"/>
      <c r="F209" s="31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0"/>
      <c r="AA209" s="50"/>
      <c r="AB209" s="50"/>
      <c r="AC209" s="50"/>
      <c r="AD209" s="50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55"/>
      <c r="AP209" s="55"/>
      <c r="AQ209" s="55"/>
      <c r="AR209" s="55"/>
      <c r="AS209" s="55"/>
      <c r="AT209" s="55"/>
      <c r="AU209" s="55"/>
      <c r="AV209" s="55"/>
      <c r="AW209" s="31"/>
      <c r="AX209" s="31"/>
      <c r="AY209" s="31"/>
      <c r="AZ209" s="31"/>
      <c r="BA209" s="31"/>
      <c r="BB209" s="31"/>
      <c r="BC209" s="31"/>
      <c r="BD209" s="31"/>
      <c r="BE209" s="51"/>
      <c r="BF209" s="51"/>
      <c r="BG209" s="51"/>
      <c r="BH209" s="51"/>
      <c r="BI209" s="51"/>
      <c r="BJ209" s="51"/>
      <c r="BK209" s="51"/>
      <c r="BL209" s="51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</row>
    <row r="210" spans="1:85" ht="33" customHeight="1" x14ac:dyDescent="0.2">
      <c r="A210" s="65" t="s">
        <v>15</v>
      </c>
      <c r="B210" s="65"/>
      <c r="C210" s="65"/>
      <c r="D210" s="65"/>
      <c r="E210" s="65"/>
      <c r="F210" s="65"/>
      <c r="G210" s="65" t="s">
        <v>28</v>
      </c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 t="s">
        <v>2</v>
      </c>
      <c r="AA210" s="65"/>
      <c r="AB210" s="65"/>
      <c r="AC210" s="65"/>
      <c r="AD210" s="65"/>
      <c r="AE210" s="65" t="s">
        <v>1</v>
      </c>
      <c r="AF210" s="65"/>
      <c r="AG210" s="65"/>
      <c r="AH210" s="65"/>
      <c r="AI210" s="65"/>
      <c r="AJ210" s="65"/>
      <c r="AK210" s="65"/>
      <c r="AL210" s="65"/>
      <c r="AM210" s="65"/>
      <c r="AN210" s="65"/>
      <c r="AO210" s="65" t="s">
        <v>16</v>
      </c>
      <c r="AP210" s="65"/>
      <c r="AQ210" s="65"/>
      <c r="AR210" s="65"/>
      <c r="AS210" s="65"/>
      <c r="AT210" s="65"/>
      <c r="AU210" s="65"/>
      <c r="AV210" s="65"/>
      <c r="AW210" s="65" t="s">
        <v>17</v>
      </c>
      <c r="AX210" s="65"/>
      <c r="AY210" s="65"/>
      <c r="AZ210" s="65"/>
      <c r="BA210" s="65"/>
      <c r="BB210" s="65"/>
      <c r="BC210" s="65"/>
      <c r="BD210" s="65"/>
      <c r="BE210" s="65" t="s">
        <v>14</v>
      </c>
      <c r="BF210" s="65"/>
      <c r="BG210" s="65"/>
      <c r="BH210" s="65"/>
      <c r="BI210" s="65"/>
      <c r="BJ210" s="65"/>
      <c r="BK210" s="65"/>
      <c r="BL210" s="65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</row>
    <row r="211" spans="1:85" ht="15.75" x14ac:dyDescent="0.2">
      <c r="A211" s="65">
        <v>1</v>
      </c>
      <c r="B211" s="65"/>
      <c r="C211" s="65"/>
      <c r="D211" s="65"/>
      <c r="E211" s="65"/>
      <c r="F211" s="65"/>
      <c r="G211" s="65">
        <v>2</v>
      </c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>
        <v>3</v>
      </c>
      <c r="AA211" s="65"/>
      <c r="AB211" s="65"/>
      <c r="AC211" s="65"/>
      <c r="AD211" s="65"/>
      <c r="AE211" s="65">
        <v>4</v>
      </c>
      <c r="AF211" s="65"/>
      <c r="AG211" s="65"/>
      <c r="AH211" s="65"/>
      <c r="AI211" s="65"/>
      <c r="AJ211" s="65"/>
      <c r="AK211" s="65"/>
      <c r="AL211" s="65"/>
      <c r="AM211" s="65"/>
      <c r="AN211" s="65"/>
      <c r="AO211" s="65">
        <v>5</v>
      </c>
      <c r="AP211" s="65"/>
      <c r="AQ211" s="65"/>
      <c r="AR211" s="65"/>
      <c r="AS211" s="65"/>
      <c r="AT211" s="65"/>
      <c r="AU211" s="65"/>
      <c r="AV211" s="65"/>
      <c r="AW211" s="65">
        <v>6</v>
      </c>
      <c r="AX211" s="65"/>
      <c r="AY211" s="65"/>
      <c r="AZ211" s="65"/>
      <c r="BA211" s="65"/>
      <c r="BB211" s="65"/>
      <c r="BC211" s="65"/>
      <c r="BD211" s="65"/>
      <c r="BE211" s="65">
        <v>7</v>
      </c>
      <c r="BF211" s="65"/>
      <c r="BG211" s="65"/>
      <c r="BH211" s="65"/>
      <c r="BI211" s="65"/>
      <c r="BJ211" s="65"/>
      <c r="BK211" s="65"/>
      <c r="BL211" s="65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</row>
    <row r="212" spans="1:85" ht="21" customHeight="1" x14ac:dyDescent="0.2">
      <c r="A212" s="65"/>
      <c r="B212" s="65"/>
      <c r="C212" s="65"/>
      <c r="D212" s="65"/>
      <c r="E212" s="65"/>
      <c r="F212" s="65"/>
      <c r="G212" s="90" t="s">
        <v>79</v>
      </c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2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</row>
    <row r="213" spans="1:85" ht="18" customHeight="1" x14ac:dyDescent="0.2">
      <c r="A213" s="65"/>
      <c r="B213" s="65"/>
      <c r="C213" s="65"/>
      <c r="D213" s="65"/>
      <c r="E213" s="65"/>
      <c r="F213" s="65"/>
      <c r="G213" s="93" t="s">
        <v>48</v>
      </c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</row>
    <row r="214" spans="1:85" ht="49.5" customHeight="1" x14ac:dyDescent="0.2">
      <c r="A214" s="65"/>
      <c r="B214" s="65"/>
      <c r="C214" s="65"/>
      <c r="D214" s="65"/>
      <c r="E214" s="65"/>
      <c r="F214" s="65"/>
      <c r="G214" s="78" t="s">
        <v>169</v>
      </c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7" t="s">
        <v>49</v>
      </c>
      <c r="AA214" s="77"/>
      <c r="AB214" s="77"/>
      <c r="AC214" s="77"/>
      <c r="AD214" s="77"/>
      <c r="AE214" s="77" t="s">
        <v>61</v>
      </c>
      <c r="AF214" s="77"/>
      <c r="AG214" s="77"/>
      <c r="AH214" s="77"/>
      <c r="AI214" s="77"/>
      <c r="AJ214" s="77"/>
      <c r="AK214" s="77"/>
      <c r="AL214" s="77"/>
      <c r="AM214" s="77"/>
      <c r="AN214" s="77"/>
      <c r="AO214" s="115">
        <v>50000</v>
      </c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74">
        <f>AO214+AW214</f>
        <v>50000</v>
      </c>
      <c r="BF214" s="74"/>
      <c r="BG214" s="74"/>
      <c r="BH214" s="74"/>
      <c r="BI214" s="74"/>
      <c r="BJ214" s="74"/>
      <c r="BK214" s="74"/>
      <c r="BL214" s="74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</row>
    <row r="215" spans="1:85" ht="18" customHeight="1" x14ac:dyDescent="0.2">
      <c r="A215" s="65"/>
      <c r="B215" s="65"/>
      <c r="C215" s="65"/>
      <c r="D215" s="65"/>
      <c r="E215" s="65"/>
      <c r="F215" s="65"/>
      <c r="G215" s="83" t="s">
        <v>51</v>
      </c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1"/>
      <c r="AZ215" s="111"/>
      <c r="BA215" s="111"/>
      <c r="BB215" s="111"/>
      <c r="BC215" s="111"/>
      <c r="BD215" s="111"/>
      <c r="BE215" s="72"/>
      <c r="BF215" s="72"/>
      <c r="BG215" s="72"/>
      <c r="BH215" s="72"/>
      <c r="BI215" s="72"/>
      <c r="BJ215" s="72"/>
      <c r="BK215" s="72"/>
      <c r="BL215" s="72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</row>
    <row r="216" spans="1:85" ht="32.25" customHeight="1" x14ac:dyDescent="0.2">
      <c r="A216" s="65"/>
      <c r="B216" s="65"/>
      <c r="C216" s="65"/>
      <c r="D216" s="65"/>
      <c r="E216" s="65"/>
      <c r="F216" s="65"/>
      <c r="G216" s="113" t="s">
        <v>170</v>
      </c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65" t="s">
        <v>172</v>
      </c>
      <c r="AA216" s="65"/>
      <c r="AB216" s="65"/>
      <c r="AC216" s="65"/>
      <c r="AD216" s="65"/>
      <c r="AE216" s="77" t="s">
        <v>62</v>
      </c>
      <c r="AF216" s="77"/>
      <c r="AG216" s="77"/>
      <c r="AH216" s="77"/>
      <c r="AI216" s="77"/>
      <c r="AJ216" s="77"/>
      <c r="AK216" s="77"/>
      <c r="AL216" s="77"/>
      <c r="AM216" s="77"/>
      <c r="AN216" s="77"/>
      <c r="AO216" s="112">
        <f>AO214/AO218/1000</f>
        <v>5.0505050505050502</v>
      </c>
      <c r="AP216" s="112"/>
      <c r="AQ216" s="112"/>
      <c r="AR216" s="112"/>
      <c r="AS216" s="112"/>
      <c r="AT216" s="112"/>
      <c r="AU216" s="112"/>
      <c r="AV216" s="112"/>
      <c r="AW216" s="111"/>
      <c r="AX216" s="111"/>
      <c r="AY216" s="111"/>
      <c r="AZ216" s="111"/>
      <c r="BA216" s="111"/>
      <c r="BB216" s="111"/>
      <c r="BC216" s="111"/>
      <c r="BD216" s="111"/>
      <c r="BE216" s="73">
        <f>AO216+AW216</f>
        <v>5.0505050505050502</v>
      </c>
      <c r="BF216" s="73"/>
      <c r="BG216" s="73"/>
      <c r="BH216" s="73"/>
      <c r="BI216" s="73"/>
      <c r="BJ216" s="73"/>
      <c r="BK216" s="73"/>
      <c r="BL216" s="73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</row>
    <row r="217" spans="1:85" ht="18" customHeight="1" x14ac:dyDescent="0.2">
      <c r="A217" s="65"/>
      <c r="B217" s="65"/>
      <c r="C217" s="65"/>
      <c r="D217" s="65"/>
      <c r="E217" s="65"/>
      <c r="F217" s="65"/>
      <c r="G217" s="114" t="s">
        <v>52</v>
      </c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65"/>
      <c r="AA217" s="65"/>
      <c r="AB217" s="65"/>
      <c r="AC217" s="65"/>
      <c r="AD217" s="65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  <c r="BC217" s="111"/>
      <c r="BD217" s="111"/>
      <c r="BE217" s="72"/>
      <c r="BF217" s="72"/>
      <c r="BG217" s="72"/>
      <c r="BH217" s="72"/>
      <c r="BI217" s="72"/>
      <c r="BJ217" s="72"/>
      <c r="BK217" s="72"/>
      <c r="BL217" s="72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</row>
    <row r="218" spans="1:85" ht="33.75" customHeight="1" x14ac:dyDescent="0.2">
      <c r="A218" s="65"/>
      <c r="B218" s="65"/>
      <c r="C218" s="65"/>
      <c r="D218" s="65"/>
      <c r="E218" s="65"/>
      <c r="F218" s="65"/>
      <c r="G218" s="113" t="s">
        <v>171</v>
      </c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77" t="s">
        <v>49</v>
      </c>
      <c r="AA218" s="77"/>
      <c r="AB218" s="77"/>
      <c r="AC218" s="77"/>
      <c r="AD218" s="77"/>
      <c r="AE218" s="77" t="s">
        <v>224</v>
      </c>
      <c r="AF218" s="77"/>
      <c r="AG218" s="77"/>
      <c r="AH218" s="77"/>
      <c r="AI218" s="77"/>
      <c r="AJ218" s="77"/>
      <c r="AK218" s="77"/>
      <c r="AL218" s="77"/>
      <c r="AM218" s="77"/>
      <c r="AN218" s="77"/>
      <c r="AO218" s="111">
        <v>9.9</v>
      </c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1"/>
      <c r="AZ218" s="111"/>
      <c r="BA218" s="111"/>
      <c r="BB218" s="111"/>
      <c r="BC218" s="111"/>
      <c r="BD218" s="111"/>
      <c r="BE218" s="72">
        <f>AO218+AW218</f>
        <v>9.9</v>
      </c>
      <c r="BF218" s="72"/>
      <c r="BG218" s="72"/>
      <c r="BH218" s="72"/>
      <c r="BI218" s="72"/>
      <c r="BJ218" s="72"/>
      <c r="BK218" s="72"/>
      <c r="BL218" s="72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</row>
    <row r="219" spans="1:85" ht="18" customHeight="1" x14ac:dyDescent="0.2">
      <c r="A219" s="65"/>
      <c r="B219" s="65"/>
      <c r="C219" s="65"/>
      <c r="D219" s="65"/>
      <c r="E219" s="65"/>
      <c r="F219" s="65"/>
      <c r="G219" s="114" t="s">
        <v>53</v>
      </c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/>
      <c r="AY219" s="111"/>
      <c r="AZ219" s="111"/>
      <c r="BA219" s="111"/>
      <c r="BB219" s="111"/>
      <c r="BC219" s="111"/>
      <c r="BD219" s="111"/>
      <c r="BE219" s="72"/>
      <c r="BF219" s="72"/>
      <c r="BG219" s="72"/>
      <c r="BH219" s="72"/>
      <c r="BI219" s="72"/>
      <c r="BJ219" s="72"/>
      <c r="BK219" s="72"/>
      <c r="BL219" s="72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</row>
    <row r="220" spans="1:85" ht="52.5" customHeight="1" x14ac:dyDescent="0.2">
      <c r="A220" s="65"/>
      <c r="B220" s="65"/>
      <c r="C220" s="65"/>
      <c r="D220" s="65"/>
      <c r="E220" s="65"/>
      <c r="F220" s="65"/>
      <c r="G220" s="113" t="s">
        <v>173</v>
      </c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77" t="s">
        <v>54</v>
      </c>
      <c r="AA220" s="77"/>
      <c r="AB220" s="77"/>
      <c r="AC220" s="77"/>
      <c r="AD220" s="77"/>
      <c r="AE220" s="65" t="s">
        <v>62</v>
      </c>
      <c r="AF220" s="65"/>
      <c r="AG220" s="65"/>
      <c r="AH220" s="65"/>
      <c r="AI220" s="65"/>
      <c r="AJ220" s="65"/>
      <c r="AK220" s="65"/>
      <c r="AL220" s="65"/>
      <c r="AM220" s="65"/>
      <c r="AN220" s="65"/>
      <c r="AO220" s="116">
        <f>AO218/8.85*100</f>
        <v>111.86440677966102</v>
      </c>
      <c r="AP220" s="116"/>
      <c r="AQ220" s="116"/>
      <c r="AR220" s="116"/>
      <c r="AS220" s="116"/>
      <c r="AT220" s="116"/>
      <c r="AU220" s="116"/>
      <c r="AV220" s="116"/>
      <c r="AW220" s="111"/>
      <c r="AX220" s="111"/>
      <c r="AY220" s="111"/>
      <c r="AZ220" s="111"/>
      <c r="BA220" s="111"/>
      <c r="BB220" s="111"/>
      <c r="BC220" s="111"/>
      <c r="BD220" s="111"/>
      <c r="BE220" s="72">
        <f>AO220+AW220</f>
        <v>111.86440677966102</v>
      </c>
      <c r="BF220" s="72"/>
      <c r="BG220" s="72"/>
      <c r="BH220" s="72"/>
      <c r="BI220" s="72"/>
      <c r="BJ220" s="72"/>
      <c r="BK220" s="72"/>
      <c r="BL220" s="72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</row>
    <row r="221" spans="1:85" ht="4.5" customHeight="1" x14ac:dyDescent="0.2">
      <c r="A221" s="31"/>
      <c r="B221" s="31"/>
      <c r="C221" s="31"/>
      <c r="D221" s="31"/>
      <c r="E221" s="31"/>
      <c r="F221" s="31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0"/>
      <c r="AA221" s="50"/>
      <c r="AB221" s="50"/>
      <c r="AC221" s="50"/>
      <c r="AD221" s="50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55"/>
      <c r="AP221" s="55"/>
      <c r="AQ221" s="55"/>
      <c r="AR221" s="55"/>
      <c r="AS221" s="55"/>
      <c r="AT221" s="55"/>
      <c r="AU221" s="55"/>
      <c r="AV221" s="55"/>
      <c r="AW221" s="57"/>
      <c r="AX221" s="57"/>
      <c r="AY221" s="57"/>
      <c r="AZ221" s="57"/>
      <c r="BA221" s="57"/>
      <c r="BB221" s="57"/>
      <c r="BC221" s="57"/>
      <c r="BD221" s="57"/>
      <c r="BE221" s="51"/>
      <c r="BF221" s="51"/>
      <c r="BG221" s="51"/>
      <c r="BH221" s="51"/>
      <c r="BI221" s="51"/>
      <c r="BJ221" s="51"/>
      <c r="BK221" s="51"/>
      <c r="BL221" s="51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</row>
    <row r="222" spans="1:85" ht="33" customHeight="1" x14ac:dyDescent="0.2">
      <c r="A222" s="65" t="s">
        <v>15</v>
      </c>
      <c r="B222" s="65"/>
      <c r="C222" s="65"/>
      <c r="D222" s="65"/>
      <c r="E222" s="65"/>
      <c r="F222" s="65"/>
      <c r="G222" s="65" t="s">
        <v>28</v>
      </c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 t="s">
        <v>2</v>
      </c>
      <c r="AA222" s="65"/>
      <c r="AB222" s="65"/>
      <c r="AC222" s="65"/>
      <c r="AD222" s="65"/>
      <c r="AE222" s="65" t="s">
        <v>1</v>
      </c>
      <c r="AF222" s="65"/>
      <c r="AG222" s="65"/>
      <c r="AH222" s="65"/>
      <c r="AI222" s="65"/>
      <c r="AJ222" s="65"/>
      <c r="AK222" s="65"/>
      <c r="AL222" s="65"/>
      <c r="AM222" s="65"/>
      <c r="AN222" s="65"/>
      <c r="AO222" s="65" t="s">
        <v>16</v>
      </c>
      <c r="AP222" s="65"/>
      <c r="AQ222" s="65"/>
      <c r="AR222" s="65"/>
      <c r="AS222" s="65"/>
      <c r="AT222" s="65"/>
      <c r="AU222" s="65"/>
      <c r="AV222" s="65"/>
      <c r="AW222" s="65" t="s">
        <v>17</v>
      </c>
      <c r="AX222" s="65"/>
      <c r="AY222" s="65"/>
      <c r="AZ222" s="65"/>
      <c r="BA222" s="65"/>
      <c r="BB222" s="65"/>
      <c r="BC222" s="65"/>
      <c r="BD222" s="65"/>
      <c r="BE222" s="65" t="s">
        <v>14</v>
      </c>
      <c r="BF222" s="65"/>
      <c r="BG222" s="65"/>
      <c r="BH222" s="65"/>
      <c r="BI222" s="65"/>
      <c r="BJ222" s="65"/>
      <c r="BK222" s="65"/>
      <c r="BL222" s="65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</row>
    <row r="223" spans="1:85" ht="15.75" x14ac:dyDescent="0.2">
      <c r="A223" s="65">
        <v>1</v>
      </c>
      <c r="B223" s="65"/>
      <c r="C223" s="65"/>
      <c r="D223" s="65"/>
      <c r="E223" s="65"/>
      <c r="F223" s="65"/>
      <c r="G223" s="65">
        <v>2</v>
      </c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>
        <v>3</v>
      </c>
      <c r="AA223" s="65"/>
      <c r="AB223" s="65"/>
      <c r="AC223" s="65"/>
      <c r="AD223" s="65"/>
      <c r="AE223" s="65">
        <v>4</v>
      </c>
      <c r="AF223" s="65"/>
      <c r="AG223" s="65"/>
      <c r="AH223" s="65"/>
      <c r="AI223" s="65"/>
      <c r="AJ223" s="65"/>
      <c r="AK223" s="65"/>
      <c r="AL223" s="65"/>
      <c r="AM223" s="65"/>
      <c r="AN223" s="65"/>
      <c r="AO223" s="65">
        <v>5</v>
      </c>
      <c r="AP223" s="65"/>
      <c r="AQ223" s="65"/>
      <c r="AR223" s="65"/>
      <c r="AS223" s="65"/>
      <c r="AT223" s="65"/>
      <c r="AU223" s="65"/>
      <c r="AV223" s="65"/>
      <c r="AW223" s="65">
        <v>6</v>
      </c>
      <c r="AX223" s="65"/>
      <c r="AY223" s="65"/>
      <c r="AZ223" s="65"/>
      <c r="BA223" s="65"/>
      <c r="BB223" s="65"/>
      <c r="BC223" s="65"/>
      <c r="BD223" s="65"/>
      <c r="BE223" s="65">
        <v>7</v>
      </c>
      <c r="BF223" s="65"/>
      <c r="BG223" s="65"/>
      <c r="BH223" s="65"/>
      <c r="BI223" s="65"/>
      <c r="BJ223" s="65"/>
      <c r="BK223" s="65"/>
      <c r="BL223" s="65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</row>
    <row r="224" spans="1:85" ht="18" customHeight="1" x14ac:dyDescent="0.2">
      <c r="A224" s="65"/>
      <c r="B224" s="65"/>
      <c r="C224" s="65"/>
      <c r="D224" s="65"/>
      <c r="E224" s="65"/>
      <c r="F224" s="65"/>
      <c r="G224" s="95" t="s">
        <v>80</v>
      </c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</row>
    <row r="225" spans="1:85" ht="18" customHeight="1" x14ac:dyDescent="0.2">
      <c r="A225" s="65"/>
      <c r="B225" s="65"/>
      <c r="C225" s="65"/>
      <c r="D225" s="65"/>
      <c r="E225" s="65"/>
      <c r="F225" s="65"/>
      <c r="G225" s="83" t="s">
        <v>48</v>
      </c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</row>
    <row r="226" spans="1:85" ht="18" customHeight="1" x14ac:dyDescent="0.2">
      <c r="A226" s="65"/>
      <c r="B226" s="65"/>
      <c r="C226" s="65"/>
      <c r="D226" s="65"/>
      <c r="E226" s="65"/>
      <c r="F226" s="65"/>
      <c r="G226" s="78" t="s">
        <v>96</v>
      </c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7" t="s">
        <v>49</v>
      </c>
      <c r="AA226" s="77"/>
      <c r="AB226" s="77"/>
      <c r="AC226" s="77"/>
      <c r="AD226" s="77"/>
      <c r="AE226" s="77" t="s">
        <v>61</v>
      </c>
      <c r="AF226" s="77"/>
      <c r="AG226" s="77"/>
      <c r="AH226" s="77"/>
      <c r="AI226" s="77"/>
      <c r="AJ226" s="77"/>
      <c r="AK226" s="77"/>
      <c r="AL226" s="77"/>
      <c r="AM226" s="77"/>
      <c r="AN226" s="77"/>
      <c r="AO226" s="69">
        <f>SUM(AO227:AV243)</f>
        <v>5895000</v>
      </c>
      <c r="AP226" s="69"/>
      <c r="AQ226" s="69"/>
      <c r="AR226" s="69"/>
      <c r="AS226" s="69"/>
      <c r="AT226" s="69"/>
      <c r="AU226" s="69"/>
      <c r="AV226" s="69"/>
      <c r="AW226" s="74"/>
      <c r="AX226" s="74"/>
      <c r="AY226" s="74"/>
      <c r="AZ226" s="74"/>
      <c r="BA226" s="74"/>
      <c r="BB226" s="74"/>
      <c r="BC226" s="74"/>
      <c r="BD226" s="74"/>
      <c r="BE226" s="74">
        <f>AO226+AW226</f>
        <v>5895000</v>
      </c>
      <c r="BF226" s="74"/>
      <c r="BG226" s="74"/>
      <c r="BH226" s="74"/>
      <c r="BI226" s="74"/>
      <c r="BJ226" s="74"/>
      <c r="BK226" s="74"/>
      <c r="BL226" s="74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</row>
    <row r="227" spans="1:85" ht="18" customHeight="1" x14ac:dyDescent="0.2">
      <c r="A227" s="65"/>
      <c r="B227" s="65"/>
      <c r="C227" s="65"/>
      <c r="D227" s="65"/>
      <c r="E227" s="65"/>
      <c r="F227" s="65"/>
      <c r="G227" s="68" t="s">
        <v>174</v>
      </c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77" t="s">
        <v>49</v>
      </c>
      <c r="AA227" s="77"/>
      <c r="AB227" s="77"/>
      <c r="AC227" s="77"/>
      <c r="AD227" s="77"/>
      <c r="AE227" s="77" t="s">
        <v>113</v>
      </c>
      <c r="AF227" s="77"/>
      <c r="AG227" s="77"/>
      <c r="AH227" s="77"/>
      <c r="AI227" s="77"/>
      <c r="AJ227" s="77"/>
      <c r="AK227" s="77"/>
      <c r="AL227" s="77"/>
      <c r="AM227" s="77"/>
      <c r="AN227" s="77"/>
      <c r="AO227" s="69">
        <v>152000</v>
      </c>
      <c r="AP227" s="69"/>
      <c r="AQ227" s="69"/>
      <c r="AR227" s="69"/>
      <c r="AS227" s="69"/>
      <c r="AT227" s="69"/>
      <c r="AU227" s="69"/>
      <c r="AV227" s="69"/>
      <c r="AW227" s="74"/>
      <c r="AX227" s="74"/>
      <c r="AY227" s="74"/>
      <c r="AZ227" s="74"/>
      <c r="BA227" s="74"/>
      <c r="BB227" s="74"/>
      <c r="BC227" s="74"/>
      <c r="BD227" s="74"/>
      <c r="BE227" s="74">
        <f t="shared" ref="BE227:BE266" si="8">AO227+AW227</f>
        <v>152000</v>
      </c>
      <c r="BF227" s="74"/>
      <c r="BG227" s="74"/>
      <c r="BH227" s="74"/>
      <c r="BI227" s="74"/>
      <c r="BJ227" s="74"/>
      <c r="BK227" s="74"/>
      <c r="BL227" s="74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</row>
    <row r="228" spans="1:85" ht="33" customHeight="1" x14ac:dyDescent="0.2">
      <c r="A228" s="65"/>
      <c r="B228" s="65"/>
      <c r="C228" s="65"/>
      <c r="D228" s="65"/>
      <c r="E228" s="65"/>
      <c r="F228" s="65"/>
      <c r="G228" s="68" t="s">
        <v>175</v>
      </c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77" t="s">
        <v>49</v>
      </c>
      <c r="AA228" s="77"/>
      <c r="AB228" s="77"/>
      <c r="AC228" s="77"/>
      <c r="AD228" s="77"/>
      <c r="AE228" s="77" t="s">
        <v>113</v>
      </c>
      <c r="AF228" s="77"/>
      <c r="AG228" s="77"/>
      <c r="AH228" s="77"/>
      <c r="AI228" s="77"/>
      <c r="AJ228" s="77"/>
      <c r="AK228" s="77"/>
      <c r="AL228" s="77"/>
      <c r="AM228" s="77"/>
      <c r="AN228" s="77"/>
      <c r="AO228" s="69">
        <v>500000</v>
      </c>
      <c r="AP228" s="69"/>
      <c r="AQ228" s="69"/>
      <c r="AR228" s="69"/>
      <c r="AS228" s="69"/>
      <c r="AT228" s="69"/>
      <c r="AU228" s="69"/>
      <c r="AV228" s="69"/>
      <c r="AW228" s="74"/>
      <c r="AX228" s="74"/>
      <c r="AY228" s="74"/>
      <c r="AZ228" s="74"/>
      <c r="BA228" s="74"/>
      <c r="BB228" s="74"/>
      <c r="BC228" s="74"/>
      <c r="BD228" s="74"/>
      <c r="BE228" s="74">
        <f t="shared" si="8"/>
        <v>500000</v>
      </c>
      <c r="BF228" s="74"/>
      <c r="BG228" s="74"/>
      <c r="BH228" s="74"/>
      <c r="BI228" s="74"/>
      <c r="BJ228" s="74"/>
      <c r="BK228" s="74"/>
      <c r="BL228" s="74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</row>
    <row r="229" spans="1:85" ht="32.25" customHeight="1" x14ac:dyDescent="0.2">
      <c r="A229" s="65"/>
      <c r="B229" s="65"/>
      <c r="C229" s="65"/>
      <c r="D229" s="65"/>
      <c r="E229" s="65"/>
      <c r="F229" s="65"/>
      <c r="G229" s="79" t="s">
        <v>226</v>
      </c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1"/>
      <c r="Z229" s="77" t="s">
        <v>49</v>
      </c>
      <c r="AA229" s="77"/>
      <c r="AB229" s="77"/>
      <c r="AC229" s="77"/>
      <c r="AD229" s="77"/>
      <c r="AE229" s="77" t="s">
        <v>113</v>
      </c>
      <c r="AF229" s="77"/>
      <c r="AG229" s="77"/>
      <c r="AH229" s="77"/>
      <c r="AI229" s="77"/>
      <c r="AJ229" s="77"/>
      <c r="AK229" s="77"/>
      <c r="AL229" s="77"/>
      <c r="AM229" s="77"/>
      <c r="AN229" s="77"/>
      <c r="AO229" s="69">
        <v>1000000</v>
      </c>
      <c r="AP229" s="69"/>
      <c r="AQ229" s="69"/>
      <c r="AR229" s="69"/>
      <c r="AS229" s="69"/>
      <c r="AT229" s="69"/>
      <c r="AU229" s="69"/>
      <c r="AV229" s="69"/>
      <c r="AW229" s="74"/>
      <c r="AX229" s="74"/>
      <c r="AY229" s="74"/>
      <c r="AZ229" s="74"/>
      <c r="BA229" s="74"/>
      <c r="BB229" s="74"/>
      <c r="BC229" s="74"/>
      <c r="BD229" s="74"/>
      <c r="BE229" s="74">
        <f t="shared" si="8"/>
        <v>1000000</v>
      </c>
      <c r="BF229" s="74"/>
      <c r="BG229" s="74"/>
      <c r="BH229" s="74"/>
      <c r="BI229" s="74"/>
      <c r="BJ229" s="74"/>
      <c r="BK229" s="74"/>
      <c r="BL229" s="74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</row>
    <row r="230" spans="1:85" ht="18" customHeight="1" x14ac:dyDescent="0.2">
      <c r="A230" s="65"/>
      <c r="B230" s="65"/>
      <c r="C230" s="65"/>
      <c r="D230" s="65"/>
      <c r="E230" s="65"/>
      <c r="F230" s="65"/>
      <c r="G230" s="82" t="s">
        <v>225</v>
      </c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77" t="s">
        <v>49</v>
      </c>
      <c r="AA230" s="77"/>
      <c r="AB230" s="77"/>
      <c r="AC230" s="77"/>
      <c r="AD230" s="77"/>
      <c r="AE230" s="77" t="s">
        <v>113</v>
      </c>
      <c r="AF230" s="77"/>
      <c r="AG230" s="77"/>
      <c r="AH230" s="77"/>
      <c r="AI230" s="77"/>
      <c r="AJ230" s="77"/>
      <c r="AK230" s="77"/>
      <c r="AL230" s="77"/>
      <c r="AM230" s="77"/>
      <c r="AN230" s="77"/>
      <c r="AO230" s="69">
        <v>300000</v>
      </c>
      <c r="AP230" s="69"/>
      <c r="AQ230" s="69"/>
      <c r="AR230" s="69"/>
      <c r="AS230" s="69"/>
      <c r="AT230" s="69"/>
      <c r="AU230" s="69"/>
      <c r="AV230" s="69"/>
      <c r="AW230" s="74"/>
      <c r="AX230" s="74"/>
      <c r="AY230" s="74"/>
      <c r="AZ230" s="74"/>
      <c r="BA230" s="74"/>
      <c r="BB230" s="74"/>
      <c r="BC230" s="74"/>
      <c r="BD230" s="74"/>
      <c r="BE230" s="74">
        <f t="shared" si="8"/>
        <v>300000</v>
      </c>
      <c r="BF230" s="74"/>
      <c r="BG230" s="74"/>
      <c r="BH230" s="74"/>
      <c r="BI230" s="74"/>
      <c r="BJ230" s="74"/>
      <c r="BK230" s="74"/>
      <c r="BL230" s="74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</row>
    <row r="231" spans="1:85" ht="33.75" customHeight="1" x14ac:dyDescent="0.2">
      <c r="A231" s="65"/>
      <c r="B231" s="65"/>
      <c r="C231" s="65"/>
      <c r="D231" s="65"/>
      <c r="E231" s="65"/>
      <c r="F231" s="65"/>
      <c r="G231" s="78" t="s">
        <v>176</v>
      </c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7" t="s">
        <v>49</v>
      </c>
      <c r="AA231" s="77"/>
      <c r="AB231" s="77"/>
      <c r="AC231" s="77"/>
      <c r="AD231" s="77"/>
      <c r="AE231" s="77" t="s">
        <v>113</v>
      </c>
      <c r="AF231" s="77"/>
      <c r="AG231" s="77"/>
      <c r="AH231" s="77"/>
      <c r="AI231" s="77"/>
      <c r="AJ231" s="77"/>
      <c r="AK231" s="77"/>
      <c r="AL231" s="77"/>
      <c r="AM231" s="77"/>
      <c r="AN231" s="77"/>
      <c r="AO231" s="69">
        <v>255000</v>
      </c>
      <c r="AP231" s="69"/>
      <c r="AQ231" s="69"/>
      <c r="AR231" s="69"/>
      <c r="AS231" s="69"/>
      <c r="AT231" s="69"/>
      <c r="AU231" s="69"/>
      <c r="AV231" s="69"/>
      <c r="AW231" s="74"/>
      <c r="AX231" s="74"/>
      <c r="AY231" s="74"/>
      <c r="AZ231" s="74"/>
      <c r="BA231" s="74"/>
      <c r="BB231" s="74"/>
      <c r="BC231" s="74"/>
      <c r="BD231" s="74"/>
      <c r="BE231" s="74">
        <f t="shared" si="8"/>
        <v>255000</v>
      </c>
      <c r="BF231" s="74"/>
      <c r="BG231" s="74"/>
      <c r="BH231" s="74"/>
      <c r="BI231" s="74"/>
      <c r="BJ231" s="74"/>
      <c r="BK231" s="74"/>
      <c r="BL231" s="74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</row>
    <row r="232" spans="1:85" ht="33.75" customHeight="1" x14ac:dyDescent="0.2">
      <c r="A232" s="65"/>
      <c r="B232" s="65"/>
      <c r="C232" s="65"/>
      <c r="D232" s="65"/>
      <c r="E232" s="65"/>
      <c r="F232" s="65"/>
      <c r="G232" s="78" t="s">
        <v>177</v>
      </c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7" t="s">
        <v>49</v>
      </c>
      <c r="AA232" s="77"/>
      <c r="AB232" s="77"/>
      <c r="AC232" s="77"/>
      <c r="AD232" s="77"/>
      <c r="AE232" s="77" t="s">
        <v>113</v>
      </c>
      <c r="AF232" s="77"/>
      <c r="AG232" s="77"/>
      <c r="AH232" s="77"/>
      <c r="AI232" s="77"/>
      <c r="AJ232" s="77"/>
      <c r="AK232" s="77"/>
      <c r="AL232" s="77"/>
      <c r="AM232" s="77"/>
      <c r="AN232" s="77"/>
      <c r="AO232" s="69">
        <v>300000</v>
      </c>
      <c r="AP232" s="69"/>
      <c r="AQ232" s="69"/>
      <c r="AR232" s="69"/>
      <c r="AS232" s="69"/>
      <c r="AT232" s="69"/>
      <c r="AU232" s="69"/>
      <c r="AV232" s="69"/>
      <c r="AW232" s="74"/>
      <c r="AX232" s="74"/>
      <c r="AY232" s="74"/>
      <c r="AZ232" s="74"/>
      <c r="BA232" s="74"/>
      <c r="BB232" s="74"/>
      <c r="BC232" s="74"/>
      <c r="BD232" s="74"/>
      <c r="BE232" s="74">
        <f t="shared" si="8"/>
        <v>300000</v>
      </c>
      <c r="BF232" s="74"/>
      <c r="BG232" s="74"/>
      <c r="BH232" s="74"/>
      <c r="BI232" s="74"/>
      <c r="BJ232" s="74"/>
      <c r="BK232" s="74"/>
      <c r="BL232" s="74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</row>
    <row r="233" spans="1:85" ht="48.75" customHeight="1" x14ac:dyDescent="0.2">
      <c r="A233" s="65"/>
      <c r="B233" s="65"/>
      <c r="C233" s="65"/>
      <c r="D233" s="65"/>
      <c r="E233" s="65"/>
      <c r="F233" s="65"/>
      <c r="G233" s="103" t="s">
        <v>178</v>
      </c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77" t="s">
        <v>49</v>
      </c>
      <c r="AA233" s="77"/>
      <c r="AB233" s="77"/>
      <c r="AC233" s="77"/>
      <c r="AD233" s="77"/>
      <c r="AE233" s="77" t="s">
        <v>113</v>
      </c>
      <c r="AF233" s="77"/>
      <c r="AG233" s="77"/>
      <c r="AH233" s="77"/>
      <c r="AI233" s="77"/>
      <c r="AJ233" s="77"/>
      <c r="AK233" s="77"/>
      <c r="AL233" s="77"/>
      <c r="AM233" s="77"/>
      <c r="AN233" s="77"/>
      <c r="AO233" s="69">
        <f>250000</f>
        <v>250000</v>
      </c>
      <c r="AP233" s="69"/>
      <c r="AQ233" s="69"/>
      <c r="AR233" s="69"/>
      <c r="AS233" s="69"/>
      <c r="AT233" s="69"/>
      <c r="AU233" s="69"/>
      <c r="AV233" s="69"/>
      <c r="AW233" s="74"/>
      <c r="AX233" s="74"/>
      <c r="AY233" s="74"/>
      <c r="AZ233" s="74"/>
      <c r="BA233" s="74"/>
      <c r="BB233" s="74"/>
      <c r="BC233" s="74"/>
      <c r="BD233" s="74"/>
      <c r="BE233" s="74">
        <f t="shared" si="8"/>
        <v>250000</v>
      </c>
      <c r="BF233" s="74"/>
      <c r="BG233" s="74"/>
      <c r="BH233" s="74"/>
      <c r="BI233" s="74"/>
      <c r="BJ233" s="74"/>
      <c r="BK233" s="74"/>
      <c r="BL233" s="74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</row>
    <row r="234" spans="1:85" ht="33" customHeight="1" x14ac:dyDescent="0.2">
      <c r="A234" s="65"/>
      <c r="B234" s="65"/>
      <c r="C234" s="65"/>
      <c r="D234" s="65"/>
      <c r="E234" s="65"/>
      <c r="F234" s="65"/>
      <c r="G234" s="102" t="s">
        <v>179</v>
      </c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77" t="s">
        <v>49</v>
      </c>
      <c r="AA234" s="77"/>
      <c r="AB234" s="77"/>
      <c r="AC234" s="77"/>
      <c r="AD234" s="77"/>
      <c r="AE234" s="77" t="s">
        <v>113</v>
      </c>
      <c r="AF234" s="77"/>
      <c r="AG234" s="77"/>
      <c r="AH234" s="77"/>
      <c r="AI234" s="77"/>
      <c r="AJ234" s="77"/>
      <c r="AK234" s="77"/>
      <c r="AL234" s="77"/>
      <c r="AM234" s="77"/>
      <c r="AN234" s="77"/>
      <c r="AO234" s="69">
        <v>50000</v>
      </c>
      <c r="AP234" s="69"/>
      <c r="AQ234" s="69"/>
      <c r="AR234" s="69"/>
      <c r="AS234" s="69"/>
      <c r="AT234" s="69"/>
      <c r="AU234" s="69"/>
      <c r="AV234" s="69"/>
      <c r="AW234" s="74"/>
      <c r="AX234" s="74"/>
      <c r="AY234" s="74"/>
      <c r="AZ234" s="74"/>
      <c r="BA234" s="74"/>
      <c r="BB234" s="74"/>
      <c r="BC234" s="74"/>
      <c r="BD234" s="74"/>
      <c r="BE234" s="74">
        <f t="shared" si="8"/>
        <v>50000</v>
      </c>
      <c r="BF234" s="74"/>
      <c r="BG234" s="74"/>
      <c r="BH234" s="74"/>
      <c r="BI234" s="74"/>
      <c r="BJ234" s="74"/>
      <c r="BK234" s="74"/>
      <c r="BL234" s="74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</row>
    <row r="235" spans="1:85" ht="48" customHeight="1" x14ac:dyDescent="0.2">
      <c r="A235" s="65"/>
      <c r="B235" s="65"/>
      <c r="C235" s="65"/>
      <c r="D235" s="65"/>
      <c r="E235" s="65"/>
      <c r="F235" s="65"/>
      <c r="G235" s="104" t="s">
        <v>222</v>
      </c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77" t="s">
        <v>49</v>
      </c>
      <c r="AA235" s="77"/>
      <c r="AB235" s="77"/>
      <c r="AC235" s="77"/>
      <c r="AD235" s="77"/>
      <c r="AE235" s="77" t="s">
        <v>113</v>
      </c>
      <c r="AF235" s="77"/>
      <c r="AG235" s="77"/>
      <c r="AH235" s="77"/>
      <c r="AI235" s="77"/>
      <c r="AJ235" s="77"/>
      <c r="AK235" s="77"/>
      <c r="AL235" s="77"/>
      <c r="AM235" s="77"/>
      <c r="AN235" s="77"/>
      <c r="AO235" s="69">
        <f>600000+200000</f>
        <v>800000</v>
      </c>
      <c r="AP235" s="69"/>
      <c r="AQ235" s="69"/>
      <c r="AR235" s="69"/>
      <c r="AS235" s="69"/>
      <c r="AT235" s="69"/>
      <c r="AU235" s="69"/>
      <c r="AV235" s="69"/>
      <c r="AW235" s="74"/>
      <c r="AX235" s="74"/>
      <c r="AY235" s="74"/>
      <c r="AZ235" s="74"/>
      <c r="BA235" s="74"/>
      <c r="BB235" s="74"/>
      <c r="BC235" s="74"/>
      <c r="BD235" s="74"/>
      <c r="BE235" s="74">
        <f t="shared" si="8"/>
        <v>800000</v>
      </c>
      <c r="BF235" s="74"/>
      <c r="BG235" s="74"/>
      <c r="BH235" s="74"/>
      <c r="BI235" s="74"/>
      <c r="BJ235" s="74"/>
      <c r="BK235" s="74"/>
      <c r="BL235" s="74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</row>
    <row r="236" spans="1:85" ht="64.5" customHeight="1" x14ac:dyDescent="0.2">
      <c r="A236" s="65"/>
      <c r="B236" s="65"/>
      <c r="C236" s="65"/>
      <c r="D236" s="65"/>
      <c r="E236" s="65"/>
      <c r="F236" s="65"/>
      <c r="G236" s="68" t="s">
        <v>180</v>
      </c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77" t="s">
        <v>49</v>
      </c>
      <c r="AA236" s="77"/>
      <c r="AB236" s="77"/>
      <c r="AC236" s="77"/>
      <c r="AD236" s="77"/>
      <c r="AE236" s="77" t="s">
        <v>113</v>
      </c>
      <c r="AF236" s="77"/>
      <c r="AG236" s="77"/>
      <c r="AH236" s="77"/>
      <c r="AI236" s="77"/>
      <c r="AJ236" s="77"/>
      <c r="AK236" s="77"/>
      <c r="AL236" s="77"/>
      <c r="AM236" s="77"/>
      <c r="AN236" s="77"/>
      <c r="AO236" s="69">
        <f>1800000-100000</f>
        <v>1700000</v>
      </c>
      <c r="AP236" s="69"/>
      <c r="AQ236" s="69"/>
      <c r="AR236" s="69"/>
      <c r="AS236" s="69"/>
      <c r="AT236" s="69"/>
      <c r="AU236" s="69"/>
      <c r="AV236" s="69"/>
      <c r="AW236" s="74"/>
      <c r="AX236" s="74"/>
      <c r="AY236" s="74"/>
      <c r="AZ236" s="74"/>
      <c r="BA236" s="74"/>
      <c r="BB236" s="74"/>
      <c r="BC236" s="74"/>
      <c r="BD236" s="74"/>
      <c r="BE236" s="74">
        <f t="shared" si="8"/>
        <v>1700000</v>
      </c>
      <c r="BF236" s="74"/>
      <c r="BG236" s="74"/>
      <c r="BH236" s="74"/>
      <c r="BI236" s="74"/>
      <c r="BJ236" s="74"/>
      <c r="BK236" s="74"/>
      <c r="BL236" s="74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</row>
    <row r="237" spans="1:85" ht="31.5" customHeight="1" x14ac:dyDescent="0.2">
      <c r="A237" s="65"/>
      <c r="B237" s="65"/>
      <c r="C237" s="65"/>
      <c r="D237" s="65"/>
      <c r="E237" s="65"/>
      <c r="F237" s="65"/>
      <c r="G237" s="104" t="s">
        <v>181</v>
      </c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77" t="s">
        <v>49</v>
      </c>
      <c r="AA237" s="77"/>
      <c r="AB237" s="77"/>
      <c r="AC237" s="77"/>
      <c r="AD237" s="77"/>
      <c r="AE237" s="77" t="s">
        <v>113</v>
      </c>
      <c r="AF237" s="77"/>
      <c r="AG237" s="77"/>
      <c r="AH237" s="77"/>
      <c r="AI237" s="77"/>
      <c r="AJ237" s="77"/>
      <c r="AK237" s="77"/>
      <c r="AL237" s="77"/>
      <c r="AM237" s="77"/>
      <c r="AN237" s="77"/>
      <c r="AO237" s="69">
        <f>50000-32500</f>
        <v>17500</v>
      </c>
      <c r="AP237" s="69"/>
      <c r="AQ237" s="69"/>
      <c r="AR237" s="69"/>
      <c r="AS237" s="69"/>
      <c r="AT237" s="69"/>
      <c r="AU237" s="69"/>
      <c r="AV237" s="69"/>
      <c r="AW237" s="74"/>
      <c r="AX237" s="74"/>
      <c r="AY237" s="74"/>
      <c r="AZ237" s="74"/>
      <c r="BA237" s="74"/>
      <c r="BB237" s="74"/>
      <c r="BC237" s="74"/>
      <c r="BD237" s="74"/>
      <c r="BE237" s="74">
        <f t="shared" si="8"/>
        <v>17500</v>
      </c>
      <c r="BF237" s="74"/>
      <c r="BG237" s="74"/>
      <c r="BH237" s="74"/>
      <c r="BI237" s="74"/>
      <c r="BJ237" s="74"/>
      <c r="BK237" s="74"/>
      <c r="BL237" s="74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</row>
    <row r="238" spans="1:85" ht="33" customHeight="1" x14ac:dyDescent="0.2">
      <c r="A238" s="65"/>
      <c r="B238" s="65"/>
      <c r="C238" s="65"/>
      <c r="D238" s="65"/>
      <c r="E238" s="65"/>
      <c r="F238" s="65"/>
      <c r="G238" s="105" t="s">
        <v>260</v>
      </c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7"/>
      <c r="Z238" s="77" t="s">
        <v>49</v>
      </c>
      <c r="AA238" s="77"/>
      <c r="AB238" s="77"/>
      <c r="AC238" s="77"/>
      <c r="AD238" s="77"/>
      <c r="AE238" s="77" t="s">
        <v>113</v>
      </c>
      <c r="AF238" s="77"/>
      <c r="AG238" s="77"/>
      <c r="AH238" s="77"/>
      <c r="AI238" s="77"/>
      <c r="AJ238" s="77"/>
      <c r="AK238" s="77"/>
      <c r="AL238" s="77"/>
      <c r="AM238" s="77"/>
      <c r="AN238" s="77"/>
      <c r="AO238" s="69">
        <f>36500</f>
        <v>36500</v>
      </c>
      <c r="AP238" s="69"/>
      <c r="AQ238" s="69"/>
      <c r="AR238" s="69"/>
      <c r="AS238" s="69"/>
      <c r="AT238" s="69"/>
      <c r="AU238" s="69"/>
      <c r="AV238" s="69"/>
      <c r="AW238" s="74"/>
      <c r="AX238" s="74"/>
      <c r="AY238" s="74"/>
      <c r="AZ238" s="74"/>
      <c r="BA238" s="74"/>
      <c r="BB238" s="74"/>
      <c r="BC238" s="74"/>
      <c r="BD238" s="74"/>
      <c r="BE238" s="74">
        <f t="shared" ref="BE238:BE243" si="9">AO238+AW238</f>
        <v>36500</v>
      </c>
      <c r="BF238" s="74"/>
      <c r="BG238" s="74"/>
      <c r="BH238" s="74"/>
      <c r="BI238" s="74"/>
      <c r="BJ238" s="74"/>
      <c r="BK238" s="74"/>
      <c r="BL238" s="74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</row>
    <row r="239" spans="1:85" ht="33" customHeight="1" x14ac:dyDescent="0.2">
      <c r="A239" s="65"/>
      <c r="B239" s="65"/>
      <c r="C239" s="65"/>
      <c r="D239" s="65"/>
      <c r="E239" s="65"/>
      <c r="F239" s="65"/>
      <c r="G239" s="105" t="s">
        <v>261</v>
      </c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7"/>
      <c r="Z239" s="77" t="s">
        <v>49</v>
      </c>
      <c r="AA239" s="77"/>
      <c r="AB239" s="77"/>
      <c r="AC239" s="77"/>
      <c r="AD239" s="77"/>
      <c r="AE239" s="77" t="s">
        <v>113</v>
      </c>
      <c r="AF239" s="77"/>
      <c r="AG239" s="77"/>
      <c r="AH239" s="77"/>
      <c r="AI239" s="77"/>
      <c r="AJ239" s="77"/>
      <c r="AK239" s="77"/>
      <c r="AL239" s="77"/>
      <c r="AM239" s="77"/>
      <c r="AN239" s="77"/>
      <c r="AO239" s="69">
        <v>184000</v>
      </c>
      <c r="AP239" s="69"/>
      <c r="AQ239" s="69"/>
      <c r="AR239" s="69"/>
      <c r="AS239" s="69"/>
      <c r="AT239" s="69"/>
      <c r="AU239" s="69"/>
      <c r="AV239" s="69"/>
      <c r="AW239" s="74"/>
      <c r="AX239" s="74"/>
      <c r="AY239" s="74"/>
      <c r="AZ239" s="74"/>
      <c r="BA239" s="74"/>
      <c r="BB239" s="74"/>
      <c r="BC239" s="74"/>
      <c r="BD239" s="74"/>
      <c r="BE239" s="74">
        <f t="shared" si="9"/>
        <v>184000</v>
      </c>
      <c r="BF239" s="74"/>
      <c r="BG239" s="74"/>
      <c r="BH239" s="74"/>
      <c r="BI239" s="74"/>
      <c r="BJ239" s="74"/>
      <c r="BK239" s="74"/>
      <c r="BL239" s="74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</row>
    <row r="240" spans="1:85" ht="33" customHeight="1" x14ac:dyDescent="0.2">
      <c r="A240" s="65"/>
      <c r="B240" s="65"/>
      <c r="C240" s="65"/>
      <c r="D240" s="65"/>
      <c r="E240" s="65"/>
      <c r="F240" s="65"/>
      <c r="G240" s="105" t="s">
        <v>262</v>
      </c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7"/>
      <c r="Z240" s="77" t="s">
        <v>49</v>
      </c>
      <c r="AA240" s="77"/>
      <c r="AB240" s="77"/>
      <c r="AC240" s="77"/>
      <c r="AD240" s="77"/>
      <c r="AE240" s="77" t="s">
        <v>113</v>
      </c>
      <c r="AF240" s="77"/>
      <c r="AG240" s="77"/>
      <c r="AH240" s="77"/>
      <c r="AI240" s="77"/>
      <c r="AJ240" s="77"/>
      <c r="AK240" s="77"/>
      <c r="AL240" s="77"/>
      <c r="AM240" s="77"/>
      <c r="AN240" s="77"/>
      <c r="AO240" s="69">
        <v>200000</v>
      </c>
      <c r="AP240" s="69"/>
      <c r="AQ240" s="69"/>
      <c r="AR240" s="69"/>
      <c r="AS240" s="69"/>
      <c r="AT240" s="69"/>
      <c r="AU240" s="69"/>
      <c r="AV240" s="69"/>
      <c r="AW240" s="74"/>
      <c r="AX240" s="74"/>
      <c r="AY240" s="74"/>
      <c r="AZ240" s="74"/>
      <c r="BA240" s="74"/>
      <c r="BB240" s="74"/>
      <c r="BC240" s="74"/>
      <c r="BD240" s="74"/>
      <c r="BE240" s="74">
        <f t="shared" si="9"/>
        <v>200000</v>
      </c>
      <c r="BF240" s="74"/>
      <c r="BG240" s="74"/>
      <c r="BH240" s="74"/>
      <c r="BI240" s="74"/>
      <c r="BJ240" s="74"/>
      <c r="BK240" s="74"/>
      <c r="BL240" s="74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</row>
    <row r="241" spans="1:85" ht="33" customHeight="1" x14ac:dyDescent="0.2">
      <c r="A241" s="65"/>
      <c r="B241" s="65"/>
      <c r="C241" s="65"/>
      <c r="D241" s="65"/>
      <c r="E241" s="65"/>
      <c r="F241" s="65"/>
      <c r="G241" s="108" t="s">
        <v>287</v>
      </c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10"/>
      <c r="Z241" s="77" t="s">
        <v>49</v>
      </c>
      <c r="AA241" s="77"/>
      <c r="AB241" s="77"/>
      <c r="AC241" s="77"/>
      <c r="AD241" s="77"/>
      <c r="AE241" s="77" t="s">
        <v>113</v>
      </c>
      <c r="AF241" s="77"/>
      <c r="AG241" s="77"/>
      <c r="AH241" s="77"/>
      <c r="AI241" s="77"/>
      <c r="AJ241" s="77"/>
      <c r="AK241" s="77"/>
      <c r="AL241" s="77"/>
      <c r="AM241" s="77"/>
      <c r="AN241" s="77"/>
      <c r="AO241" s="69">
        <v>50000</v>
      </c>
      <c r="AP241" s="69"/>
      <c r="AQ241" s="69"/>
      <c r="AR241" s="69"/>
      <c r="AS241" s="69"/>
      <c r="AT241" s="69"/>
      <c r="AU241" s="69"/>
      <c r="AV241" s="69"/>
      <c r="AW241" s="74"/>
      <c r="AX241" s="74"/>
      <c r="AY241" s="74"/>
      <c r="AZ241" s="74"/>
      <c r="BA241" s="74"/>
      <c r="BB241" s="74"/>
      <c r="BC241" s="74"/>
      <c r="BD241" s="74"/>
      <c r="BE241" s="74">
        <f t="shared" si="9"/>
        <v>50000</v>
      </c>
      <c r="BF241" s="74"/>
      <c r="BG241" s="74"/>
      <c r="BH241" s="74"/>
      <c r="BI241" s="74"/>
      <c r="BJ241" s="74"/>
      <c r="BK241" s="74"/>
      <c r="BL241" s="74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</row>
    <row r="242" spans="1:85" ht="33" customHeight="1" x14ac:dyDescent="0.2">
      <c r="A242" s="65"/>
      <c r="B242" s="65"/>
      <c r="C242" s="65"/>
      <c r="D242" s="65"/>
      <c r="E242" s="65"/>
      <c r="F242" s="65"/>
      <c r="G242" s="105" t="s">
        <v>288</v>
      </c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7"/>
      <c r="Z242" s="77" t="s">
        <v>49</v>
      </c>
      <c r="AA242" s="77"/>
      <c r="AB242" s="77"/>
      <c r="AC242" s="77"/>
      <c r="AD242" s="77"/>
      <c r="AE242" s="77" t="s">
        <v>113</v>
      </c>
      <c r="AF242" s="77"/>
      <c r="AG242" s="77"/>
      <c r="AH242" s="77"/>
      <c r="AI242" s="77"/>
      <c r="AJ242" s="77"/>
      <c r="AK242" s="77"/>
      <c r="AL242" s="77"/>
      <c r="AM242" s="77"/>
      <c r="AN242" s="77"/>
      <c r="AO242" s="69">
        <v>50000</v>
      </c>
      <c r="AP242" s="69"/>
      <c r="AQ242" s="69"/>
      <c r="AR242" s="69"/>
      <c r="AS242" s="69"/>
      <c r="AT242" s="69"/>
      <c r="AU242" s="69"/>
      <c r="AV242" s="69"/>
      <c r="AW242" s="74"/>
      <c r="AX242" s="74"/>
      <c r="AY242" s="74"/>
      <c r="AZ242" s="74"/>
      <c r="BA242" s="74"/>
      <c r="BB242" s="74"/>
      <c r="BC242" s="74"/>
      <c r="BD242" s="74"/>
      <c r="BE242" s="74">
        <f t="shared" si="9"/>
        <v>50000</v>
      </c>
      <c r="BF242" s="74"/>
      <c r="BG242" s="74"/>
      <c r="BH242" s="74"/>
      <c r="BI242" s="74"/>
      <c r="BJ242" s="74"/>
      <c r="BK242" s="74"/>
      <c r="BL242" s="74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</row>
    <row r="243" spans="1:85" ht="33" customHeight="1" x14ac:dyDescent="0.2">
      <c r="A243" s="65"/>
      <c r="B243" s="65"/>
      <c r="C243" s="65"/>
      <c r="D243" s="65"/>
      <c r="E243" s="65"/>
      <c r="F243" s="65"/>
      <c r="G243" s="105" t="s">
        <v>289</v>
      </c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7"/>
      <c r="Z243" s="77" t="s">
        <v>49</v>
      </c>
      <c r="AA243" s="77"/>
      <c r="AB243" s="77"/>
      <c r="AC243" s="77"/>
      <c r="AD243" s="77"/>
      <c r="AE243" s="77" t="s">
        <v>113</v>
      </c>
      <c r="AF243" s="77"/>
      <c r="AG243" s="77"/>
      <c r="AH243" s="77"/>
      <c r="AI243" s="77"/>
      <c r="AJ243" s="77"/>
      <c r="AK243" s="77"/>
      <c r="AL243" s="77"/>
      <c r="AM243" s="77"/>
      <c r="AN243" s="77"/>
      <c r="AO243" s="69">
        <v>50000</v>
      </c>
      <c r="AP243" s="69"/>
      <c r="AQ243" s="69"/>
      <c r="AR243" s="69"/>
      <c r="AS243" s="69"/>
      <c r="AT243" s="69"/>
      <c r="AU243" s="69"/>
      <c r="AV243" s="69"/>
      <c r="AW243" s="74"/>
      <c r="AX243" s="74"/>
      <c r="AY243" s="74"/>
      <c r="AZ243" s="74"/>
      <c r="BA243" s="74"/>
      <c r="BB243" s="74"/>
      <c r="BC243" s="74"/>
      <c r="BD243" s="74"/>
      <c r="BE243" s="74">
        <f t="shared" si="9"/>
        <v>50000</v>
      </c>
      <c r="BF243" s="74"/>
      <c r="BG243" s="74"/>
      <c r="BH243" s="74"/>
      <c r="BI243" s="74"/>
      <c r="BJ243" s="74"/>
      <c r="BK243" s="74"/>
      <c r="BL243" s="74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</row>
    <row r="244" spans="1:85" ht="18.75" customHeight="1" x14ac:dyDescent="0.2">
      <c r="A244" s="65"/>
      <c r="B244" s="65"/>
      <c r="C244" s="65"/>
      <c r="D244" s="65"/>
      <c r="E244" s="65"/>
      <c r="F244" s="65"/>
      <c r="G244" s="83" t="s">
        <v>51</v>
      </c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72"/>
      <c r="BF244" s="72"/>
      <c r="BG244" s="72"/>
      <c r="BH244" s="72"/>
      <c r="BI244" s="72"/>
      <c r="BJ244" s="72"/>
      <c r="BK244" s="72"/>
      <c r="BL244" s="72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</row>
    <row r="245" spans="1:85" ht="19.5" customHeight="1" x14ac:dyDescent="0.2">
      <c r="A245" s="65"/>
      <c r="B245" s="65"/>
      <c r="C245" s="65"/>
      <c r="D245" s="65"/>
      <c r="E245" s="65"/>
      <c r="F245" s="65"/>
      <c r="G245" s="68" t="s">
        <v>174</v>
      </c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5" t="s">
        <v>50</v>
      </c>
      <c r="AA245" s="65"/>
      <c r="AB245" s="65"/>
      <c r="AC245" s="65"/>
      <c r="AD245" s="65"/>
      <c r="AE245" s="77" t="s">
        <v>113</v>
      </c>
      <c r="AF245" s="77"/>
      <c r="AG245" s="77"/>
      <c r="AH245" s="77"/>
      <c r="AI245" s="77"/>
      <c r="AJ245" s="77"/>
      <c r="AK245" s="77"/>
      <c r="AL245" s="77"/>
      <c r="AM245" s="77"/>
      <c r="AN245" s="77"/>
      <c r="AO245" s="75">
        <v>1</v>
      </c>
      <c r="AP245" s="75"/>
      <c r="AQ245" s="75"/>
      <c r="AR245" s="75"/>
      <c r="AS245" s="75"/>
      <c r="AT245" s="75"/>
      <c r="AU245" s="75"/>
      <c r="AV245" s="75"/>
      <c r="AW245" s="65"/>
      <c r="AX245" s="65"/>
      <c r="AY245" s="65"/>
      <c r="AZ245" s="65"/>
      <c r="BA245" s="65"/>
      <c r="BB245" s="65"/>
      <c r="BC245" s="65"/>
      <c r="BD245" s="65"/>
      <c r="BE245" s="73">
        <f t="shared" si="8"/>
        <v>1</v>
      </c>
      <c r="BF245" s="73"/>
      <c r="BG245" s="73"/>
      <c r="BH245" s="73"/>
      <c r="BI245" s="73"/>
      <c r="BJ245" s="73"/>
      <c r="BK245" s="73"/>
      <c r="BL245" s="73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</row>
    <row r="246" spans="1:85" ht="34.5" customHeight="1" x14ac:dyDescent="0.2">
      <c r="A246" s="65"/>
      <c r="B246" s="65"/>
      <c r="C246" s="65"/>
      <c r="D246" s="65"/>
      <c r="E246" s="65"/>
      <c r="F246" s="65"/>
      <c r="G246" s="68" t="s">
        <v>182</v>
      </c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5" t="s">
        <v>50</v>
      </c>
      <c r="AA246" s="65"/>
      <c r="AB246" s="65"/>
      <c r="AC246" s="65"/>
      <c r="AD246" s="65"/>
      <c r="AE246" s="77" t="s">
        <v>113</v>
      </c>
      <c r="AF246" s="77"/>
      <c r="AG246" s="77"/>
      <c r="AH246" s="77"/>
      <c r="AI246" s="77"/>
      <c r="AJ246" s="77"/>
      <c r="AK246" s="77"/>
      <c r="AL246" s="77"/>
      <c r="AM246" s="77"/>
      <c r="AN246" s="77"/>
      <c r="AO246" s="75">
        <f>5+3+3</f>
        <v>11</v>
      </c>
      <c r="AP246" s="75"/>
      <c r="AQ246" s="75"/>
      <c r="AR246" s="75"/>
      <c r="AS246" s="75"/>
      <c r="AT246" s="75"/>
      <c r="AU246" s="75"/>
      <c r="AV246" s="75"/>
      <c r="AW246" s="65"/>
      <c r="AX246" s="65"/>
      <c r="AY246" s="65"/>
      <c r="AZ246" s="65"/>
      <c r="BA246" s="65"/>
      <c r="BB246" s="65"/>
      <c r="BC246" s="65"/>
      <c r="BD246" s="65"/>
      <c r="BE246" s="73">
        <f t="shared" si="8"/>
        <v>11</v>
      </c>
      <c r="BF246" s="73"/>
      <c r="BG246" s="73"/>
      <c r="BH246" s="73"/>
      <c r="BI246" s="73"/>
      <c r="BJ246" s="73"/>
      <c r="BK246" s="73"/>
      <c r="BL246" s="73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</row>
    <row r="247" spans="1:85" ht="33.75" customHeight="1" x14ac:dyDescent="0.2">
      <c r="A247" s="65"/>
      <c r="B247" s="65"/>
      <c r="C247" s="65"/>
      <c r="D247" s="65"/>
      <c r="E247" s="65"/>
      <c r="F247" s="65"/>
      <c r="G247" s="97" t="s">
        <v>239</v>
      </c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65" t="s">
        <v>50</v>
      </c>
      <c r="AA247" s="65"/>
      <c r="AB247" s="65"/>
      <c r="AC247" s="65"/>
      <c r="AD247" s="65"/>
      <c r="AE247" s="77" t="s">
        <v>113</v>
      </c>
      <c r="AF247" s="77"/>
      <c r="AG247" s="77"/>
      <c r="AH247" s="77"/>
      <c r="AI247" s="77"/>
      <c r="AJ247" s="77"/>
      <c r="AK247" s="77"/>
      <c r="AL247" s="77"/>
      <c r="AM247" s="77"/>
      <c r="AN247" s="77"/>
      <c r="AO247" s="71">
        <v>38</v>
      </c>
      <c r="AP247" s="71"/>
      <c r="AQ247" s="71"/>
      <c r="AR247" s="71"/>
      <c r="AS247" s="71"/>
      <c r="AT247" s="71"/>
      <c r="AU247" s="71"/>
      <c r="AV247" s="71"/>
      <c r="AW247" s="65"/>
      <c r="AX247" s="65"/>
      <c r="AY247" s="65"/>
      <c r="AZ247" s="65"/>
      <c r="BA247" s="65"/>
      <c r="BB247" s="65"/>
      <c r="BC247" s="65"/>
      <c r="BD247" s="65"/>
      <c r="BE247" s="73">
        <f t="shared" si="8"/>
        <v>38</v>
      </c>
      <c r="BF247" s="73"/>
      <c r="BG247" s="73"/>
      <c r="BH247" s="73"/>
      <c r="BI247" s="73"/>
      <c r="BJ247" s="73"/>
      <c r="BK247" s="73"/>
      <c r="BL247" s="73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</row>
    <row r="248" spans="1:85" ht="34.5" customHeight="1" x14ac:dyDescent="0.2">
      <c r="A248" s="65"/>
      <c r="B248" s="65"/>
      <c r="C248" s="65"/>
      <c r="D248" s="65"/>
      <c r="E248" s="65"/>
      <c r="F248" s="65"/>
      <c r="G248" s="97" t="s">
        <v>240</v>
      </c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65" t="s">
        <v>50</v>
      </c>
      <c r="AA248" s="65"/>
      <c r="AB248" s="65"/>
      <c r="AC248" s="65"/>
      <c r="AD248" s="65"/>
      <c r="AE248" s="77" t="s">
        <v>113</v>
      </c>
      <c r="AF248" s="77"/>
      <c r="AG248" s="77"/>
      <c r="AH248" s="77"/>
      <c r="AI248" s="77"/>
      <c r="AJ248" s="77"/>
      <c r="AK248" s="77"/>
      <c r="AL248" s="77"/>
      <c r="AM248" s="77"/>
      <c r="AN248" s="77"/>
      <c r="AO248" s="71">
        <v>10</v>
      </c>
      <c r="AP248" s="71"/>
      <c r="AQ248" s="71"/>
      <c r="AR248" s="71"/>
      <c r="AS248" s="71"/>
      <c r="AT248" s="71"/>
      <c r="AU248" s="71"/>
      <c r="AV248" s="71"/>
      <c r="AW248" s="65"/>
      <c r="AX248" s="65"/>
      <c r="AY248" s="65"/>
      <c r="AZ248" s="65"/>
      <c r="BA248" s="65"/>
      <c r="BB248" s="65"/>
      <c r="BC248" s="65"/>
      <c r="BD248" s="65"/>
      <c r="BE248" s="73">
        <f t="shared" si="8"/>
        <v>10</v>
      </c>
      <c r="BF248" s="73"/>
      <c r="BG248" s="73"/>
      <c r="BH248" s="73"/>
      <c r="BI248" s="73"/>
      <c r="BJ248" s="73"/>
      <c r="BK248" s="73"/>
      <c r="BL248" s="73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</row>
    <row r="249" spans="1:85" ht="35.25" customHeight="1" x14ac:dyDescent="0.2">
      <c r="A249" s="65"/>
      <c r="B249" s="65"/>
      <c r="C249" s="65"/>
      <c r="D249" s="65"/>
      <c r="E249" s="65"/>
      <c r="F249" s="65"/>
      <c r="G249" s="68" t="s">
        <v>183</v>
      </c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5" t="s">
        <v>50</v>
      </c>
      <c r="AA249" s="65"/>
      <c r="AB249" s="65"/>
      <c r="AC249" s="65"/>
      <c r="AD249" s="65"/>
      <c r="AE249" s="77" t="s">
        <v>113</v>
      </c>
      <c r="AF249" s="77"/>
      <c r="AG249" s="77"/>
      <c r="AH249" s="77"/>
      <c r="AI249" s="77"/>
      <c r="AJ249" s="77"/>
      <c r="AK249" s="77"/>
      <c r="AL249" s="77"/>
      <c r="AM249" s="77"/>
      <c r="AN249" s="77"/>
      <c r="AO249" s="75">
        <v>6</v>
      </c>
      <c r="AP249" s="75"/>
      <c r="AQ249" s="75"/>
      <c r="AR249" s="75"/>
      <c r="AS249" s="75"/>
      <c r="AT249" s="75"/>
      <c r="AU249" s="75"/>
      <c r="AV249" s="75"/>
      <c r="AW249" s="65"/>
      <c r="AX249" s="65"/>
      <c r="AY249" s="65"/>
      <c r="AZ249" s="65"/>
      <c r="BA249" s="65"/>
      <c r="BB249" s="65"/>
      <c r="BC249" s="65"/>
      <c r="BD249" s="65"/>
      <c r="BE249" s="73">
        <f t="shared" si="8"/>
        <v>6</v>
      </c>
      <c r="BF249" s="73"/>
      <c r="BG249" s="73"/>
      <c r="BH249" s="73"/>
      <c r="BI249" s="73"/>
      <c r="BJ249" s="73"/>
      <c r="BK249" s="73"/>
      <c r="BL249" s="73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</row>
    <row r="250" spans="1:85" ht="18.75" customHeight="1" x14ac:dyDescent="0.2">
      <c r="A250" s="65"/>
      <c r="B250" s="65"/>
      <c r="C250" s="65"/>
      <c r="D250" s="65"/>
      <c r="E250" s="65"/>
      <c r="F250" s="65"/>
      <c r="G250" s="68" t="s">
        <v>184</v>
      </c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5" t="s">
        <v>50</v>
      </c>
      <c r="AA250" s="65"/>
      <c r="AB250" s="65"/>
      <c r="AC250" s="65"/>
      <c r="AD250" s="65"/>
      <c r="AE250" s="77" t="s">
        <v>113</v>
      </c>
      <c r="AF250" s="77"/>
      <c r="AG250" s="77"/>
      <c r="AH250" s="77"/>
      <c r="AI250" s="77"/>
      <c r="AJ250" s="77"/>
      <c r="AK250" s="77"/>
      <c r="AL250" s="77"/>
      <c r="AM250" s="77"/>
      <c r="AN250" s="77"/>
      <c r="AO250" s="76">
        <v>50</v>
      </c>
      <c r="AP250" s="76"/>
      <c r="AQ250" s="76"/>
      <c r="AR250" s="76"/>
      <c r="AS250" s="76"/>
      <c r="AT250" s="76"/>
      <c r="AU250" s="76"/>
      <c r="AV250" s="76"/>
      <c r="AW250" s="65"/>
      <c r="AX250" s="65"/>
      <c r="AY250" s="65"/>
      <c r="AZ250" s="65"/>
      <c r="BA250" s="65"/>
      <c r="BB250" s="65"/>
      <c r="BC250" s="65"/>
      <c r="BD250" s="65"/>
      <c r="BE250" s="73">
        <f t="shared" si="8"/>
        <v>50</v>
      </c>
      <c r="BF250" s="73"/>
      <c r="BG250" s="73"/>
      <c r="BH250" s="73"/>
      <c r="BI250" s="73"/>
      <c r="BJ250" s="73"/>
      <c r="BK250" s="73"/>
      <c r="BL250" s="73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</row>
    <row r="251" spans="1:85" ht="33.75" customHeight="1" x14ac:dyDescent="0.2">
      <c r="A251" s="65"/>
      <c r="B251" s="65"/>
      <c r="C251" s="65"/>
      <c r="D251" s="65"/>
      <c r="E251" s="65"/>
      <c r="F251" s="65"/>
      <c r="G251" s="68" t="s">
        <v>185</v>
      </c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5" t="s">
        <v>50</v>
      </c>
      <c r="AA251" s="65"/>
      <c r="AB251" s="65"/>
      <c r="AC251" s="65"/>
      <c r="AD251" s="65"/>
      <c r="AE251" s="77" t="s">
        <v>113</v>
      </c>
      <c r="AF251" s="77"/>
      <c r="AG251" s="77"/>
      <c r="AH251" s="77"/>
      <c r="AI251" s="77"/>
      <c r="AJ251" s="77"/>
      <c r="AK251" s="77"/>
      <c r="AL251" s="77"/>
      <c r="AM251" s="77"/>
      <c r="AN251" s="77"/>
      <c r="AO251" s="75">
        <v>3</v>
      </c>
      <c r="AP251" s="75"/>
      <c r="AQ251" s="75"/>
      <c r="AR251" s="75"/>
      <c r="AS251" s="75"/>
      <c r="AT251" s="75"/>
      <c r="AU251" s="75"/>
      <c r="AV251" s="75"/>
      <c r="AW251" s="65"/>
      <c r="AX251" s="65"/>
      <c r="AY251" s="65"/>
      <c r="AZ251" s="65"/>
      <c r="BA251" s="65"/>
      <c r="BB251" s="65"/>
      <c r="BC251" s="65"/>
      <c r="BD251" s="65"/>
      <c r="BE251" s="73">
        <f t="shared" si="8"/>
        <v>3</v>
      </c>
      <c r="BF251" s="73"/>
      <c r="BG251" s="73"/>
      <c r="BH251" s="73"/>
      <c r="BI251" s="73"/>
      <c r="BJ251" s="73"/>
      <c r="BK251" s="73"/>
      <c r="BL251" s="73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</row>
    <row r="252" spans="1:85" ht="17.25" customHeight="1" x14ac:dyDescent="0.2">
      <c r="A252" s="65"/>
      <c r="B252" s="65"/>
      <c r="C252" s="65"/>
      <c r="D252" s="65"/>
      <c r="E252" s="65"/>
      <c r="F252" s="65"/>
      <c r="G252" s="83" t="s">
        <v>52</v>
      </c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72"/>
      <c r="BF252" s="72"/>
      <c r="BG252" s="72"/>
      <c r="BH252" s="72"/>
      <c r="BI252" s="72"/>
      <c r="BJ252" s="72"/>
      <c r="BK252" s="72"/>
      <c r="BL252" s="72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</row>
    <row r="253" spans="1:85" ht="18.75" customHeight="1" x14ac:dyDescent="0.2">
      <c r="A253" s="65"/>
      <c r="B253" s="65"/>
      <c r="C253" s="65"/>
      <c r="D253" s="65"/>
      <c r="E253" s="65"/>
      <c r="F253" s="65"/>
      <c r="G253" s="68" t="s">
        <v>186</v>
      </c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77" t="s">
        <v>49</v>
      </c>
      <c r="AA253" s="77"/>
      <c r="AB253" s="77"/>
      <c r="AC253" s="77"/>
      <c r="AD253" s="77"/>
      <c r="AE253" s="65" t="s">
        <v>62</v>
      </c>
      <c r="AF253" s="65"/>
      <c r="AG253" s="65"/>
      <c r="AH253" s="65"/>
      <c r="AI253" s="65"/>
      <c r="AJ253" s="65"/>
      <c r="AK253" s="65"/>
      <c r="AL253" s="65"/>
      <c r="AM253" s="65"/>
      <c r="AN253" s="65"/>
      <c r="AO253" s="72">
        <f>AO227/AO245</f>
        <v>152000</v>
      </c>
      <c r="AP253" s="72"/>
      <c r="AQ253" s="72"/>
      <c r="AR253" s="72"/>
      <c r="AS253" s="72"/>
      <c r="AT253" s="72"/>
      <c r="AU253" s="72"/>
      <c r="AV253" s="72"/>
      <c r="AW253" s="65"/>
      <c r="AX253" s="65"/>
      <c r="AY253" s="65"/>
      <c r="AZ253" s="65"/>
      <c r="BA253" s="65"/>
      <c r="BB253" s="65"/>
      <c r="BC253" s="65"/>
      <c r="BD253" s="65"/>
      <c r="BE253" s="72">
        <f t="shared" si="8"/>
        <v>152000</v>
      </c>
      <c r="BF253" s="72"/>
      <c r="BG253" s="72"/>
      <c r="BH253" s="72"/>
      <c r="BI253" s="72"/>
      <c r="BJ253" s="72"/>
      <c r="BK253" s="72"/>
      <c r="BL253" s="72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</row>
    <row r="254" spans="1:85" ht="35.25" customHeight="1" x14ac:dyDescent="0.2">
      <c r="A254" s="65"/>
      <c r="B254" s="65"/>
      <c r="C254" s="65"/>
      <c r="D254" s="65"/>
      <c r="E254" s="65"/>
      <c r="F254" s="65"/>
      <c r="G254" s="68" t="s">
        <v>187</v>
      </c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77" t="s">
        <v>49</v>
      </c>
      <c r="AA254" s="77"/>
      <c r="AB254" s="77"/>
      <c r="AC254" s="77"/>
      <c r="AD254" s="77"/>
      <c r="AE254" s="65" t="s">
        <v>62</v>
      </c>
      <c r="AF254" s="65"/>
      <c r="AG254" s="65"/>
      <c r="AH254" s="65"/>
      <c r="AI254" s="65"/>
      <c r="AJ254" s="65"/>
      <c r="AK254" s="65"/>
      <c r="AL254" s="65"/>
      <c r="AM254" s="65"/>
      <c r="AN254" s="65"/>
      <c r="AO254" s="72">
        <f>(AO228+AO230+AO235+AO236+AO237+AO238+AO239+AO240+AO241+AO242+AO243)/AO246</f>
        <v>353454.54545454547</v>
      </c>
      <c r="AP254" s="72"/>
      <c r="AQ254" s="72"/>
      <c r="AR254" s="72"/>
      <c r="AS254" s="72"/>
      <c r="AT254" s="72"/>
      <c r="AU254" s="72"/>
      <c r="AV254" s="72"/>
      <c r="AW254" s="65"/>
      <c r="AX254" s="65"/>
      <c r="AY254" s="65"/>
      <c r="AZ254" s="65"/>
      <c r="BA254" s="65"/>
      <c r="BB254" s="65"/>
      <c r="BC254" s="65"/>
      <c r="BD254" s="65"/>
      <c r="BE254" s="72">
        <f t="shared" si="8"/>
        <v>353454.54545454547</v>
      </c>
      <c r="BF254" s="72"/>
      <c r="BG254" s="72"/>
      <c r="BH254" s="72"/>
      <c r="BI254" s="72"/>
      <c r="BJ254" s="72"/>
      <c r="BK254" s="72"/>
      <c r="BL254" s="72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</row>
    <row r="255" spans="1:85" ht="32.25" customHeight="1" x14ac:dyDescent="0.2">
      <c r="A255" s="65"/>
      <c r="B255" s="65"/>
      <c r="C255" s="65"/>
      <c r="D255" s="65"/>
      <c r="E255" s="65"/>
      <c r="F255" s="65"/>
      <c r="G255" s="68" t="s">
        <v>242</v>
      </c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77" t="s">
        <v>49</v>
      </c>
      <c r="AA255" s="77"/>
      <c r="AB255" s="77"/>
      <c r="AC255" s="77"/>
      <c r="AD255" s="77"/>
      <c r="AE255" s="65" t="s">
        <v>62</v>
      </c>
      <c r="AF255" s="65"/>
      <c r="AG255" s="65"/>
      <c r="AH255" s="65"/>
      <c r="AI255" s="65"/>
      <c r="AJ255" s="65"/>
      <c r="AK255" s="65"/>
      <c r="AL255" s="65"/>
      <c r="AM255" s="65"/>
      <c r="AN255" s="65"/>
      <c r="AO255" s="72">
        <f>AO229/AO248</f>
        <v>100000</v>
      </c>
      <c r="AP255" s="72"/>
      <c r="AQ255" s="72"/>
      <c r="AR255" s="72"/>
      <c r="AS255" s="72"/>
      <c r="AT255" s="72"/>
      <c r="AU255" s="72"/>
      <c r="AV255" s="72"/>
      <c r="AW255" s="65"/>
      <c r="AX255" s="65"/>
      <c r="AY255" s="65"/>
      <c r="AZ255" s="65"/>
      <c r="BA255" s="65"/>
      <c r="BB255" s="65"/>
      <c r="BC255" s="65"/>
      <c r="BD255" s="65"/>
      <c r="BE255" s="72">
        <f t="shared" si="8"/>
        <v>100000</v>
      </c>
      <c r="BF255" s="72"/>
      <c r="BG255" s="72"/>
      <c r="BH255" s="72"/>
      <c r="BI255" s="72"/>
      <c r="BJ255" s="72"/>
      <c r="BK255" s="72"/>
      <c r="BL255" s="72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</row>
    <row r="256" spans="1:85" ht="33" customHeight="1" x14ac:dyDescent="0.2">
      <c r="A256" s="65"/>
      <c r="B256" s="65"/>
      <c r="C256" s="65"/>
      <c r="D256" s="65"/>
      <c r="E256" s="65"/>
      <c r="F256" s="65"/>
      <c r="G256" s="68" t="s">
        <v>188</v>
      </c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77" t="s">
        <v>49</v>
      </c>
      <c r="AA256" s="77"/>
      <c r="AB256" s="77"/>
      <c r="AC256" s="77"/>
      <c r="AD256" s="77"/>
      <c r="AE256" s="65" t="s">
        <v>62</v>
      </c>
      <c r="AF256" s="65"/>
      <c r="AG256" s="65"/>
      <c r="AH256" s="65"/>
      <c r="AI256" s="65"/>
      <c r="AJ256" s="65"/>
      <c r="AK256" s="65"/>
      <c r="AL256" s="65"/>
      <c r="AM256" s="65"/>
      <c r="AN256" s="65"/>
      <c r="AO256" s="72">
        <f>AO231/AO249</f>
        <v>42500</v>
      </c>
      <c r="AP256" s="72"/>
      <c r="AQ256" s="72"/>
      <c r="AR256" s="72"/>
      <c r="AS256" s="72"/>
      <c r="AT256" s="72"/>
      <c r="AU256" s="72"/>
      <c r="AV256" s="72"/>
      <c r="AW256" s="65"/>
      <c r="AX256" s="65"/>
      <c r="AY256" s="65"/>
      <c r="AZ256" s="65"/>
      <c r="BA256" s="65"/>
      <c r="BB256" s="65"/>
      <c r="BC256" s="65"/>
      <c r="BD256" s="65"/>
      <c r="BE256" s="72">
        <f t="shared" si="8"/>
        <v>42500</v>
      </c>
      <c r="BF256" s="72"/>
      <c r="BG256" s="72"/>
      <c r="BH256" s="72"/>
      <c r="BI256" s="72"/>
      <c r="BJ256" s="72"/>
      <c r="BK256" s="72"/>
      <c r="BL256" s="72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</row>
    <row r="257" spans="1:85" ht="35.25" customHeight="1" x14ac:dyDescent="0.2">
      <c r="A257" s="65"/>
      <c r="B257" s="65"/>
      <c r="C257" s="65"/>
      <c r="D257" s="65"/>
      <c r="E257" s="65"/>
      <c r="F257" s="65"/>
      <c r="G257" s="68" t="s">
        <v>189</v>
      </c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77" t="s">
        <v>49</v>
      </c>
      <c r="AA257" s="77"/>
      <c r="AB257" s="77"/>
      <c r="AC257" s="77"/>
      <c r="AD257" s="77"/>
      <c r="AE257" s="65" t="s">
        <v>62</v>
      </c>
      <c r="AF257" s="65"/>
      <c r="AG257" s="65"/>
      <c r="AH257" s="65"/>
      <c r="AI257" s="65"/>
      <c r="AJ257" s="65"/>
      <c r="AK257" s="65"/>
      <c r="AL257" s="65"/>
      <c r="AM257" s="65"/>
      <c r="AN257" s="65"/>
      <c r="AO257" s="72">
        <f>AO232/AO250</f>
        <v>6000</v>
      </c>
      <c r="AP257" s="72"/>
      <c r="AQ257" s="72"/>
      <c r="AR257" s="72"/>
      <c r="AS257" s="72"/>
      <c r="AT257" s="72"/>
      <c r="AU257" s="72"/>
      <c r="AV257" s="72"/>
      <c r="AW257" s="65"/>
      <c r="AX257" s="65"/>
      <c r="AY257" s="65"/>
      <c r="AZ257" s="65"/>
      <c r="BA257" s="65"/>
      <c r="BB257" s="65"/>
      <c r="BC257" s="65"/>
      <c r="BD257" s="65"/>
      <c r="BE257" s="72">
        <f t="shared" si="8"/>
        <v>6000</v>
      </c>
      <c r="BF257" s="72"/>
      <c r="BG257" s="72"/>
      <c r="BH257" s="72"/>
      <c r="BI257" s="72"/>
      <c r="BJ257" s="72"/>
      <c r="BK257" s="72"/>
      <c r="BL257" s="72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</row>
    <row r="258" spans="1:85" ht="31.5" customHeight="1" x14ac:dyDescent="0.2">
      <c r="A258" s="65"/>
      <c r="B258" s="65"/>
      <c r="C258" s="65"/>
      <c r="D258" s="65"/>
      <c r="E258" s="65"/>
      <c r="F258" s="65"/>
      <c r="G258" s="68" t="s">
        <v>190</v>
      </c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77" t="s">
        <v>49</v>
      </c>
      <c r="AA258" s="77"/>
      <c r="AB258" s="77"/>
      <c r="AC258" s="77"/>
      <c r="AD258" s="77"/>
      <c r="AE258" s="65" t="s">
        <v>62</v>
      </c>
      <c r="AF258" s="65"/>
      <c r="AG258" s="65"/>
      <c r="AH258" s="65"/>
      <c r="AI258" s="65"/>
      <c r="AJ258" s="65"/>
      <c r="AK258" s="65"/>
      <c r="AL258" s="65"/>
      <c r="AM258" s="65"/>
      <c r="AN258" s="65"/>
      <c r="AO258" s="72">
        <f>AO233/AO251</f>
        <v>83333.333333333328</v>
      </c>
      <c r="AP258" s="72"/>
      <c r="AQ258" s="72"/>
      <c r="AR258" s="72"/>
      <c r="AS258" s="72"/>
      <c r="AT258" s="72"/>
      <c r="AU258" s="72"/>
      <c r="AV258" s="72"/>
      <c r="AW258" s="65"/>
      <c r="AX258" s="65"/>
      <c r="AY258" s="65"/>
      <c r="AZ258" s="65"/>
      <c r="BA258" s="65"/>
      <c r="BB258" s="65"/>
      <c r="BC258" s="65"/>
      <c r="BD258" s="65"/>
      <c r="BE258" s="72">
        <f t="shared" si="8"/>
        <v>83333.333333333328</v>
      </c>
      <c r="BF258" s="72"/>
      <c r="BG258" s="72"/>
      <c r="BH258" s="72"/>
      <c r="BI258" s="72"/>
      <c r="BJ258" s="72"/>
      <c r="BK258" s="72"/>
      <c r="BL258" s="72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</row>
    <row r="259" spans="1:85" ht="19.5" customHeight="1" x14ac:dyDescent="0.2">
      <c r="A259" s="65"/>
      <c r="B259" s="65"/>
      <c r="C259" s="65"/>
      <c r="D259" s="65"/>
      <c r="E259" s="65"/>
      <c r="F259" s="65"/>
      <c r="G259" s="68" t="s">
        <v>191</v>
      </c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77" t="s">
        <v>49</v>
      </c>
      <c r="AA259" s="77"/>
      <c r="AB259" s="77"/>
      <c r="AC259" s="77"/>
      <c r="AD259" s="77"/>
      <c r="AE259" s="65" t="s">
        <v>62</v>
      </c>
      <c r="AF259" s="65"/>
      <c r="AG259" s="65"/>
      <c r="AH259" s="65"/>
      <c r="AI259" s="65"/>
      <c r="AJ259" s="65"/>
      <c r="AK259" s="65"/>
      <c r="AL259" s="65"/>
      <c r="AM259" s="65"/>
      <c r="AN259" s="65"/>
      <c r="AO259" s="72">
        <f>AO234</f>
        <v>50000</v>
      </c>
      <c r="AP259" s="72"/>
      <c r="AQ259" s="72"/>
      <c r="AR259" s="72"/>
      <c r="AS259" s="72"/>
      <c r="AT259" s="72"/>
      <c r="AU259" s="72"/>
      <c r="AV259" s="72"/>
      <c r="AW259" s="65"/>
      <c r="AX259" s="65"/>
      <c r="AY259" s="65"/>
      <c r="AZ259" s="65"/>
      <c r="BA259" s="65"/>
      <c r="BB259" s="65"/>
      <c r="BC259" s="65"/>
      <c r="BD259" s="65"/>
      <c r="BE259" s="72">
        <f t="shared" si="8"/>
        <v>50000</v>
      </c>
      <c r="BF259" s="72"/>
      <c r="BG259" s="72"/>
      <c r="BH259" s="72"/>
      <c r="BI259" s="72"/>
      <c r="BJ259" s="72"/>
      <c r="BK259" s="72"/>
      <c r="BL259" s="72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</row>
    <row r="260" spans="1:85" ht="18.75" customHeight="1" x14ac:dyDescent="0.2">
      <c r="A260" s="65"/>
      <c r="B260" s="65"/>
      <c r="C260" s="65"/>
      <c r="D260" s="65"/>
      <c r="E260" s="65"/>
      <c r="F260" s="65"/>
      <c r="G260" s="83" t="s">
        <v>53</v>
      </c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209"/>
      <c r="AA260" s="209"/>
      <c r="AB260" s="209"/>
      <c r="AC260" s="209"/>
      <c r="AD260" s="209"/>
      <c r="AE260" s="209"/>
      <c r="AF260" s="209"/>
      <c r="AG260" s="209"/>
      <c r="AH260" s="209"/>
      <c r="AI260" s="209"/>
      <c r="AJ260" s="209"/>
      <c r="AK260" s="209"/>
      <c r="AL260" s="209"/>
      <c r="AM260" s="209"/>
      <c r="AN260" s="209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72"/>
      <c r="BF260" s="72"/>
      <c r="BG260" s="72"/>
      <c r="BH260" s="72"/>
      <c r="BI260" s="72"/>
      <c r="BJ260" s="72"/>
      <c r="BK260" s="72"/>
      <c r="BL260" s="72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</row>
    <row r="261" spans="1:85" ht="35.25" customHeight="1" x14ac:dyDescent="0.2">
      <c r="A261" s="65"/>
      <c r="B261" s="65"/>
      <c r="C261" s="65"/>
      <c r="D261" s="65"/>
      <c r="E261" s="65"/>
      <c r="F261" s="65"/>
      <c r="G261" s="68" t="s">
        <v>192</v>
      </c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77" t="s">
        <v>54</v>
      </c>
      <c r="AA261" s="77"/>
      <c r="AB261" s="77"/>
      <c r="AC261" s="77"/>
      <c r="AD261" s="77"/>
      <c r="AE261" s="65" t="s">
        <v>62</v>
      </c>
      <c r="AF261" s="65"/>
      <c r="AG261" s="65"/>
      <c r="AH261" s="65"/>
      <c r="AI261" s="65"/>
      <c r="AJ261" s="65"/>
      <c r="AK261" s="65"/>
      <c r="AL261" s="65"/>
      <c r="AM261" s="65"/>
      <c r="AN261" s="65"/>
      <c r="AO261" s="72">
        <f>AO227/134870*100</f>
        <v>112.70111959664864</v>
      </c>
      <c r="AP261" s="72"/>
      <c r="AQ261" s="72"/>
      <c r="AR261" s="72"/>
      <c r="AS261" s="72"/>
      <c r="AT261" s="72"/>
      <c r="AU261" s="72"/>
      <c r="AV261" s="72"/>
      <c r="AW261" s="65"/>
      <c r="AX261" s="65"/>
      <c r="AY261" s="65"/>
      <c r="AZ261" s="65"/>
      <c r="BA261" s="65"/>
      <c r="BB261" s="65"/>
      <c r="BC261" s="65"/>
      <c r="BD261" s="65"/>
      <c r="BE261" s="72">
        <f t="shared" si="8"/>
        <v>112.70111959664864</v>
      </c>
      <c r="BF261" s="72"/>
      <c r="BG261" s="72"/>
      <c r="BH261" s="72"/>
      <c r="BI261" s="72"/>
      <c r="BJ261" s="72"/>
      <c r="BK261" s="72"/>
      <c r="BL261" s="72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</row>
    <row r="262" spans="1:85" ht="52.5" customHeight="1" x14ac:dyDescent="0.2">
      <c r="A262" s="65"/>
      <c r="B262" s="65"/>
      <c r="C262" s="65"/>
      <c r="D262" s="65"/>
      <c r="E262" s="65"/>
      <c r="F262" s="65"/>
      <c r="G262" s="98" t="s">
        <v>193</v>
      </c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77" t="s">
        <v>54</v>
      </c>
      <c r="AA262" s="77"/>
      <c r="AB262" s="77"/>
      <c r="AC262" s="77"/>
      <c r="AD262" s="77"/>
      <c r="AE262" s="65" t="s">
        <v>62</v>
      </c>
      <c r="AF262" s="65"/>
      <c r="AG262" s="65"/>
      <c r="AH262" s="65"/>
      <c r="AI262" s="65"/>
      <c r="AJ262" s="65"/>
      <c r="AK262" s="65"/>
      <c r="AL262" s="65"/>
      <c r="AM262" s="65"/>
      <c r="AN262" s="65"/>
      <c r="AO262" s="191">
        <f>AO246/11*100</f>
        <v>100</v>
      </c>
      <c r="AP262" s="191"/>
      <c r="AQ262" s="191"/>
      <c r="AR262" s="191"/>
      <c r="AS262" s="191"/>
      <c r="AT262" s="191"/>
      <c r="AU262" s="191"/>
      <c r="AV262" s="191"/>
      <c r="AW262" s="65"/>
      <c r="AX262" s="65"/>
      <c r="AY262" s="65"/>
      <c r="AZ262" s="65"/>
      <c r="BA262" s="65"/>
      <c r="BB262" s="65"/>
      <c r="BC262" s="65"/>
      <c r="BD262" s="65"/>
      <c r="BE262" s="72">
        <f t="shared" si="8"/>
        <v>100</v>
      </c>
      <c r="BF262" s="72"/>
      <c r="BG262" s="72"/>
      <c r="BH262" s="72"/>
      <c r="BI262" s="72"/>
      <c r="BJ262" s="72"/>
      <c r="BK262" s="72"/>
      <c r="BL262" s="72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</row>
    <row r="263" spans="1:85" ht="68.25" customHeight="1" x14ac:dyDescent="0.2">
      <c r="A263" s="65"/>
      <c r="B263" s="65"/>
      <c r="C263" s="65"/>
      <c r="D263" s="65"/>
      <c r="E263" s="65"/>
      <c r="F263" s="65"/>
      <c r="G263" s="98" t="s">
        <v>194</v>
      </c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77" t="s">
        <v>54</v>
      </c>
      <c r="AA263" s="77"/>
      <c r="AB263" s="77"/>
      <c r="AC263" s="77"/>
      <c r="AD263" s="77"/>
      <c r="AE263" s="65" t="s">
        <v>62</v>
      </c>
      <c r="AF263" s="65"/>
      <c r="AG263" s="65"/>
      <c r="AH263" s="65"/>
      <c r="AI263" s="65"/>
      <c r="AJ263" s="65"/>
      <c r="AK263" s="65"/>
      <c r="AL263" s="65"/>
      <c r="AM263" s="65"/>
      <c r="AN263" s="65"/>
      <c r="AO263" s="72">
        <f>AO248/AO247*100</f>
        <v>26.315789473684209</v>
      </c>
      <c r="AP263" s="72"/>
      <c r="AQ263" s="72"/>
      <c r="AR263" s="72"/>
      <c r="AS263" s="72"/>
      <c r="AT263" s="72"/>
      <c r="AU263" s="72"/>
      <c r="AV263" s="72"/>
      <c r="AW263" s="65"/>
      <c r="AX263" s="65"/>
      <c r="AY263" s="65"/>
      <c r="AZ263" s="65"/>
      <c r="BA263" s="65"/>
      <c r="BB263" s="65"/>
      <c r="BC263" s="65"/>
      <c r="BD263" s="65"/>
      <c r="BE263" s="72">
        <f t="shared" si="8"/>
        <v>26.315789473684209</v>
      </c>
      <c r="BF263" s="72"/>
      <c r="BG263" s="72"/>
      <c r="BH263" s="72"/>
      <c r="BI263" s="72"/>
      <c r="BJ263" s="72"/>
      <c r="BK263" s="72"/>
      <c r="BL263" s="72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</row>
    <row r="264" spans="1:85" ht="47.25" customHeight="1" x14ac:dyDescent="0.2">
      <c r="A264" s="65"/>
      <c r="B264" s="65"/>
      <c r="C264" s="65"/>
      <c r="D264" s="65"/>
      <c r="E264" s="65"/>
      <c r="F264" s="65"/>
      <c r="G264" s="98" t="s">
        <v>195</v>
      </c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77" t="s">
        <v>54</v>
      </c>
      <c r="AA264" s="77"/>
      <c r="AB264" s="77"/>
      <c r="AC264" s="77"/>
      <c r="AD264" s="77"/>
      <c r="AE264" s="65" t="s">
        <v>62</v>
      </c>
      <c r="AF264" s="65"/>
      <c r="AG264" s="65"/>
      <c r="AH264" s="65"/>
      <c r="AI264" s="65"/>
      <c r="AJ264" s="65"/>
      <c r="AK264" s="65"/>
      <c r="AL264" s="65"/>
      <c r="AM264" s="65"/>
      <c r="AN264" s="65"/>
      <c r="AO264" s="72">
        <f>AO249/44*100</f>
        <v>13.636363636363635</v>
      </c>
      <c r="AP264" s="72"/>
      <c r="AQ264" s="72"/>
      <c r="AR264" s="72"/>
      <c r="AS264" s="72"/>
      <c r="AT264" s="72"/>
      <c r="AU264" s="72"/>
      <c r="AV264" s="72"/>
      <c r="AW264" s="65"/>
      <c r="AX264" s="65"/>
      <c r="AY264" s="65"/>
      <c r="AZ264" s="65"/>
      <c r="BA264" s="65"/>
      <c r="BB264" s="65"/>
      <c r="BC264" s="65"/>
      <c r="BD264" s="65"/>
      <c r="BE264" s="72">
        <f t="shared" si="8"/>
        <v>13.636363636363635</v>
      </c>
      <c r="BF264" s="72"/>
      <c r="BG264" s="72"/>
      <c r="BH264" s="72"/>
      <c r="BI264" s="72"/>
      <c r="BJ264" s="72"/>
      <c r="BK264" s="72"/>
      <c r="BL264" s="72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</row>
    <row r="265" spans="1:85" ht="34.5" customHeight="1" x14ac:dyDescent="0.2">
      <c r="A265" s="65"/>
      <c r="B265" s="65"/>
      <c r="C265" s="65"/>
      <c r="D265" s="65"/>
      <c r="E265" s="65"/>
      <c r="F265" s="65"/>
      <c r="G265" s="98" t="s">
        <v>196</v>
      </c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77" t="s">
        <v>54</v>
      </c>
      <c r="AA265" s="77"/>
      <c r="AB265" s="77"/>
      <c r="AC265" s="77"/>
      <c r="AD265" s="77"/>
      <c r="AE265" s="65" t="s">
        <v>62</v>
      </c>
      <c r="AF265" s="65"/>
      <c r="AG265" s="65"/>
      <c r="AH265" s="65"/>
      <c r="AI265" s="65"/>
      <c r="AJ265" s="65"/>
      <c r="AK265" s="65"/>
      <c r="AL265" s="65"/>
      <c r="AM265" s="65"/>
      <c r="AN265" s="65"/>
      <c r="AO265" s="72">
        <f>AO250/50*100</f>
        <v>100</v>
      </c>
      <c r="AP265" s="72"/>
      <c r="AQ265" s="72"/>
      <c r="AR265" s="72"/>
      <c r="AS265" s="72"/>
      <c r="AT265" s="72"/>
      <c r="AU265" s="72"/>
      <c r="AV265" s="72"/>
      <c r="AW265" s="65"/>
      <c r="AX265" s="65"/>
      <c r="AY265" s="65"/>
      <c r="AZ265" s="65"/>
      <c r="BA265" s="65"/>
      <c r="BB265" s="65"/>
      <c r="BC265" s="65"/>
      <c r="BD265" s="65"/>
      <c r="BE265" s="72">
        <f t="shared" si="8"/>
        <v>100</v>
      </c>
      <c r="BF265" s="72"/>
      <c r="BG265" s="72"/>
      <c r="BH265" s="72"/>
      <c r="BI265" s="72"/>
      <c r="BJ265" s="72"/>
      <c r="BK265" s="72"/>
      <c r="BL265" s="72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</row>
    <row r="266" spans="1:85" ht="66.75" customHeight="1" x14ac:dyDescent="0.2">
      <c r="A266" s="65"/>
      <c r="B266" s="65"/>
      <c r="C266" s="65"/>
      <c r="D266" s="65"/>
      <c r="E266" s="65"/>
      <c r="F266" s="65"/>
      <c r="G266" s="98" t="s">
        <v>197</v>
      </c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77" t="s">
        <v>54</v>
      </c>
      <c r="AA266" s="77"/>
      <c r="AB266" s="77"/>
      <c r="AC266" s="77"/>
      <c r="AD266" s="77"/>
      <c r="AE266" s="65" t="s">
        <v>62</v>
      </c>
      <c r="AF266" s="65"/>
      <c r="AG266" s="65"/>
      <c r="AH266" s="65"/>
      <c r="AI266" s="65"/>
      <c r="AJ266" s="65"/>
      <c r="AK266" s="65"/>
      <c r="AL266" s="65"/>
      <c r="AM266" s="65"/>
      <c r="AN266" s="65"/>
      <c r="AO266" s="72">
        <f>AO251/3*100</f>
        <v>100</v>
      </c>
      <c r="AP266" s="72"/>
      <c r="AQ266" s="72"/>
      <c r="AR266" s="72"/>
      <c r="AS266" s="72"/>
      <c r="AT266" s="72"/>
      <c r="AU266" s="72"/>
      <c r="AV266" s="72"/>
      <c r="AW266" s="65"/>
      <c r="AX266" s="65"/>
      <c r="AY266" s="65"/>
      <c r="AZ266" s="65"/>
      <c r="BA266" s="65"/>
      <c r="BB266" s="65"/>
      <c r="BC266" s="65"/>
      <c r="BD266" s="65"/>
      <c r="BE266" s="72">
        <f t="shared" si="8"/>
        <v>100</v>
      </c>
      <c r="BF266" s="72"/>
      <c r="BG266" s="72"/>
      <c r="BH266" s="72"/>
      <c r="BI266" s="72"/>
      <c r="BJ266" s="72"/>
      <c r="BK266" s="72"/>
      <c r="BL266" s="72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</row>
    <row r="267" spans="1:85" ht="15.75" customHeight="1" x14ac:dyDescent="0.2">
      <c r="A267" s="216"/>
      <c r="B267" s="216"/>
      <c r="C267" s="216"/>
      <c r="D267" s="216"/>
      <c r="E267" s="216"/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6"/>
      <c r="AA267" s="216"/>
      <c r="AB267" s="216"/>
      <c r="AC267" s="216"/>
      <c r="AD267" s="216"/>
      <c r="AE267" s="216"/>
      <c r="AF267" s="216"/>
      <c r="AG267" s="216"/>
      <c r="AH267" s="216"/>
      <c r="AI267" s="216"/>
      <c r="AJ267" s="216"/>
      <c r="AK267" s="216"/>
      <c r="AL267" s="216"/>
      <c r="AM267" s="216"/>
      <c r="AN267" s="216"/>
      <c r="AO267" s="216"/>
      <c r="AP267" s="216"/>
      <c r="AQ267" s="216"/>
      <c r="AR267" s="216"/>
      <c r="AS267" s="216"/>
      <c r="AT267" s="216"/>
      <c r="AU267" s="216"/>
      <c r="AV267" s="216"/>
      <c r="AW267" s="216"/>
      <c r="AX267" s="216"/>
      <c r="AY267" s="216"/>
      <c r="AZ267" s="216"/>
      <c r="BA267" s="216"/>
      <c r="BB267" s="216"/>
      <c r="BC267" s="216"/>
      <c r="BD267" s="216"/>
      <c r="BE267" s="216"/>
      <c r="BF267" s="216"/>
      <c r="BG267" s="216"/>
      <c r="BH267" s="216"/>
      <c r="BI267" s="216"/>
      <c r="BJ267" s="216"/>
      <c r="BK267" s="216"/>
      <c r="BL267" s="216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</row>
    <row r="268" spans="1:85" ht="35.25" customHeight="1" x14ac:dyDescent="0.2">
      <c r="A268" s="65" t="s">
        <v>15</v>
      </c>
      <c r="B268" s="65"/>
      <c r="C268" s="65"/>
      <c r="D268" s="65"/>
      <c r="E268" s="65"/>
      <c r="F268" s="65"/>
      <c r="G268" s="65" t="s">
        <v>28</v>
      </c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 t="s">
        <v>2</v>
      </c>
      <c r="AA268" s="65"/>
      <c r="AB268" s="65"/>
      <c r="AC268" s="65"/>
      <c r="AD268" s="65"/>
      <c r="AE268" s="65" t="s">
        <v>1</v>
      </c>
      <c r="AF268" s="65"/>
      <c r="AG268" s="65"/>
      <c r="AH268" s="65"/>
      <c r="AI268" s="65"/>
      <c r="AJ268" s="65"/>
      <c r="AK268" s="65"/>
      <c r="AL268" s="65"/>
      <c r="AM268" s="65"/>
      <c r="AN268" s="65"/>
      <c r="AO268" s="65" t="s">
        <v>16</v>
      </c>
      <c r="AP268" s="65"/>
      <c r="AQ268" s="65"/>
      <c r="AR268" s="65"/>
      <c r="AS268" s="65"/>
      <c r="AT268" s="65"/>
      <c r="AU268" s="65"/>
      <c r="AV268" s="65"/>
      <c r="AW268" s="65" t="s">
        <v>17</v>
      </c>
      <c r="AX268" s="65"/>
      <c r="AY268" s="65"/>
      <c r="AZ268" s="65"/>
      <c r="BA268" s="65"/>
      <c r="BB268" s="65"/>
      <c r="BC268" s="65"/>
      <c r="BD268" s="65"/>
      <c r="BE268" s="65" t="s">
        <v>14</v>
      </c>
      <c r="BF268" s="65"/>
      <c r="BG268" s="65"/>
      <c r="BH268" s="65"/>
      <c r="BI268" s="65"/>
      <c r="BJ268" s="65"/>
      <c r="BK268" s="65"/>
      <c r="BL268" s="65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</row>
    <row r="269" spans="1:85" ht="16.5" customHeight="1" x14ac:dyDescent="0.2">
      <c r="A269" s="65">
        <v>1</v>
      </c>
      <c r="B269" s="65"/>
      <c r="C269" s="65"/>
      <c r="D269" s="65"/>
      <c r="E269" s="65"/>
      <c r="F269" s="65"/>
      <c r="G269" s="65">
        <v>2</v>
      </c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>
        <v>3</v>
      </c>
      <c r="AA269" s="65"/>
      <c r="AB269" s="65"/>
      <c r="AC269" s="65"/>
      <c r="AD269" s="65"/>
      <c r="AE269" s="65">
        <v>4</v>
      </c>
      <c r="AF269" s="65"/>
      <c r="AG269" s="65"/>
      <c r="AH269" s="65"/>
      <c r="AI269" s="65"/>
      <c r="AJ269" s="65"/>
      <c r="AK269" s="65"/>
      <c r="AL269" s="65"/>
      <c r="AM269" s="65"/>
      <c r="AN269" s="65"/>
      <c r="AO269" s="65">
        <v>5</v>
      </c>
      <c r="AP269" s="65"/>
      <c r="AQ269" s="65"/>
      <c r="AR269" s="65"/>
      <c r="AS269" s="65"/>
      <c r="AT269" s="65"/>
      <c r="AU269" s="65"/>
      <c r="AV269" s="65"/>
      <c r="AW269" s="65">
        <v>6</v>
      </c>
      <c r="AX269" s="65"/>
      <c r="AY269" s="65"/>
      <c r="AZ269" s="65"/>
      <c r="BA269" s="65"/>
      <c r="BB269" s="65"/>
      <c r="BC269" s="65"/>
      <c r="BD269" s="65"/>
      <c r="BE269" s="65">
        <v>7</v>
      </c>
      <c r="BF269" s="65"/>
      <c r="BG269" s="65"/>
      <c r="BH269" s="65"/>
      <c r="BI269" s="65"/>
      <c r="BJ269" s="65"/>
      <c r="BK269" s="65"/>
      <c r="BL269" s="65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</row>
    <row r="270" spans="1:85" ht="35.25" customHeight="1" x14ac:dyDescent="0.2">
      <c r="A270" s="67"/>
      <c r="B270" s="67"/>
      <c r="C270" s="67"/>
      <c r="D270" s="67"/>
      <c r="E270" s="67"/>
      <c r="F270" s="67"/>
      <c r="G270" s="93" t="s">
        <v>81</v>
      </c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  <c r="BE270" s="93"/>
      <c r="BF270" s="93"/>
      <c r="BG270" s="93"/>
      <c r="BH270" s="93"/>
      <c r="BI270" s="93"/>
      <c r="BJ270" s="93"/>
      <c r="BK270" s="93"/>
      <c r="BL270" s="93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</row>
    <row r="271" spans="1:85" ht="18" customHeight="1" x14ac:dyDescent="0.2">
      <c r="A271" s="67"/>
      <c r="B271" s="67"/>
      <c r="C271" s="67"/>
      <c r="D271" s="67"/>
      <c r="E271" s="67"/>
      <c r="F271" s="67"/>
      <c r="G271" s="83" t="s">
        <v>48</v>
      </c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69"/>
      <c r="AP271" s="69"/>
      <c r="AQ271" s="69"/>
      <c r="AR271" s="69"/>
      <c r="AS271" s="69"/>
      <c r="AT271" s="69"/>
      <c r="AU271" s="69"/>
      <c r="AV271" s="69"/>
      <c r="AW271" s="67"/>
      <c r="AX271" s="67"/>
      <c r="AY271" s="67"/>
      <c r="AZ271" s="67"/>
      <c r="BA271" s="67"/>
      <c r="BB271" s="67"/>
      <c r="BC271" s="67"/>
      <c r="BD271" s="67"/>
      <c r="BE271" s="72"/>
      <c r="BF271" s="72"/>
      <c r="BG271" s="72"/>
      <c r="BH271" s="72"/>
      <c r="BI271" s="72"/>
      <c r="BJ271" s="72"/>
      <c r="BK271" s="72"/>
      <c r="BL271" s="72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</row>
    <row r="272" spans="1:85" ht="18" customHeight="1" x14ac:dyDescent="0.2">
      <c r="A272" s="66"/>
      <c r="B272" s="66"/>
      <c r="C272" s="66"/>
      <c r="D272" s="66"/>
      <c r="E272" s="66"/>
      <c r="F272" s="66"/>
      <c r="G272" s="78" t="s">
        <v>96</v>
      </c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7" t="s">
        <v>49</v>
      </c>
      <c r="AA272" s="77"/>
      <c r="AB272" s="77"/>
      <c r="AC272" s="77"/>
      <c r="AD272" s="77"/>
      <c r="AE272" s="77" t="s">
        <v>61</v>
      </c>
      <c r="AF272" s="77"/>
      <c r="AG272" s="77"/>
      <c r="AH272" s="77"/>
      <c r="AI272" s="77"/>
      <c r="AJ272" s="77"/>
      <c r="AK272" s="77"/>
      <c r="AL272" s="77"/>
      <c r="AM272" s="77"/>
      <c r="AN272" s="77"/>
      <c r="AO272" s="69">
        <f>SUM(AO273:AV274)</f>
        <v>214914</v>
      </c>
      <c r="AP272" s="69"/>
      <c r="AQ272" s="69"/>
      <c r="AR272" s="69"/>
      <c r="AS272" s="69"/>
      <c r="AT272" s="69"/>
      <c r="AU272" s="69"/>
      <c r="AV272" s="69"/>
      <c r="AW272" s="67"/>
      <c r="AX272" s="67"/>
      <c r="AY272" s="67"/>
      <c r="AZ272" s="67"/>
      <c r="BA272" s="67"/>
      <c r="BB272" s="67"/>
      <c r="BC272" s="67"/>
      <c r="BD272" s="67"/>
      <c r="BE272" s="74">
        <f t="shared" ref="BE272:BE283" si="10">AO272+AW272</f>
        <v>214914</v>
      </c>
      <c r="BF272" s="74"/>
      <c r="BG272" s="74"/>
      <c r="BH272" s="74"/>
      <c r="BI272" s="74"/>
      <c r="BJ272" s="74"/>
      <c r="BK272" s="74"/>
      <c r="BL272" s="74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</row>
    <row r="273" spans="1:85" ht="32.25" customHeight="1" x14ac:dyDescent="0.2">
      <c r="A273" s="66"/>
      <c r="B273" s="66"/>
      <c r="C273" s="66"/>
      <c r="D273" s="66"/>
      <c r="E273" s="66"/>
      <c r="F273" s="66"/>
      <c r="G273" s="101" t="s">
        <v>198</v>
      </c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77" t="s">
        <v>49</v>
      </c>
      <c r="AA273" s="77"/>
      <c r="AB273" s="77"/>
      <c r="AC273" s="77"/>
      <c r="AD273" s="77"/>
      <c r="AE273" s="77" t="s">
        <v>113</v>
      </c>
      <c r="AF273" s="77"/>
      <c r="AG273" s="77"/>
      <c r="AH273" s="77"/>
      <c r="AI273" s="77"/>
      <c r="AJ273" s="77"/>
      <c r="AK273" s="77"/>
      <c r="AL273" s="77"/>
      <c r="AM273" s="77"/>
      <c r="AN273" s="77"/>
      <c r="AO273" s="69">
        <v>152414</v>
      </c>
      <c r="AP273" s="69"/>
      <c r="AQ273" s="69"/>
      <c r="AR273" s="69"/>
      <c r="AS273" s="69"/>
      <c r="AT273" s="69"/>
      <c r="AU273" s="69"/>
      <c r="AV273" s="69"/>
      <c r="AW273" s="67"/>
      <c r="AX273" s="67"/>
      <c r="AY273" s="67"/>
      <c r="AZ273" s="67"/>
      <c r="BA273" s="67"/>
      <c r="BB273" s="67"/>
      <c r="BC273" s="67"/>
      <c r="BD273" s="67"/>
      <c r="BE273" s="74">
        <f t="shared" si="10"/>
        <v>152414</v>
      </c>
      <c r="BF273" s="74"/>
      <c r="BG273" s="74"/>
      <c r="BH273" s="74"/>
      <c r="BI273" s="74"/>
      <c r="BJ273" s="74"/>
      <c r="BK273" s="74"/>
      <c r="BL273" s="74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</row>
    <row r="274" spans="1:85" ht="79.5" customHeight="1" x14ac:dyDescent="0.2">
      <c r="A274" s="66"/>
      <c r="B274" s="66"/>
      <c r="C274" s="66"/>
      <c r="D274" s="66"/>
      <c r="E274" s="66"/>
      <c r="F274" s="66"/>
      <c r="G274" s="98" t="s">
        <v>199</v>
      </c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77" t="s">
        <v>49</v>
      </c>
      <c r="AA274" s="77"/>
      <c r="AB274" s="77"/>
      <c r="AC274" s="77"/>
      <c r="AD274" s="77"/>
      <c r="AE274" s="77" t="s">
        <v>117</v>
      </c>
      <c r="AF274" s="77"/>
      <c r="AG274" s="77"/>
      <c r="AH274" s="77"/>
      <c r="AI274" s="77"/>
      <c r="AJ274" s="77"/>
      <c r="AK274" s="77"/>
      <c r="AL274" s="77"/>
      <c r="AM274" s="77"/>
      <c r="AN274" s="77"/>
      <c r="AO274" s="69">
        <v>62500</v>
      </c>
      <c r="AP274" s="69"/>
      <c r="AQ274" s="69"/>
      <c r="AR274" s="69"/>
      <c r="AS274" s="69"/>
      <c r="AT274" s="69"/>
      <c r="AU274" s="69"/>
      <c r="AV274" s="69"/>
      <c r="AW274" s="67"/>
      <c r="AX274" s="67"/>
      <c r="AY274" s="67"/>
      <c r="AZ274" s="67"/>
      <c r="BA274" s="67"/>
      <c r="BB274" s="67"/>
      <c r="BC274" s="67"/>
      <c r="BD274" s="67"/>
      <c r="BE274" s="74">
        <f t="shared" si="10"/>
        <v>62500</v>
      </c>
      <c r="BF274" s="74"/>
      <c r="BG274" s="74"/>
      <c r="BH274" s="74"/>
      <c r="BI274" s="74"/>
      <c r="BJ274" s="74"/>
      <c r="BK274" s="74"/>
      <c r="BL274" s="74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</row>
    <row r="275" spans="1:85" ht="18" customHeight="1" x14ac:dyDescent="0.2">
      <c r="A275" s="66"/>
      <c r="B275" s="66"/>
      <c r="C275" s="66"/>
      <c r="D275" s="66"/>
      <c r="E275" s="66"/>
      <c r="F275" s="66"/>
      <c r="G275" s="83" t="s">
        <v>51</v>
      </c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67"/>
      <c r="AA275" s="67"/>
      <c r="AB275" s="67"/>
      <c r="AC275" s="67"/>
      <c r="AD275" s="6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69"/>
      <c r="AP275" s="69"/>
      <c r="AQ275" s="69"/>
      <c r="AR275" s="69"/>
      <c r="AS275" s="69"/>
      <c r="AT275" s="69"/>
      <c r="AU275" s="69"/>
      <c r="AV275" s="69"/>
      <c r="AW275" s="67"/>
      <c r="AX275" s="67"/>
      <c r="AY275" s="67"/>
      <c r="AZ275" s="67"/>
      <c r="BA275" s="67"/>
      <c r="BB275" s="67"/>
      <c r="BC275" s="67"/>
      <c r="BD275" s="67"/>
      <c r="BE275" s="72"/>
      <c r="BF275" s="72"/>
      <c r="BG275" s="72"/>
      <c r="BH275" s="72"/>
      <c r="BI275" s="72"/>
      <c r="BJ275" s="72"/>
      <c r="BK275" s="72"/>
      <c r="BL275" s="72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</row>
    <row r="276" spans="1:85" ht="22.5" customHeight="1" x14ac:dyDescent="0.2">
      <c r="A276" s="66"/>
      <c r="B276" s="66"/>
      <c r="C276" s="66"/>
      <c r="D276" s="66"/>
      <c r="E276" s="66"/>
      <c r="F276" s="66"/>
      <c r="G276" s="78" t="s">
        <v>200</v>
      </c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65" t="s">
        <v>50</v>
      </c>
      <c r="AA276" s="65"/>
      <c r="AB276" s="65"/>
      <c r="AC276" s="65"/>
      <c r="AD276" s="65"/>
      <c r="AE276" s="77" t="s">
        <v>117</v>
      </c>
      <c r="AF276" s="77"/>
      <c r="AG276" s="77"/>
      <c r="AH276" s="77"/>
      <c r="AI276" s="77"/>
      <c r="AJ276" s="77"/>
      <c r="AK276" s="77"/>
      <c r="AL276" s="77"/>
      <c r="AM276" s="77"/>
      <c r="AN276" s="77"/>
      <c r="AO276" s="70">
        <v>3</v>
      </c>
      <c r="AP276" s="70"/>
      <c r="AQ276" s="70"/>
      <c r="AR276" s="70"/>
      <c r="AS276" s="70"/>
      <c r="AT276" s="70"/>
      <c r="AU276" s="70"/>
      <c r="AV276" s="70"/>
      <c r="AW276" s="217"/>
      <c r="AX276" s="217"/>
      <c r="AY276" s="217"/>
      <c r="AZ276" s="217"/>
      <c r="BA276" s="217"/>
      <c r="BB276" s="217"/>
      <c r="BC276" s="217"/>
      <c r="BD276" s="217"/>
      <c r="BE276" s="94">
        <f t="shared" si="10"/>
        <v>3</v>
      </c>
      <c r="BF276" s="94"/>
      <c r="BG276" s="94"/>
      <c r="BH276" s="94"/>
      <c r="BI276" s="94"/>
      <c r="BJ276" s="94"/>
      <c r="BK276" s="94"/>
      <c r="BL276" s="94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</row>
    <row r="277" spans="1:85" ht="33" customHeight="1" x14ac:dyDescent="0.2">
      <c r="A277" s="66"/>
      <c r="B277" s="66"/>
      <c r="C277" s="66"/>
      <c r="D277" s="66"/>
      <c r="E277" s="66"/>
      <c r="F277" s="66"/>
      <c r="G277" s="68" t="s">
        <v>201</v>
      </c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5" t="s">
        <v>112</v>
      </c>
      <c r="AA277" s="65"/>
      <c r="AB277" s="65"/>
      <c r="AC277" s="65"/>
      <c r="AD277" s="65"/>
      <c r="AE277" s="77" t="s">
        <v>117</v>
      </c>
      <c r="AF277" s="77"/>
      <c r="AG277" s="77"/>
      <c r="AH277" s="77"/>
      <c r="AI277" s="77"/>
      <c r="AJ277" s="77"/>
      <c r="AK277" s="77"/>
      <c r="AL277" s="77"/>
      <c r="AM277" s="77"/>
      <c r="AN277" s="77"/>
      <c r="AO277" s="71">
        <v>5008</v>
      </c>
      <c r="AP277" s="71"/>
      <c r="AQ277" s="71"/>
      <c r="AR277" s="71"/>
      <c r="AS277" s="71"/>
      <c r="AT277" s="71"/>
      <c r="AU277" s="71"/>
      <c r="AV277" s="71"/>
      <c r="AW277" s="218"/>
      <c r="AX277" s="218"/>
      <c r="AY277" s="218"/>
      <c r="AZ277" s="218"/>
      <c r="BA277" s="218"/>
      <c r="BB277" s="218"/>
      <c r="BC277" s="218"/>
      <c r="BD277" s="218"/>
      <c r="BE277" s="209">
        <f t="shared" si="10"/>
        <v>5008</v>
      </c>
      <c r="BF277" s="209"/>
      <c r="BG277" s="209"/>
      <c r="BH277" s="209"/>
      <c r="BI277" s="209"/>
      <c r="BJ277" s="209"/>
      <c r="BK277" s="209"/>
      <c r="BL277" s="209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</row>
    <row r="278" spans="1:85" ht="18" customHeight="1" x14ac:dyDescent="0.2">
      <c r="A278" s="66"/>
      <c r="B278" s="66"/>
      <c r="C278" s="66"/>
      <c r="D278" s="66"/>
      <c r="E278" s="66"/>
      <c r="F278" s="66"/>
      <c r="G278" s="83" t="s">
        <v>52</v>
      </c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9"/>
      <c r="AP278" s="69"/>
      <c r="AQ278" s="69"/>
      <c r="AR278" s="69"/>
      <c r="AS278" s="69"/>
      <c r="AT278" s="69"/>
      <c r="AU278" s="69"/>
      <c r="AV278" s="69"/>
      <c r="AW278" s="67"/>
      <c r="AX278" s="67"/>
      <c r="AY278" s="67"/>
      <c r="AZ278" s="67"/>
      <c r="BA278" s="67"/>
      <c r="BB278" s="67"/>
      <c r="BC278" s="67"/>
      <c r="BD278" s="67"/>
      <c r="BE278" s="72"/>
      <c r="BF278" s="72"/>
      <c r="BG278" s="72"/>
      <c r="BH278" s="72"/>
      <c r="BI278" s="72"/>
      <c r="BJ278" s="72"/>
      <c r="BK278" s="72"/>
      <c r="BL278" s="72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</row>
    <row r="279" spans="1:85" ht="18" customHeight="1" x14ac:dyDescent="0.2">
      <c r="A279" s="66"/>
      <c r="B279" s="66"/>
      <c r="C279" s="66"/>
      <c r="D279" s="66"/>
      <c r="E279" s="66"/>
      <c r="F279" s="66"/>
      <c r="G279" s="68" t="s">
        <v>202</v>
      </c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77" t="s">
        <v>49</v>
      </c>
      <c r="AA279" s="77"/>
      <c r="AB279" s="77"/>
      <c r="AC279" s="77"/>
      <c r="AD279" s="77"/>
      <c r="AE279" s="65" t="s">
        <v>62</v>
      </c>
      <c r="AF279" s="65"/>
      <c r="AG279" s="65"/>
      <c r="AH279" s="65"/>
      <c r="AI279" s="65"/>
      <c r="AJ279" s="65"/>
      <c r="AK279" s="65"/>
      <c r="AL279" s="65"/>
      <c r="AM279" s="65"/>
      <c r="AN279" s="65"/>
      <c r="AO279" s="69">
        <f>AO273/AO276</f>
        <v>50804.666666666664</v>
      </c>
      <c r="AP279" s="69"/>
      <c r="AQ279" s="69"/>
      <c r="AR279" s="69"/>
      <c r="AS279" s="69"/>
      <c r="AT279" s="69"/>
      <c r="AU279" s="69"/>
      <c r="AV279" s="69"/>
      <c r="AW279" s="67"/>
      <c r="AX279" s="67"/>
      <c r="AY279" s="67"/>
      <c r="AZ279" s="67"/>
      <c r="BA279" s="67"/>
      <c r="BB279" s="67"/>
      <c r="BC279" s="67"/>
      <c r="BD279" s="67"/>
      <c r="BE279" s="72">
        <f t="shared" si="10"/>
        <v>50804.666666666664</v>
      </c>
      <c r="BF279" s="72"/>
      <c r="BG279" s="72"/>
      <c r="BH279" s="72"/>
      <c r="BI279" s="72"/>
      <c r="BJ279" s="72"/>
      <c r="BK279" s="72"/>
      <c r="BL279" s="72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</row>
    <row r="280" spans="1:85" ht="18" customHeight="1" x14ac:dyDescent="0.2">
      <c r="A280" s="66"/>
      <c r="B280" s="66"/>
      <c r="C280" s="66"/>
      <c r="D280" s="66"/>
      <c r="E280" s="66"/>
      <c r="F280" s="66"/>
      <c r="G280" s="100" t="s">
        <v>203</v>
      </c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77" t="s">
        <v>49</v>
      </c>
      <c r="AA280" s="77"/>
      <c r="AB280" s="77"/>
      <c r="AC280" s="77"/>
      <c r="AD280" s="77"/>
      <c r="AE280" s="65" t="s">
        <v>62</v>
      </c>
      <c r="AF280" s="65"/>
      <c r="AG280" s="65"/>
      <c r="AH280" s="65"/>
      <c r="AI280" s="65"/>
      <c r="AJ280" s="65"/>
      <c r="AK280" s="65"/>
      <c r="AL280" s="65"/>
      <c r="AM280" s="65"/>
      <c r="AN280" s="65"/>
      <c r="AO280" s="69">
        <f>AO274/AO277</f>
        <v>12.480031948881789</v>
      </c>
      <c r="AP280" s="69"/>
      <c r="AQ280" s="69"/>
      <c r="AR280" s="69"/>
      <c r="AS280" s="69"/>
      <c r="AT280" s="69"/>
      <c r="AU280" s="69"/>
      <c r="AV280" s="69"/>
      <c r="AW280" s="67"/>
      <c r="AX280" s="67"/>
      <c r="AY280" s="67"/>
      <c r="AZ280" s="67"/>
      <c r="BA280" s="67"/>
      <c r="BB280" s="67"/>
      <c r="BC280" s="67"/>
      <c r="BD280" s="67"/>
      <c r="BE280" s="72">
        <f t="shared" si="10"/>
        <v>12.480031948881789</v>
      </c>
      <c r="BF280" s="72"/>
      <c r="BG280" s="72"/>
      <c r="BH280" s="72"/>
      <c r="BI280" s="72"/>
      <c r="BJ280" s="72"/>
      <c r="BK280" s="72"/>
      <c r="BL280" s="72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</row>
    <row r="281" spans="1:85" ht="18" customHeight="1" x14ac:dyDescent="0.2">
      <c r="A281" s="66"/>
      <c r="B281" s="66"/>
      <c r="C281" s="66"/>
      <c r="D281" s="66"/>
      <c r="E281" s="66"/>
      <c r="F281" s="66"/>
      <c r="G281" s="83" t="s">
        <v>53</v>
      </c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9"/>
      <c r="AP281" s="69"/>
      <c r="AQ281" s="69"/>
      <c r="AR281" s="69"/>
      <c r="AS281" s="69"/>
      <c r="AT281" s="69"/>
      <c r="AU281" s="69"/>
      <c r="AV281" s="69"/>
      <c r="AW281" s="67"/>
      <c r="AX281" s="67"/>
      <c r="AY281" s="67"/>
      <c r="AZ281" s="67"/>
      <c r="BA281" s="67"/>
      <c r="BB281" s="67"/>
      <c r="BC281" s="67"/>
      <c r="BD281" s="67"/>
      <c r="BE281" s="72"/>
      <c r="BF281" s="72"/>
      <c r="BG281" s="72"/>
      <c r="BH281" s="72"/>
      <c r="BI281" s="72"/>
      <c r="BJ281" s="72"/>
      <c r="BK281" s="72"/>
      <c r="BL281" s="72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</row>
    <row r="282" spans="1:85" ht="34.5" customHeight="1" x14ac:dyDescent="0.2">
      <c r="A282" s="66"/>
      <c r="B282" s="66"/>
      <c r="C282" s="66"/>
      <c r="D282" s="66"/>
      <c r="E282" s="66"/>
      <c r="F282" s="66"/>
      <c r="G282" s="68" t="s">
        <v>204</v>
      </c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77" t="s">
        <v>54</v>
      </c>
      <c r="AA282" s="77"/>
      <c r="AB282" s="77"/>
      <c r="AC282" s="77"/>
      <c r="AD282" s="77"/>
      <c r="AE282" s="65" t="s">
        <v>62</v>
      </c>
      <c r="AF282" s="65"/>
      <c r="AG282" s="65"/>
      <c r="AH282" s="65"/>
      <c r="AI282" s="65"/>
      <c r="AJ282" s="65"/>
      <c r="AK282" s="65"/>
      <c r="AL282" s="65"/>
      <c r="AM282" s="65"/>
      <c r="AN282" s="65"/>
      <c r="AO282" s="69">
        <f>AO273/146038.96*100</f>
        <v>104.36530087587587</v>
      </c>
      <c r="AP282" s="69"/>
      <c r="AQ282" s="69"/>
      <c r="AR282" s="69"/>
      <c r="AS282" s="69"/>
      <c r="AT282" s="69"/>
      <c r="AU282" s="69"/>
      <c r="AV282" s="69"/>
      <c r="AW282" s="67"/>
      <c r="AX282" s="67"/>
      <c r="AY282" s="67"/>
      <c r="AZ282" s="67"/>
      <c r="BA282" s="67"/>
      <c r="BB282" s="67"/>
      <c r="BC282" s="67"/>
      <c r="BD282" s="67"/>
      <c r="BE282" s="72">
        <f t="shared" si="10"/>
        <v>104.36530087587587</v>
      </c>
      <c r="BF282" s="72"/>
      <c r="BG282" s="72"/>
      <c r="BH282" s="72"/>
      <c r="BI282" s="72"/>
      <c r="BJ282" s="72"/>
      <c r="BK282" s="72"/>
      <c r="BL282" s="72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</row>
    <row r="283" spans="1:85" ht="48.75" customHeight="1" x14ac:dyDescent="0.2">
      <c r="A283" s="66"/>
      <c r="B283" s="66"/>
      <c r="C283" s="66"/>
      <c r="D283" s="66"/>
      <c r="E283" s="66"/>
      <c r="F283" s="66"/>
      <c r="G283" s="68" t="s">
        <v>205</v>
      </c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77" t="s">
        <v>54</v>
      </c>
      <c r="AA283" s="77"/>
      <c r="AB283" s="77"/>
      <c r="AC283" s="77"/>
      <c r="AD283" s="77"/>
      <c r="AE283" s="65" t="s">
        <v>62</v>
      </c>
      <c r="AF283" s="65"/>
      <c r="AG283" s="65"/>
      <c r="AH283" s="65"/>
      <c r="AI283" s="65"/>
      <c r="AJ283" s="65"/>
      <c r="AK283" s="65"/>
      <c r="AL283" s="65"/>
      <c r="AM283" s="65"/>
      <c r="AN283" s="65"/>
      <c r="AO283" s="69">
        <f>AO277/5008*100</f>
        <v>100</v>
      </c>
      <c r="AP283" s="69"/>
      <c r="AQ283" s="69"/>
      <c r="AR283" s="69"/>
      <c r="AS283" s="69"/>
      <c r="AT283" s="69"/>
      <c r="AU283" s="69"/>
      <c r="AV283" s="69"/>
      <c r="AW283" s="67"/>
      <c r="AX283" s="67"/>
      <c r="AY283" s="67"/>
      <c r="AZ283" s="67"/>
      <c r="BA283" s="67"/>
      <c r="BB283" s="67"/>
      <c r="BC283" s="67"/>
      <c r="BD283" s="67"/>
      <c r="BE283" s="72">
        <f t="shared" si="10"/>
        <v>100</v>
      </c>
      <c r="BF283" s="72"/>
      <c r="BG283" s="72"/>
      <c r="BH283" s="72"/>
      <c r="BI283" s="72"/>
      <c r="BJ283" s="72"/>
      <c r="BK283" s="72"/>
      <c r="BL283" s="72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</row>
    <row r="284" spans="1:85" ht="6" customHeight="1" x14ac:dyDescent="0.2">
      <c r="G284" s="46"/>
      <c r="H284" s="46"/>
      <c r="I284" s="46"/>
      <c r="J284" s="46"/>
      <c r="K284" s="46"/>
      <c r="L284" s="46"/>
      <c r="M284" s="46"/>
      <c r="N284" s="46"/>
      <c r="O284" s="46"/>
      <c r="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</row>
    <row r="285" spans="1:85" ht="33.75" customHeight="1" x14ac:dyDescent="0.2">
      <c r="A285" s="65" t="s">
        <v>15</v>
      </c>
      <c r="B285" s="65"/>
      <c r="C285" s="65"/>
      <c r="D285" s="65"/>
      <c r="E285" s="65"/>
      <c r="F285" s="65"/>
      <c r="G285" s="65" t="s">
        <v>28</v>
      </c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 t="s">
        <v>2</v>
      </c>
      <c r="AA285" s="65"/>
      <c r="AB285" s="65"/>
      <c r="AC285" s="65"/>
      <c r="AD285" s="65"/>
      <c r="AE285" s="65" t="s">
        <v>1</v>
      </c>
      <c r="AF285" s="65"/>
      <c r="AG285" s="65"/>
      <c r="AH285" s="65"/>
      <c r="AI285" s="65"/>
      <c r="AJ285" s="65"/>
      <c r="AK285" s="65"/>
      <c r="AL285" s="65"/>
      <c r="AM285" s="65"/>
      <c r="AN285" s="65"/>
      <c r="AO285" s="65" t="s">
        <v>16</v>
      </c>
      <c r="AP285" s="65"/>
      <c r="AQ285" s="65"/>
      <c r="AR285" s="65"/>
      <c r="AS285" s="65"/>
      <c r="AT285" s="65"/>
      <c r="AU285" s="65"/>
      <c r="AV285" s="65"/>
      <c r="AW285" s="65" t="s">
        <v>17</v>
      </c>
      <c r="AX285" s="65"/>
      <c r="AY285" s="65"/>
      <c r="AZ285" s="65"/>
      <c r="BA285" s="65"/>
      <c r="BB285" s="65"/>
      <c r="BC285" s="65"/>
      <c r="BD285" s="65"/>
      <c r="BE285" s="65" t="s">
        <v>14</v>
      </c>
      <c r="BF285" s="65"/>
      <c r="BG285" s="65"/>
      <c r="BH285" s="65"/>
      <c r="BI285" s="65"/>
      <c r="BJ285" s="65"/>
      <c r="BK285" s="65"/>
      <c r="BL285" s="65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</row>
    <row r="286" spans="1:85" ht="18" customHeight="1" x14ac:dyDescent="0.2">
      <c r="A286" s="65">
        <v>1</v>
      </c>
      <c r="B286" s="65"/>
      <c r="C286" s="65"/>
      <c r="D286" s="65"/>
      <c r="E286" s="65"/>
      <c r="F286" s="65"/>
      <c r="G286" s="65">
        <v>2</v>
      </c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>
        <v>3</v>
      </c>
      <c r="AA286" s="65"/>
      <c r="AB286" s="65"/>
      <c r="AC286" s="65"/>
      <c r="AD286" s="65"/>
      <c r="AE286" s="65">
        <v>4</v>
      </c>
      <c r="AF286" s="65"/>
      <c r="AG286" s="65"/>
      <c r="AH286" s="65"/>
      <c r="AI286" s="65"/>
      <c r="AJ286" s="65"/>
      <c r="AK286" s="65"/>
      <c r="AL286" s="65"/>
      <c r="AM286" s="65"/>
      <c r="AN286" s="65"/>
      <c r="AO286" s="65">
        <v>5</v>
      </c>
      <c r="AP286" s="65"/>
      <c r="AQ286" s="65"/>
      <c r="AR286" s="65"/>
      <c r="AS286" s="65"/>
      <c r="AT286" s="65"/>
      <c r="AU286" s="65"/>
      <c r="AV286" s="65"/>
      <c r="AW286" s="65">
        <v>6</v>
      </c>
      <c r="AX286" s="65"/>
      <c r="AY286" s="65"/>
      <c r="AZ286" s="65"/>
      <c r="BA286" s="65"/>
      <c r="BB286" s="65"/>
      <c r="BC286" s="65"/>
      <c r="BD286" s="65"/>
      <c r="BE286" s="65">
        <v>7</v>
      </c>
      <c r="BF286" s="65"/>
      <c r="BG286" s="65"/>
      <c r="BH286" s="65"/>
      <c r="BI286" s="65"/>
      <c r="BJ286" s="65"/>
      <c r="BK286" s="65"/>
      <c r="BL286" s="65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</row>
    <row r="287" spans="1:85" ht="18" customHeight="1" x14ac:dyDescent="0.2">
      <c r="A287" s="66"/>
      <c r="B287" s="66"/>
      <c r="C287" s="66"/>
      <c r="D287" s="66"/>
      <c r="E287" s="66"/>
      <c r="F287" s="66"/>
      <c r="G287" s="99" t="s">
        <v>227</v>
      </c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9"/>
      <c r="AP287" s="69"/>
      <c r="AQ287" s="69"/>
      <c r="AR287" s="69"/>
      <c r="AS287" s="69"/>
      <c r="AT287" s="69"/>
      <c r="AU287" s="69"/>
      <c r="AV287" s="69"/>
      <c r="AW287" s="67"/>
      <c r="AX287" s="67"/>
      <c r="AY287" s="67"/>
      <c r="AZ287" s="67"/>
      <c r="BA287" s="67"/>
      <c r="BB287" s="67"/>
      <c r="BC287" s="67"/>
      <c r="BD287" s="67"/>
      <c r="BE287" s="72"/>
      <c r="BF287" s="72"/>
      <c r="BG287" s="72"/>
      <c r="BH287" s="72"/>
      <c r="BI287" s="72"/>
      <c r="BJ287" s="72"/>
      <c r="BK287" s="72"/>
      <c r="BL287" s="72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</row>
    <row r="288" spans="1:85" ht="18" customHeight="1" x14ac:dyDescent="0.2">
      <c r="A288" s="66"/>
      <c r="B288" s="66"/>
      <c r="C288" s="66"/>
      <c r="D288" s="66"/>
      <c r="E288" s="66"/>
      <c r="F288" s="66"/>
      <c r="G288" s="83" t="s">
        <v>48</v>
      </c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67"/>
      <c r="AA288" s="67"/>
      <c r="AB288" s="67"/>
      <c r="AC288" s="67"/>
      <c r="AD288" s="6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69"/>
      <c r="AP288" s="69"/>
      <c r="AQ288" s="69"/>
      <c r="AR288" s="69"/>
      <c r="AS288" s="69"/>
      <c r="AT288" s="69"/>
      <c r="AU288" s="69"/>
      <c r="AV288" s="69"/>
      <c r="AW288" s="67"/>
      <c r="AX288" s="67"/>
      <c r="AY288" s="67"/>
      <c r="AZ288" s="67"/>
      <c r="BA288" s="67"/>
      <c r="BB288" s="67"/>
      <c r="BC288" s="67"/>
      <c r="BD288" s="67"/>
      <c r="BE288" s="72"/>
      <c r="BF288" s="72"/>
      <c r="BG288" s="72"/>
      <c r="BH288" s="72"/>
      <c r="BI288" s="72"/>
      <c r="BJ288" s="72"/>
      <c r="BK288" s="72"/>
      <c r="BL288" s="72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</row>
    <row r="289" spans="1:85" ht="33.75" customHeight="1" x14ac:dyDescent="0.2">
      <c r="A289" s="66"/>
      <c r="B289" s="66"/>
      <c r="C289" s="66"/>
      <c r="D289" s="66"/>
      <c r="E289" s="66"/>
      <c r="F289" s="66"/>
      <c r="G289" s="78" t="s">
        <v>229</v>
      </c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7" t="s">
        <v>49</v>
      </c>
      <c r="AA289" s="77"/>
      <c r="AB289" s="77"/>
      <c r="AC289" s="77"/>
      <c r="AD289" s="77"/>
      <c r="AE289" s="77" t="s">
        <v>61</v>
      </c>
      <c r="AF289" s="77"/>
      <c r="AG289" s="77"/>
      <c r="AH289" s="77"/>
      <c r="AI289" s="77"/>
      <c r="AJ289" s="77"/>
      <c r="AK289" s="77"/>
      <c r="AL289" s="77"/>
      <c r="AM289" s="77"/>
      <c r="AN289" s="77"/>
      <c r="AO289" s="69"/>
      <c r="AP289" s="69"/>
      <c r="AQ289" s="69"/>
      <c r="AR289" s="69"/>
      <c r="AS289" s="69"/>
      <c r="AT289" s="69"/>
      <c r="AU289" s="69"/>
      <c r="AV289" s="69"/>
      <c r="AW289" s="74">
        <v>3341100</v>
      </c>
      <c r="AX289" s="74"/>
      <c r="AY289" s="74"/>
      <c r="AZ289" s="74"/>
      <c r="BA289" s="74"/>
      <c r="BB289" s="74"/>
      <c r="BC289" s="74"/>
      <c r="BD289" s="74"/>
      <c r="BE289" s="74">
        <f>AO289+AW289</f>
        <v>3341100</v>
      </c>
      <c r="BF289" s="74"/>
      <c r="BG289" s="74"/>
      <c r="BH289" s="74"/>
      <c r="BI289" s="74"/>
      <c r="BJ289" s="74"/>
      <c r="BK289" s="74"/>
      <c r="BL289" s="74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</row>
    <row r="290" spans="1:85" ht="18" customHeight="1" x14ac:dyDescent="0.2">
      <c r="A290" s="66"/>
      <c r="B290" s="66"/>
      <c r="C290" s="66"/>
      <c r="D290" s="66"/>
      <c r="E290" s="66"/>
      <c r="F290" s="66"/>
      <c r="G290" s="83" t="s">
        <v>51</v>
      </c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67"/>
      <c r="AA290" s="67"/>
      <c r="AB290" s="67"/>
      <c r="AC290" s="67"/>
      <c r="AD290" s="6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69"/>
      <c r="AP290" s="69"/>
      <c r="AQ290" s="69"/>
      <c r="AR290" s="69"/>
      <c r="AS290" s="69"/>
      <c r="AT290" s="69"/>
      <c r="AU290" s="69"/>
      <c r="AV290" s="69"/>
      <c r="AW290" s="66"/>
      <c r="AX290" s="66"/>
      <c r="AY290" s="66"/>
      <c r="AZ290" s="66"/>
      <c r="BA290" s="66"/>
      <c r="BB290" s="66"/>
      <c r="BC290" s="66"/>
      <c r="BD290" s="66"/>
      <c r="BE290" s="72"/>
      <c r="BF290" s="72"/>
      <c r="BG290" s="72"/>
      <c r="BH290" s="72"/>
      <c r="BI290" s="72"/>
      <c r="BJ290" s="72"/>
      <c r="BK290" s="72"/>
      <c r="BL290" s="72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</row>
    <row r="291" spans="1:85" ht="48.75" customHeight="1" x14ac:dyDescent="0.2">
      <c r="A291" s="66"/>
      <c r="B291" s="66"/>
      <c r="C291" s="66"/>
      <c r="D291" s="66"/>
      <c r="E291" s="66"/>
      <c r="F291" s="66"/>
      <c r="G291" s="78" t="s">
        <v>230</v>
      </c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65" t="s">
        <v>50</v>
      </c>
      <c r="AA291" s="65"/>
      <c r="AB291" s="65"/>
      <c r="AC291" s="65"/>
      <c r="AD291" s="65"/>
      <c r="AE291" s="77" t="s">
        <v>113</v>
      </c>
      <c r="AF291" s="77"/>
      <c r="AG291" s="77"/>
      <c r="AH291" s="77"/>
      <c r="AI291" s="77"/>
      <c r="AJ291" s="77"/>
      <c r="AK291" s="77"/>
      <c r="AL291" s="77"/>
      <c r="AM291" s="77"/>
      <c r="AN291" s="77"/>
      <c r="AO291" s="69"/>
      <c r="AP291" s="69"/>
      <c r="AQ291" s="69"/>
      <c r="AR291" s="69"/>
      <c r="AS291" s="69"/>
      <c r="AT291" s="69"/>
      <c r="AU291" s="69"/>
      <c r="AV291" s="69"/>
      <c r="AW291" s="66">
        <v>3</v>
      </c>
      <c r="AX291" s="66"/>
      <c r="AY291" s="66"/>
      <c r="AZ291" s="66"/>
      <c r="BA291" s="66"/>
      <c r="BB291" s="66"/>
      <c r="BC291" s="66"/>
      <c r="BD291" s="66"/>
      <c r="BE291" s="73">
        <f>AO291+AW291</f>
        <v>3</v>
      </c>
      <c r="BF291" s="73"/>
      <c r="BG291" s="73"/>
      <c r="BH291" s="73"/>
      <c r="BI291" s="73"/>
      <c r="BJ291" s="73"/>
      <c r="BK291" s="73"/>
      <c r="BL291" s="73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</row>
    <row r="292" spans="1:85" ht="18" customHeight="1" x14ac:dyDescent="0.2">
      <c r="A292" s="66"/>
      <c r="B292" s="66"/>
      <c r="C292" s="66"/>
      <c r="D292" s="66"/>
      <c r="E292" s="66"/>
      <c r="F292" s="66"/>
      <c r="G292" s="83" t="s">
        <v>52</v>
      </c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67"/>
      <c r="AA292" s="67"/>
      <c r="AB292" s="67"/>
      <c r="AC292" s="67"/>
      <c r="AD292" s="6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69"/>
      <c r="AP292" s="69"/>
      <c r="AQ292" s="69"/>
      <c r="AR292" s="69"/>
      <c r="AS292" s="69"/>
      <c r="AT292" s="69"/>
      <c r="AU292" s="69"/>
      <c r="AV292" s="69"/>
      <c r="AW292" s="66"/>
      <c r="AX292" s="66"/>
      <c r="AY292" s="66"/>
      <c r="AZ292" s="66"/>
      <c r="BA292" s="66"/>
      <c r="BB292" s="66"/>
      <c r="BC292" s="66"/>
      <c r="BD292" s="66"/>
      <c r="BE292" s="72"/>
      <c r="BF292" s="72"/>
      <c r="BG292" s="72"/>
      <c r="BH292" s="72"/>
      <c r="BI292" s="72"/>
      <c r="BJ292" s="72"/>
      <c r="BK292" s="72"/>
      <c r="BL292" s="72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</row>
    <row r="293" spans="1:85" ht="33.75" customHeight="1" x14ac:dyDescent="0.2">
      <c r="A293" s="66"/>
      <c r="B293" s="66"/>
      <c r="C293" s="66"/>
      <c r="D293" s="66"/>
      <c r="E293" s="66"/>
      <c r="F293" s="66"/>
      <c r="G293" s="68" t="s">
        <v>246</v>
      </c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77" t="s">
        <v>49</v>
      </c>
      <c r="AA293" s="77"/>
      <c r="AB293" s="77"/>
      <c r="AC293" s="77"/>
      <c r="AD293" s="77"/>
      <c r="AE293" s="65" t="s">
        <v>62</v>
      </c>
      <c r="AF293" s="65"/>
      <c r="AG293" s="65"/>
      <c r="AH293" s="65"/>
      <c r="AI293" s="65"/>
      <c r="AJ293" s="65"/>
      <c r="AK293" s="65"/>
      <c r="AL293" s="65"/>
      <c r="AM293" s="65"/>
      <c r="AN293" s="65"/>
      <c r="AO293" s="69"/>
      <c r="AP293" s="69"/>
      <c r="AQ293" s="69"/>
      <c r="AR293" s="69"/>
      <c r="AS293" s="69"/>
      <c r="AT293" s="69"/>
      <c r="AU293" s="69"/>
      <c r="AV293" s="69"/>
      <c r="AW293" s="74">
        <f>AW289/AW291</f>
        <v>1113700</v>
      </c>
      <c r="AX293" s="74"/>
      <c r="AY293" s="74"/>
      <c r="AZ293" s="74"/>
      <c r="BA293" s="74"/>
      <c r="BB293" s="74"/>
      <c r="BC293" s="74"/>
      <c r="BD293" s="74"/>
      <c r="BE293" s="74">
        <f>AO293+AW293</f>
        <v>1113700</v>
      </c>
      <c r="BF293" s="74"/>
      <c r="BG293" s="74"/>
      <c r="BH293" s="74"/>
      <c r="BI293" s="74"/>
      <c r="BJ293" s="74"/>
      <c r="BK293" s="74"/>
      <c r="BL293" s="74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</row>
    <row r="294" spans="1:85" ht="18" customHeight="1" x14ac:dyDescent="0.2">
      <c r="A294" s="66"/>
      <c r="B294" s="66"/>
      <c r="C294" s="66"/>
      <c r="D294" s="66"/>
      <c r="E294" s="66"/>
      <c r="F294" s="66"/>
      <c r="G294" s="83" t="s">
        <v>53</v>
      </c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67"/>
      <c r="AA294" s="67"/>
      <c r="AB294" s="67"/>
      <c r="AC294" s="67"/>
      <c r="AD294" s="6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69"/>
      <c r="AP294" s="69"/>
      <c r="AQ294" s="69"/>
      <c r="AR294" s="69"/>
      <c r="AS294" s="69"/>
      <c r="AT294" s="69"/>
      <c r="AU294" s="69"/>
      <c r="AV294" s="69"/>
      <c r="AW294" s="66"/>
      <c r="AX294" s="66"/>
      <c r="AY294" s="66"/>
      <c r="AZ294" s="66"/>
      <c r="BA294" s="66"/>
      <c r="BB294" s="66"/>
      <c r="BC294" s="66"/>
      <c r="BD294" s="66"/>
      <c r="BE294" s="72"/>
      <c r="BF294" s="72"/>
      <c r="BG294" s="72"/>
      <c r="BH294" s="72"/>
      <c r="BI294" s="72"/>
      <c r="BJ294" s="72"/>
      <c r="BK294" s="72"/>
      <c r="BL294" s="72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</row>
    <row r="295" spans="1:85" ht="55.5" customHeight="1" x14ac:dyDescent="0.2">
      <c r="A295" s="66"/>
      <c r="B295" s="66"/>
      <c r="C295" s="66"/>
      <c r="D295" s="66"/>
      <c r="E295" s="66"/>
      <c r="F295" s="66"/>
      <c r="G295" s="97" t="s">
        <v>247</v>
      </c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77" t="s">
        <v>54</v>
      </c>
      <c r="AA295" s="77"/>
      <c r="AB295" s="77"/>
      <c r="AC295" s="77"/>
      <c r="AD295" s="77"/>
      <c r="AE295" s="65" t="s">
        <v>62</v>
      </c>
      <c r="AF295" s="65"/>
      <c r="AG295" s="65"/>
      <c r="AH295" s="65"/>
      <c r="AI295" s="65"/>
      <c r="AJ295" s="65"/>
      <c r="AK295" s="65"/>
      <c r="AL295" s="65"/>
      <c r="AM295" s="65"/>
      <c r="AN295" s="65"/>
      <c r="AO295" s="69"/>
      <c r="AP295" s="69"/>
      <c r="AQ295" s="69"/>
      <c r="AR295" s="69"/>
      <c r="AS295" s="69"/>
      <c r="AT295" s="69"/>
      <c r="AU295" s="69"/>
      <c r="AV295" s="69"/>
      <c r="AW295" s="219">
        <f>AW291/3*100</f>
        <v>100</v>
      </c>
      <c r="AX295" s="219"/>
      <c r="AY295" s="219"/>
      <c r="AZ295" s="219"/>
      <c r="BA295" s="219"/>
      <c r="BB295" s="219"/>
      <c r="BC295" s="219"/>
      <c r="BD295" s="219"/>
      <c r="BE295" s="72">
        <f>AO295+AW295</f>
        <v>100</v>
      </c>
      <c r="BF295" s="72"/>
      <c r="BG295" s="72"/>
      <c r="BH295" s="72"/>
      <c r="BI295" s="72"/>
      <c r="BJ295" s="72"/>
      <c r="BK295" s="72"/>
      <c r="BL295" s="72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</row>
    <row r="296" spans="1:85" ht="15.75" x14ac:dyDescent="0.2">
      <c r="E296" s="48"/>
      <c r="F296" s="48"/>
      <c r="G296" s="58"/>
      <c r="H296" s="58"/>
      <c r="I296" s="58"/>
      <c r="J296" s="58"/>
      <c r="K296" s="58"/>
      <c r="L296" s="58"/>
      <c r="M296" s="58"/>
      <c r="N296" s="58"/>
      <c r="O296" s="58"/>
      <c r="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</row>
    <row r="297" spans="1:85" ht="34.5" customHeight="1" x14ac:dyDescent="0.2">
      <c r="A297" s="65" t="s">
        <v>15</v>
      </c>
      <c r="B297" s="65"/>
      <c r="C297" s="65"/>
      <c r="D297" s="65"/>
      <c r="E297" s="65"/>
      <c r="F297" s="65"/>
      <c r="G297" s="65" t="s">
        <v>28</v>
      </c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 t="s">
        <v>2</v>
      </c>
      <c r="AA297" s="65"/>
      <c r="AB297" s="65"/>
      <c r="AC297" s="65"/>
      <c r="AD297" s="65"/>
      <c r="AE297" s="65" t="s">
        <v>1</v>
      </c>
      <c r="AF297" s="65"/>
      <c r="AG297" s="65"/>
      <c r="AH297" s="65"/>
      <c r="AI297" s="65"/>
      <c r="AJ297" s="65"/>
      <c r="AK297" s="65"/>
      <c r="AL297" s="65"/>
      <c r="AM297" s="65"/>
      <c r="AN297" s="65"/>
      <c r="AO297" s="65" t="s">
        <v>16</v>
      </c>
      <c r="AP297" s="65"/>
      <c r="AQ297" s="65"/>
      <c r="AR297" s="65"/>
      <c r="AS297" s="65"/>
      <c r="AT297" s="65"/>
      <c r="AU297" s="65"/>
      <c r="AV297" s="65"/>
      <c r="AW297" s="65" t="s">
        <v>17</v>
      </c>
      <c r="AX297" s="65"/>
      <c r="AY297" s="65"/>
      <c r="AZ297" s="65"/>
      <c r="BA297" s="65"/>
      <c r="BB297" s="65"/>
      <c r="BC297" s="65"/>
      <c r="BD297" s="65"/>
      <c r="BE297" s="65" t="s">
        <v>14</v>
      </c>
      <c r="BF297" s="65"/>
      <c r="BG297" s="65"/>
      <c r="BH297" s="65"/>
      <c r="BI297" s="65"/>
      <c r="BJ297" s="65"/>
      <c r="BK297" s="65"/>
      <c r="BL297" s="65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</row>
    <row r="298" spans="1:85" ht="18" customHeight="1" x14ac:dyDescent="0.2">
      <c r="A298" s="65">
        <v>1</v>
      </c>
      <c r="B298" s="65"/>
      <c r="C298" s="65"/>
      <c r="D298" s="65"/>
      <c r="E298" s="65"/>
      <c r="F298" s="65"/>
      <c r="G298" s="65">
        <v>2</v>
      </c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>
        <v>3</v>
      </c>
      <c r="AA298" s="65"/>
      <c r="AB298" s="65"/>
      <c r="AC298" s="65"/>
      <c r="AD298" s="65"/>
      <c r="AE298" s="65">
        <v>4</v>
      </c>
      <c r="AF298" s="65"/>
      <c r="AG298" s="65"/>
      <c r="AH298" s="65"/>
      <c r="AI298" s="65"/>
      <c r="AJ298" s="65"/>
      <c r="AK298" s="65"/>
      <c r="AL298" s="65"/>
      <c r="AM298" s="65"/>
      <c r="AN298" s="65"/>
      <c r="AO298" s="65">
        <v>5</v>
      </c>
      <c r="AP298" s="65"/>
      <c r="AQ298" s="65"/>
      <c r="AR298" s="65"/>
      <c r="AS298" s="65"/>
      <c r="AT298" s="65"/>
      <c r="AU298" s="65"/>
      <c r="AV298" s="65"/>
      <c r="AW298" s="65">
        <v>6</v>
      </c>
      <c r="AX298" s="65"/>
      <c r="AY298" s="65"/>
      <c r="AZ298" s="65"/>
      <c r="BA298" s="65"/>
      <c r="BB298" s="65"/>
      <c r="BC298" s="65"/>
      <c r="BD298" s="65"/>
      <c r="BE298" s="65">
        <v>7</v>
      </c>
      <c r="BF298" s="65"/>
      <c r="BG298" s="65"/>
      <c r="BH298" s="65"/>
      <c r="BI298" s="65"/>
      <c r="BJ298" s="65"/>
      <c r="BK298" s="65"/>
      <c r="BL298" s="65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</row>
    <row r="299" spans="1:85" ht="18" customHeight="1" x14ac:dyDescent="0.2">
      <c r="A299" s="66"/>
      <c r="B299" s="66"/>
      <c r="C299" s="66"/>
      <c r="D299" s="66"/>
      <c r="E299" s="66"/>
      <c r="F299" s="66"/>
      <c r="G299" s="90" t="s">
        <v>82</v>
      </c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2"/>
      <c r="AO299" s="69"/>
      <c r="AP299" s="69"/>
      <c r="AQ299" s="69"/>
      <c r="AR299" s="69"/>
      <c r="AS299" s="69"/>
      <c r="AT299" s="69"/>
      <c r="AU299" s="69"/>
      <c r="AV299" s="69"/>
      <c r="AW299" s="66"/>
      <c r="AX299" s="66"/>
      <c r="AY299" s="66"/>
      <c r="AZ299" s="66"/>
      <c r="BA299" s="66"/>
      <c r="BB299" s="66"/>
      <c r="BC299" s="66"/>
      <c r="BD299" s="66"/>
      <c r="BE299" s="72"/>
      <c r="BF299" s="72"/>
      <c r="BG299" s="72"/>
      <c r="BH299" s="72"/>
      <c r="BI299" s="72"/>
      <c r="BJ299" s="72"/>
      <c r="BK299" s="72"/>
      <c r="BL299" s="72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</row>
    <row r="300" spans="1:85" ht="18" customHeight="1" x14ac:dyDescent="0.2">
      <c r="A300" s="66"/>
      <c r="B300" s="66"/>
      <c r="C300" s="66"/>
      <c r="D300" s="66"/>
      <c r="E300" s="66"/>
      <c r="F300" s="66"/>
      <c r="G300" s="83" t="s">
        <v>48</v>
      </c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9"/>
      <c r="AP300" s="69"/>
      <c r="AQ300" s="69"/>
      <c r="AR300" s="69"/>
      <c r="AS300" s="69"/>
      <c r="AT300" s="69"/>
      <c r="AU300" s="69"/>
      <c r="AV300" s="69"/>
      <c r="AW300" s="66"/>
      <c r="AX300" s="66"/>
      <c r="AY300" s="66"/>
      <c r="AZ300" s="66"/>
      <c r="BA300" s="66"/>
      <c r="BB300" s="66"/>
      <c r="BC300" s="66"/>
      <c r="BD300" s="66"/>
      <c r="BE300" s="72"/>
      <c r="BF300" s="72"/>
      <c r="BG300" s="72"/>
      <c r="BH300" s="72"/>
      <c r="BI300" s="72"/>
      <c r="BJ300" s="72"/>
      <c r="BK300" s="72"/>
      <c r="BL300" s="72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</row>
    <row r="301" spans="1:85" ht="18" customHeight="1" x14ac:dyDescent="0.2">
      <c r="A301" s="66"/>
      <c r="B301" s="66"/>
      <c r="C301" s="66"/>
      <c r="D301" s="66"/>
      <c r="E301" s="66"/>
      <c r="F301" s="66"/>
      <c r="G301" s="78" t="s">
        <v>206</v>
      </c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7" t="s">
        <v>49</v>
      </c>
      <c r="AA301" s="77"/>
      <c r="AB301" s="77"/>
      <c r="AC301" s="77"/>
      <c r="AD301" s="77"/>
      <c r="AE301" s="77" t="s">
        <v>61</v>
      </c>
      <c r="AF301" s="77"/>
      <c r="AG301" s="77"/>
      <c r="AH301" s="77"/>
      <c r="AI301" s="77"/>
      <c r="AJ301" s="77"/>
      <c r="AK301" s="77"/>
      <c r="AL301" s="77"/>
      <c r="AM301" s="77"/>
      <c r="AN301" s="77"/>
      <c r="AO301" s="69">
        <f>1000000+300000</f>
        <v>1300000</v>
      </c>
      <c r="AP301" s="69"/>
      <c r="AQ301" s="69"/>
      <c r="AR301" s="69"/>
      <c r="AS301" s="69"/>
      <c r="AT301" s="69"/>
      <c r="AU301" s="69"/>
      <c r="AV301" s="69"/>
      <c r="AW301" s="66"/>
      <c r="AX301" s="66"/>
      <c r="AY301" s="66"/>
      <c r="AZ301" s="66"/>
      <c r="BA301" s="66"/>
      <c r="BB301" s="66"/>
      <c r="BC301" s="66"/>
      <c r="BD301" s="66"/>
      <c r="BE301" s="74">
        <f>AO301+AW301</f>
        <v>1300000</v>
      </c>
      <c r="BF301" s="74"/>
      <c r="BG301" s="74"/>
      <c r="BH301" s="74"/>
      <c r="BI301" s="74"/>
      <c r="BJ301" s="74"/>
      <c r="BK301" s="74"/>
      <c r="BL301" s="74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</row>
    <row r="302" spans="1:85" ht="18" customHeight="1" x14ac:dyDescent="0.2">
      <c r="A302" s="66"/>
      <c r="B302" s="66"/>
      <c r="C302" s="66"/>
      <c r="D302" s="66"/>
      <c r="E302" s="66"/>
      <c r="F302" s="66"/>
      <c r="G302" s="83" t="s">
        <v>51</v>
      </c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67"/>
      <c r="AA302" s="67"/>
      <c r="AB302" s="67"/>
      <c r="AC302" s="67"/>
      <c r="AD302" s="6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69"/>
      <c r="AP302" s="69"/>
      <c r="AQ302" s="69"/>
      <c r="AR302" s="69"/>
      <c r="AS302" s="69"/>
      <c r="AT302" s="69"/>
      <c r="AU302" s="69"/>
      <c r="AV302" s="69"/>
      <c r="AW302" s="66"/>
      <c r="AX302" s="66"/>
      <c r="AY302" s="66"/>
      <c r="AZ302" s="66"/>
      <c r="BA302" s="66"/>
      <c r="BB302" s="66"/>
      <c r="BC302" s="66"/>
      <c r="BD302" s="66"/>
      <c r="BE302" s="72"/>
      <c r="BF302" s="72"/>
      <c r="BG302" s="72"/>
      <c r="BH302" s="72"/>
      <c r="BI302" s="72"/>
      <c r="BJ302" s="72"/>
      <c r="BK302" s="72"/>
      <c r="BL302" s="72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</row>
    <row r="303" spans="1:85" ht="33.75" customHeight="1" x14ac:dyDescent="0.2">
      <c r="A303" s="66"/>
      <c r="B303" s="66"/>
      <c r="C303" s="66"/>
      <c r="D303" s="66"/>
      <c r="E303" s="66"/>
      <c r="F303" s="66"/>
      <c r="G303" s="78" t="s">
        <v>207</v>
      </c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65" t="s">
        <v>231</v>
      </c>
      <c r="AA303" s="65"/>
      <c r="AB303" s="65"/>
      <c r="AC303" s="65"/>
      <c r="AD303" s="65"/>
      <c r="AE303" s="77" t="s">
        <v>232</v>
      </c>
      <c r="AF303" s="77"/>
      <c r="AG303" s="77"/>
      <c r="AH303" s="77"/>
      <c r="AI303" s="77"/>
      <c r="AJ303" s="77"/>
      <c r="AK303" s="77"/>
      <c r="AL303" s="77"/>
      <c r="AM303" s="77"/>
      <c r="AN303" s="77"/>
      <c r="AO303" s="115">
        <f>137.4+41.22</f>
        <v>178.62</v>
      </c>
      <c r="AP303" s="115"/>
      <c r="AQ303" s="115"/>
      <c r="AR303" s="115"/>
      <c r="AS303" s="115"/>
      <c r="AT303" s="115"/>
      <c r="AU303" s="115"/>
      <c r="AV303" s="115"/>
      <c r="AW303" s="66"/>
      <c r="AX303" s="66"/>
      <c r="AY303" s="66"/>
      <c r="AZ303" s="66"/>
      <c r="BA303" s="66"/>
      <c r="BB303" s="66"/>
      <c r="BC303" s="66"/>
      <c r="BD303" s="66"/>
      <c r="BE303" s="72">
        <f>AO303+AW303</f>
        <v>178.62</v>
      </c>
      <c r="BF303" s="72"/>
      <c r="BG303" s="72"/>
      <c r="BH303" s="72"/>
      <c r="BI303" s="72"/>
      <c r="BJ303" s="72"/>
      <c r="BK303" s="72"/>
      <c r="BL303" s="72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</row>
    <row r="304" spans="1:85" ht="18" customHeight="1" x14ac:dyDescent="0.2">
      <c r="A304" s="66"/>
      <c r="B304" s="66"/>
      <c r="C304" s="66"/>
      <c r="D304" s="66"/>
      <c r="E304" s="66"/>
      <c r="F304" s="66"/>
      <c r="G304" s="83" t="s">
        <v>52</v>
      </c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67"/>
      <c r="AA304" s="67"/>
      <c r="AB304" s="67"/>
      <c r="AC304" s="67"/>
      <c r="AD304" s="6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69"/>
      <c r="AP304" s="69"/>
      <c r="AQ304" s="69"/>
      <c r="AR304" s="69"/>
      <c r="AS304" s="69"/>
      <c r="AT304" s="69"/>
      <c r="AU304" s="69"/>
      <c r="AV304" s="69"/>
      <c r="AW304" s="66"/>
      <c r="AX304" s="66"/>
      <c r="AY304" s="66"/>
      <c r="AZ304" s="66"/>
      <c r="BA304" s="66"/>
      <c r="BB304" s="66"/>
      <c r="BC304" s="66"/>
      <c r="BD304" s="66"/>
      <c r="BE304" s="72"/>
      <c r="BF304" s="72"/>
      <c r="BG304" s="72"/>
      <c r="BH304" s="72"/>
      <c r="BI304" s="72"/>
      <c r="BJ304" s="72"/>
      <c r="BK304" s="72"/>
      <c r="BL304" s="72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</row>
    <row r="305" spans="1:85" ht="18" customHeight="1" x14ac:dyDescent="0.2">
      <c r="A305" s="66"/>
      <c r="B305" s="66"/>
      <c r="C305" s="66"/>
      <c r="D305" s="66"/>
      <c r="E305" s="66"/>
      <c r="F305" s="66"/>
      <c r="G305" s="68" t="s">
        <v>208</v>
      </c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77" t="s">
        <v>49</v>
      </c>
      <c r="AA305" s="77"/>
      <c r="AB305" s="77"/>
      <c r="AC305" s="77"/>
      <c r="AD305" s="77"/>
      <c r="AE305" s="65" t="s">
        <v>62</v>
      </c>
      <c r="AF305" s="65"/>
      <c r="AG305" s="65"/>
      <c r="AH305" s="65"/>
      <c r="AI305" s="65"/>
      <c r="AJ305" s="65"/>
      <c r="AK305" s="65"/>
      <c r="AL305" s="65"/>
      <c r="AM305" s="65"/>
      <c r="AN305" s="65"/>
      <c r="AO305" s="69">
        <f>AO301/AO303/1000</f>
        <v>7.2780203784570592</v>
      </c>
      <c r="AP305" s="69"/>
      <c r="AQ305" s="69"/>
      <c r="AR305" s="69"/>
      <c r="AS305" s="69"/>
      <c r="AT305" s="69"/>
      <c r="AU305" s="69"/>
      <c r="AV305" s="69"/>
      <c r="AW305" s="66"/>
      <c r="AX305" s="66"/>
      <c r="AY305" s="66"/>
      <c r="AZ305" s="66"/>
      <c r="BA305" s="66"/>
      <c r="BB305" s="66"/>
      <c r="BC305" s="66"/>
      <c r="BD305" s="66"/>
      <c r="BE305" s="72">
        <f>AO305+AW305</f>
        <v>7.2780203784570592</v>
      </c>
      <c r="BF305" s="72"/>
      <c r="BG305" s="72"/>
      <c r="BH305" s="72"/>
      <c r="BI305" s="72"/>
      <c r="BJ305" s="72"/>
      <c r="BK305" s="72"/>
      <c r="BL305" s="72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</row>
    <row r="306" spans="1:85" ht="18" customHeight="1" x14ac:dyDescent="0.2">
      <c r="A306" s="66"/>
      <c r="B306" s="66"/>
      <c r="C306" s="66"/>
      <c r="D306" s="66"/>
      <c r="E306" s="66"/>
      <c r="F306" s="66"/>
      <c r="G306" s="83" t="s">
        <v>53</v>
      </c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67"/>
      <c r="AA306" s="67"/>
      <c r="AB306" s="67"/>
      <c r="AC306" s="67"/>
      <c r="AD306" s="6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69"/>
      <c r="AP306" s="69"/>
      <c r="AQ306" s="69"/>
      <c r="AR306" s="69"/>
      <c r="AS306" s="69"/>
      <c r="AT306" s="69"/>
      <c r="AU306" s="69"/>
      <c r="AV306" s="69"/>
      <c r="AW306" s="66"/>
      <c r="AX306" s="66"/>
      <c r="AY306" s="66"/>
      <c r="AZ306" s="66"/>
      <c r="BA306" s="66"/>
      <c r="BB306" s="66"/>
      <c r="BC306" s="66"/>
      <c r="BD306" s="66"/>
      <c r="BE306" s="72"/>
      <c r="BF306" s="72"/>
      <c r="BG306" s="72"/>
      <c r="BH306" s="72"/>
      <c r="BI306" s="72"/>
      <c r="BJ306" s="72"/>
      <c r="BK306" s="72"/>
      <c r="BL306" s="72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</row>
    <row r="307" spans="1:85" ht="51" customHeight="1" x14ac:dyDescent="0.2">
      <c r="A307" s="66"/>
      <c r="B307" s="66"/>
      <c r="C307" s="66"/>
      <c r="D307" s="66"/>
      <c r="E307" s="66"/>
      <c r="F307" s="66"/>
      <c r="G307" s="97" t="s">
        <v>209</v>
      </c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77" t="s">
        <v>54</v>
      </c>
      <c r="AA307" s="77"/>
      <c r="AB307" s="77"/>
      <c r="AC307" s="77"/>
      <c r="AD307" s="77"/>
      <c r="AE307" s="65" t="s">
        <v>62</v>
      </c>
      <c r="AF307" s="65"/>
      <c r="AG307" s="65"/>
      <c r="AH307" s="65"/>
      <c r="AI307" s="65"/>
      <c r="AJ307" s="65"/>
      <c r="AK307" s="65"/>
      <c r="AL307" s="65"/>
      <c r="AM307" s="65"/>
      <c r="AN307" s="65"/>
      <c r="AO307" s="69">
        <f>AO303/178.62*100</f>
        <v>100</v>
      </c>
      <c r="AP307" s="69"/>
      <c r="AQ307" s="69"/>
      <c r="AR307" s="69"/>
      <c r="AS307" s="69"/>
      <c r="AT307" s="69"/>
      <c r="AU307" s="69"/>
      <c r="AV307" s="69"/>
      <c r="AW307" s="66"/>
      <c r="AX307" s="66"/>
      <c r="AY307" s="66"/>
      <c r="AZ307" s="66"/>
      <c r="BA307" s="66"/>
      <c r="BB307" s="66"/>
      <c r="BC307" s="66"/>
      <c r="BD307" s="66"/>
      <c r="BE307" s="72">
        <f>AO307+AW307</f>
        <v>100</v>
      </c>
      <c r="BF307" s="72"/>
      <c r="BG307" s="72"/>
      <c r="BH307" s="72"/>
      <c r="BI307" s="72"/>
      <c r="BJ307" s="72"/>
      <c r="BK307" s="72"/>
      <c r="BL307" s="72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</row>
    <row r="308" spans="1:85" ht="15.75" x14ac:dyDescent="0.2">
      <c r="A308" s="48"/>
      <c r="B308" s="48"/>
      <c r="C308" s="48"/>
      <c r="D308" s="48"/>
      <c r="E308" s="48"/>
      <c r="F308" s="48"/>
      <c r="G308" s="52"/>
      <c r="H308" s="52"/>
      <c r="I308" s="52"/>
      <c r="J308" s="52"/>
      <c r="K308" s="52"/>
      <c r="L308" s="52"/>
      <c r="M308" s="52"/>
      <c r="N308" s="52"/>
      <c r="O308" s="52"/>
      <c r="P308" s="48"/>
      <c r="Q308" s="48"/>
      <c r="R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</row>
    <row r="309" spans="1:85" ht="33" customHeight="1" x14ac:dyDescent="0.2">
      <c r="A309" s="65" t="s">
        <v>15</v>
      </c>
      <c r="B309" s="65"/>
      <c r="C309" s="65"/>
      <c r="D309" s="65"/>
      <c r="E309" s="65"/>
      <c r="F309" s="65"/>
      <c r="G309" s="65" t="s">
        <v>28</v>
      </c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 t="s">
        <v>2</v>
      </c>
      <c r="AA309" s="65"/>
      <c r="AB309" s="65"/>
      <c r="AC309" s="65"/>
      <c r="AD309" s="65"/>
      <c r="AE309" s="65" t="s">
        <v>1</v>
      </c>
      <c r="AF309" s="65"/>
      <c r="AG309" s="65"/>
      <c r="AH309" s="65"/>
      <c r="AI309" s="65"/>
      <c r="AJ309" s="65"/>
      <c r="AK309" s="65"/>
      <c r="AL309" s="65"/>
      <c r="AM309" s="65"/>
      <c r="AN309" s="65"/>
      <c r="AO309" s="65" t="s">
        <v>16</v>
      </c>
      <c r="AP309" s="65"/>
      <c r="AQ309" s="65"/>
      <c r="AR309" s="65"/>
      <c r="AS309" s="65"/>
      <c r="AT309" s="65"/>
      <c r="AU309" s="65"/>
      <c r="AV309" s="65"/>
      <c r="AW309" s="65" t="s">
        <v>17</v>
      </c>
      <c r="AX309" s="65"/>
      <c r="AY309" s="65"/>
      <c r="AZ309" s="65"/>
      <c r="BA309" s="65"/>
      <c r="BB309" s="65"/>
      <c r="BC309" s="65"/>
      <c r="BD309" s="65"/>
      <c r="BE309" s="65" t="s">
        <v>14</v>
      </c>
      <c r="BF309" s="65"/>
      <c r="BG309" s="65"/>
      <c r="BH309" s="65"/>
      <c r="BI309" s="65"/>
      <c r="BJ309" s="65"/>
      <c r="BK309" s="65"/>
      <c r="BL309" s="65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</row>
    <row r="310" spans="1:85" ht="15.75" x14ac:dyDescent="0.2">
      <c r="A310" s="65">
        <v>1</v>
      </c>
      <c r="B310" s="65"/>
      <c r="C310" s="65"/>
      <c r="D310" s="65"/>
      <c r="E310" s="65"/>
      <c r="F310" s="65"/>
      <c r="G310" s="65">
        <v>2</v>
      </c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>
        <v>3</v>
      </c>
      <c r="AA310" s="65"/>
      <c r="AB310" s="65"/>
      <c r="AC310" s="65"/>
      <c r="AD310" s="65"/>
      <c r="AE310" s="65">
        <v>4</v>
      </c>
      <c r="AF310" s="65"/>
      <c r="AG310" s="65"/>
      <c r="AH310" s="65"/>
      <c r="AI310" s="65"/>
      <c r="AJ310" s="65"/>
      <c r="AK310" s="65"/>
      <c r="AL310" s="65"/>
      <c r="AM310" s="65"/>
      <c r="AN310" s="65"/>
      <c r="AO310" s="65">
        <v>5</v>
      </c>
      <c r="AP310" s="65"/>
      <c r="AQ310" s="65"/>
      <c r="AR310" s="65"/>
      <c r="AS310" s="65"/>
      <c r="AT310" s="65"/>
      <c r="AU310" s="65"/>
      <c r="AV310" s="65"/>
      <c r="AW310" s="65">
        <v>6</v>
      </c>
      <c r="AX310" s="65"/>
      <c r="AY310" s="65"/>
      <c r="AZ310" s="65"/>
      <c r="BA310" s="65"/>
      <c r="BB310" s="65"/>
      <c r="BC310" s="65"/>
      <c r="BD310" s="65"/>
      <c r="BE310" s="65">
        <v>7</v>
      </c>
      <c r="BF310" s="65"/>
      <c r="BG310" s="65"/>
      <c r="BH310" s="65"/>
      <c r="BI310" s="65"/>
      <c r="BJ310" s="65"/>
      <c r="BK310" s="65"/>
      <c r="BL310" s="65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</row>
    <row r="311" spans="1:85" ht="18" customHeight="1" x14ac:dyDescent="0.2">
      <c r="A311" s="65"/>
      <c r="B311" s="65"/>
      <c r="C311" s="65"/>
      <c r="D311" s="65"/>
      <c r="E311" s="65"/>
      <c r="F311" s="65"/>
      <c r="G311" s="99" t="s">
        <v>83</v>
      </c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69"/>
      <c r="AP311" s="69"/>
      <c r="AQ311" s="69"/>
      <c r="AR311" s="69"/>
      <c r="AS311" s="69"/>
      <c r="AT311" s="69"/>
      <c r="AU311" s="69"/>
      <c r="AV311" s="69"/>
      <c r="AW311" s="66"/>
      <c r="AX311" s="66"/>
      <c r="AY311" s="66"/>
      <c r="AZ311" s="66"/>
      <c r="BA311" s="66"/>
      <c r="BB311" s="66"/>
      <c r="BC311" s="66"/>
      <c r="BD311" s="66"/>
      <c r="BE311" s="72"/>
      <c r="BF311" s="72"/>
      <c r="BG311" s="72"/>
      <c r="BH311" s="72"/>
      <c r="BI311" s="72"/>
      <c r="BJ311" s="72"/>
      <c r="BK311" s="72"/>
      <c r="BL311" s="72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</row>
    <row r="312" spans="1:85" ht="18" customHeight="1" x14ac:dyDescent="0.2">
      <c r="A312" s="66"/>
      <c r="B312" s="66"/>
      <c r="C312" s="66"/>
      <c r="D312" s="66"/>
      <c r="E312" s="66"/>
      <c r="F312" s="66"/>
      <c r="G312" s="83" t="s">
        <v>48</v>
      </c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67"/>
      <c r="AA312" s="67"/>
      <c r="AB312" s="67"/>
      <c r="AC312" s="67"/>
      <c r="AD312" s="6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69"/>
      <c r="AP312" s="69"/>
      <c r="AQ312" s="69"/>
      <c r="AR312" s="69"/>
      <c r="AS312" s="69"/>
      <c r="AT312" s="69"/>
      <c r="AU312" s="69"/>
      <c r="AV312" s="69"/>
      <c r="AW312" s="66"/>
      <c r="AX312" s="66"/>
      <c r="AY312" s="66"/>
      <c r="AZ312" s="66"/>
      <c r="BA312" s="66"/>
      <c r="BB312" s="66"/>
      <c r="BC312" s="66"/>
      <c r="BD312" s="66"/>
      <c r="BE312" s="72"/>
      <c r="BF312" s="72"/>
      <c r="BG312" s="72"/>
      <c r="BH312" s="72"/>
      <c r="BI312" s="72"/>
      <c r="BJ312" s="72"/>
      <c r="BK312" s="72"/>
      <c r="BL312" s="72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</row>
    <row r="313" spans="1:85" ht="18" customHeight="1" x14ac:dyDescent="0.2">
      <c r="A313" s="66"/>
      <c r="B313" s="66"/>
      <c r="C313" s="66"/>
      <c r="D313" s="66"/>
      <c r="E313" s="66"/>
      <c r="F313" s="66"/>
      <c r="G313" s="78" t="s">
        <v>96</v>
      </c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7" t="s">
        <v>49</v>
      </c>
      <c r="AA313" s="77"/>
      <c r="AB313" s="77"/>
      <c r="AC313" s="77"/>
      <c r="AD313" s="77"/>
      <c r="AE313" s="77" t="s">
        <v>61</v>
      </c>
      <c r="AF313" s="77"/>
      <c r="AG313" s="77"/>
      <c r="AH313" s="77"/>
      <c r="AI313" s="77"/>
      <c r="AJ313" s="77"/>
      <c r="AK313" s="77"/>
      <c r="AL313" s="77"/>
      <c r="AM313" s="77"/>
      <c r="AN313" s="77"/>
      <c r="AO313" s="69"/>
      <c r="AP313" s="69"/>
      <c r="AQ313" s="69"/>
      <c r="AR313" s="69"/>
      <c r="AS313" s="69"/>
      <c r="AT313" s="69"/>
      <c r="AU313" s="69"/>
      <c r="AV313" s="69"/>
      <c r="AW313" s="224">
        <f>SUM(AW314:BD322)</f>
        <v>10270355</v>
      </c>
      <c r="AX313" s="224"/>
      <c r="AY313" s="224"/>
      <c r="AZ313" s="224"/>
      <c r="BA313" s="224"/>
      <c r="BB313" s="224"/>
      <c r="BC313" s="224"/>
      <c r="BD313" s="224"/>
      <c r="BE313" s="74">
        <f t="shared" ref="BE313:BE334" si="11">AO313+AW313</f>
        <v>10270355</v>
      </c>
      <c r="BF313" s="74"/>
      <c r="BG313" s="74"/>
      <c r="BH313" s="74"/>
      <c r="BI313" s="74"/>
      <c r="BJ313" s="74"/>
      <c r="BK313" s="74"/>
      <c r="BL313" s="74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</row>
    <row r="314" spans="1:85" ht="39" customHeight="1" x14ac:dyDescent="0.2">
      <c r="A314" s="66"/>
      <c r="B314" s="66"/>
      <c r="C314" s="66"/>
      <c r="D314" s="66"/>
      <c r="E314" s="66"/>
      <c r="F314" s="66"/>
      <c r="G314" s="78" t="s">
        <v>263</v>
      </c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7" t="s">
        <v>49</v>
      </c>
      <c r="AA314" s="77"/>
      <c r="AB314" s="77"/>
      <c r="AC314" s="77"/>
      <c r="AD314" s="77"/>
      <c r="AE314" s="77" t="s">
        <v>113</v>
      </c>
      <c r="AF314" s="77"/>
      <c r="AG314" s="77"/>
      <c r="AH314" s="77"/>
      <c r="AI314" s="77"/>
      <c r="AJ314" s="77"/>
      <c r="AK314" s="77"/>
      <c r="AL314" s="77"/>
      <c r="AM314" s="77"/>
      <c r="AN314" s="77"/>
      <c r="AO314" s="69"/>
      <c r="AP314" s="69"/>
      <c r="AQ314" s="69"/>
      <c r="AR314" s="69"/>
      <c r="AS314" s="69"/>
      <c r="AT314" s="69"/>
      <c r="AU314" s="69"/>
      <c r="AV314" s="69"/>
      <c r="AW314" s="224">
        <f>600000+60000</f>
        <v>660000</v>
      </c>
      <c r="AX314" s="224"/>
      <c r="AY314" s="224"/>
      <c r="AZ314" s="224"/>
      <c r="BA314" s="224"/>
      <c r="BB314" s="224"/>
      <c r="BC314" s="224"/>
      <c r="BD314" s="224"/>
      <c r="BE314" s="74">
        <f t="shared" si="11"/>
        <v>660000</v>
      </c>
      <c r="BF314" s="74"/>
      <c r="BG314" s="74"/>
      <c r="BH314" s="74"/>
      <c r="BI314" s="74"/>
      <c r="BJ314" s="74"/>
      <c r="BK314" s="74"/>
      <c r="BL314" s="74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</row>
    <row r="315" spans="1:85" ht="50.25" customHeight="1" x14ac:dyDescent="0.2">
      <c r="A315" s="66"/>
      <c r="B315" s="66"/>
      <c r="C315" s="66"/>
      <c r="D315" s="66"/>
      <c r="E315" s="66"/>
      <c r="F315" s="66"/>
      <c r="G315" s="78" t="s">
        <v>243</v>
      </c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7" t="s">
        <v>49</v>
      </c>
      <c r="AA315" s="77"/>
      <c r="AB315" s="77"/>
      <c r="AC315" s="77"/>
      <c r="AD315" s="77"/>
      <c r="AE315" s="77" t="s">
        <v>113</v>
      </c>
      <c r="AF315" s="77"/>
      <c r="AG315" s="77"/>
      <c r="AH315" s="77"/>
      <c r="AI315" s="77"/>
      <c r="AJ315" s="77"/>
      <c r="AK315" s="77"/>
      <c r="AL315" s="77"/>
      <c r="AM315" s="77"/>
      <c r="AN315" s="77"/>
      <c r="AO315" s="69"/>
      <c r="AP315" s="69"/>
      <c r="AQ315" s="69"/>
      <c r="AR315" s="69"/>
      <c r="AS315" s="69"/>
      <c r="AT315" s="69"/>
      <c r="AU315" s="69"/>
      <c r="AV315" s="69"/>
      <c r="AW315" s="224">
        <v>1000000</v>
      </c>
      <c r="AX315" s="224"/>
      <c r="AY315" s="224"/>
      <c r="AZ315" s="224"/>
      <c r="BA315" s="224"/>
      <c r="BB315" s="224"/>
      <c r="BC315" s="224"/>
      <c r="BD315" s="224"/>
      <c r="BE315" s="74">
        <f t="shared" si="11"/>
        <v>1000000</v>
      </c>
      <c r="BF315" s="74"/>
      <c r="BG315" s="74"/>
      <c r="BH315" s="74"/>
      <c r="BI315" s="74"/>
      <c r="BJ315" s="74"/>
      <c r="BK315" s="74"/>
      <c r="BL315" s="74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</row>
    <row r="316" spans="1:85" ht="23.25" customHeight="1" x14ac:dyDescent="0.2">
      <c r="A316" s="66"/>
      <c r="B316" s="66"/>
      <c r="C316" s="66"/>
      <c r="D316" s="66"/>
      <c r="E316" s="66"/>
      <c r="F316" s="66"/>
      <c r="G316" s="78" t="s">
        <v>233</v>
      </c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7" t="s">
        <v>49</v>
      </c>
      <c r="AA316" s="77"/>
      <c r="AB316" s="77"/>
      <c r="AC316" s="77"/>
      <c r="AD316" s="77"/>
      <c r="AE316" s="77" t="s">
        <v>113</v>
      </c>
      <c r="AF316" s="77"/>
      <c r="AG316" s="77"/>
      <c r="AH316" s="77"/>
      <c r="AI316" s="77"/>
      <c r="AJ316" s="77"/>
      <c r="AK316" s="77"/>
      <c r="AL316" s="77"/>
      <c r="AM316" s="77"/>
      <c r="AN316" s="77"/>
      <c r="AO316" s="69"/>
      <c r="AP316" s="69"/>
      <c r="AQ316" s="69"/>
      <c r="AR316" s="69"/>
      <c r="AS316" s="69"/>
      <c r="AT316" s="69"/>
      <c r="AU316" s="69"/>
      <c r="AV316" s="69"/>
      <c r="AW316" s="224">
        <f>52000+600000+400000+180000+180000-52000</f>
        <v>1360000</v>
      </c>
      <c r="AX316" s="224"/>
      <c r="AY316" s="224"/>
      <c r="AZ316" s="224"/>
      <c r="BA316" s="224"/>
      <c r="BB316" s="224"/>
      <c r="BC316" s="224"/>
      <c r="BD316" s="224"/>
      <c r="BE316" s="74">
        <f t="shared" si="11"/>
        <v>1360000</v>
      </c>
      <c r="BF316" s="74"/>
      <c r="BG316" s="74"/>
      <c r="BH316" s="74"/>
      <c r="BI316" s="74"/>
      <c r="BJ316" s="74"/>
      <c r="BK316" s="74"/>
      <c r="BL316" s="74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</row>
    <row r="317" spans="1:85" ht="33.75" customHeight="1" x14ac:dyDescent="0.2">
      <c r="A317" s="66"/>
      <c r="B317" s="66"/>
      <c r="C317" s="66"/>
      <c r="D317" s="66"/>
      <c r="E317" s="66"/>
      <c r="F317" s="66"/>
      <c r="G317" s="78" t="s">
        <v>244</v>
      </c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7" t="s">
        <v>49</v>
      </c>
      <c r="AA317" s="77"/>
      <c r="AB317" s="77"/>
      <c r="AC317" s="77"/>
      <c r="AD317" s="77"/>
      <c r="AE317" s="77" t="s">
        <v>113</v>
      </c>
      <c r="AF317" s="77"/>
      <c r="AG317" s="77"/>
      <c r="AH317" s="77"/>
      <c r="AI317" s="77"/>
      <c r="AJ317" s="77"/>
      <c r="AK317" s="77"/>
      <c r="AL317" s="77"/>
      <c r="AM317" s="77"/>
      <c r="AN317" s="77"/>
      <c r="AO317" s="69"/>
      <c r="AP317" s="69"/>
      <c r="AQ317" s="69"/>
      <c r="AR317" s="69"/>
      <c r="AS317" s="69"/>
      <c r="AT317" s="69"/>
      <c r="AU317" s="69"/>
      <c r="AV317" s="69"/>
      <c r="AW317" s="224">
        <f>3000000+532023</f>
        <v>3532023</v>
      </c>
      <c r="AX317" s="224"/>
      <c r="AY317" s="224"/>
      <c r="AZ317" s="224"/>
      <c r="BA317" s="224"/>
      <c r="BB317" s="224"/>
      <c r="BC317" s="224"/>
      <c r="BD317" s="224"/>
      <c r="BE317" s="74">
        <f t="shared" si="11"/>
        <v>3532023</v>
      </c>
      <c r="BF317" s="74"/>
      <c r="BG317" s="74"/>
      <c r="BH317" s="74"/>
      <c r="BI317" s="74"/>
      <c r="BJ317" s="74"/>
      <c r="BK317" s="74"/>
      <c r="BL317" s="74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</row>
    <row r="318" spans="1:85" ht="42.75" customHeight="1" x14ac:dyDescent="0.2">
      <c r="A318" s="66"/>
      <c r="B318" s="66"/>
      <c r="C318" s="66"/>
      <c r="D318" s="66"/>
      <c r="E318" s="66"/>
      <c r="F318" s="66"/>
      <c r="G318" s="78" t="s">
        <v>245</v>
      </c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7" t="s">
        <v>49</v>
      </c>
      <c r="AA318" s="77"/>
      <c r="AB318" s="77"/>
      <c r="AC318" s="77"/>
      <c r="AD318" s="77"/>
      <c r="AE318" s="77" t="s">
        <v>113</v>
      </c>
      <c r="AF318" s="77"/>
      <c r="AG318" s="77"/>
      <c r="AH318" s="77"/>
      <c r="AI318" s="77"/>
      <c r="AJ318" s="77"/>
      <c r="AK318" s="77"/>
      <c r="AL318" s="77"/>
      <c r="AM318" s="77"/>
      <c r="AN318" s="77"/>
      <c r="AO318" s="69"/>
      <c r="AP318" s="69"/>
      <c r="AQ318" s="69"/>
      <c r="AR318" s="69"/>
      <c r="AS318" s="69"/>
      <c r="AT318" s="69"/>
      <c r="AU318" s="69"/>
      <c r="AV318" s="69"/>
      <c r="AW318" s="224">
        <f>2122064+850000</f>
        <v>2972064</v>
      </c>
      <c r="AX318" s="224"/>
      <c r="AY318" s="224"/>
      <c r="AZ318" s="224"/>
      <c r="BA318" s="224"/>
      <c r="BB318" s="224"/>
      <c r="BC318" s="224"/>
      <c r="BD318" s="224"/>
      <c r="BE318" s="74">
        <f t="shared" si="11"/>
        <v>2972064</v>
      </c>
      <c r="BF318" s="74"/>
      <c r="BG318" s="74"/>
      <c r="BH318" s="74"/>
      <c r="BI318" s="74"/>
      <c r="BJ318" s="74"/>
      <c r="BK318" s="74"/>
      <c r="BL318" s="74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</row>
    <row r="319" spans="1:85" ht="48.75" customHeight="1" x14ac:dyDescent="0.2">
      <c r="A319" s="66"/>
      <c r="B319" s="66"/>
      <c r="C319" s="66"/>
      <c r="D319" s="66"/>
      <c r="E319" s="66"/>
      <c r="F319" s="66"/>
      <c r="G319" s="223" t="s">
        <v>234</v>
      </c>
      <c r="H319" s="223"/>
      <c r="I319" s="223"/>
      <c r="J319" s="223"/>
      <c r="K319" s="223"/>
      <c r="L319" s="223"/>
      <c r="M319" s="223"/>
      <c r="N319" s="223"/>
      <c r="O319" s="223"/>
      <c r="P319" s="223"/>
      <c r="Q319" s="223"/>
      <c r="R319" s="223"/>
      <c r="S319" s="223"/>
      <c r="T319" s="223"/>
      <c r="U319" s="223"/>
      <c r="V319" s="223"/>
      <c r="W319" s="223"/>
      <c r="X319" s="223"/>
      <c r="Y319" s="223"/>
      <c r="Z319" s="77" t="s">
        <v>49</v>
      </c>
      <c r="AA319" s="77"/>
      <c r="AB319" s="77"/>
      <c r="AC319" s="77"/>
      <c r="AD319" s="77"/>
      <c r="AE319" s="77" t="s">
        <v>113</v>
      </c>
      <c r="AF319" s="77"/>
      <c r="AG319" s="77"/>
      <c r="AH319" s="77"/>
      <c r="AI319" s="77"/>
      <c r="AJ319" s="77"/>
      <c r="AK319" s="77"/>
      <c r="AL319" s="77"/>
      <c r="AM319" s="77"/>
      <c r="AN319" s="77"/>
      <c r="AO319" s="69"/>
      <c r="AP319" s="69"/>
      <c r="AQ319" s="69"/>
      <c r="AR319" s="69"/>
      <c r="AS319" s="69"/>
      <c r="AT319" s="69"/>
      <c r="AU319" s="69"/>
      <c r="AV319" s="69"/>
      <c r="AW319" s="224">
        <f>300000+26000</f>
        <v>326000</v>
      </c>
      <c r="AX319" s="224"/>
      <c r="AY319" s="224"/>
      <c r="AZ319" s="224"/>
      <c r="BA319" s="224"/>
      <c r="BB319" s="224"/>
      <c r="BC319" s="224"/>
      <c r="BD319" s="224"/>
      <c r="BE319" s="74">
        <f t="shared" si="11"/>
        <v>326000</v>
      </c>
      <c r="BF319" s="74"/>
      <c r="BG319" s="74"/>
      <c r="BH319" s="74"/>
      <c r="BI319" s="74"/>
      <c r="BJ319" s="74"/>
      <c r="BK319" s="74"/>
      <c r="BL319" s="74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</row>
    <row r="320" spans="1:85" ht="51.75" customHeight="1" x14ac:dyDescent="0.2">
      <c r="A320" s="228"/>
      <c r="B320" s="229"/>
      <c r="C320" s="229"/>
      <c r="D320" s="229"/>
      <c r="E320" s="229"/>
      <c r="F320" s="230"/>
      <c r="G320" s="108" t="s">
        <v>267</v>
      </c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10"/>
      <c r="Z320" s="77" t="s">
        <v>49</v>
      </c>
      <c r="AA320" s="77"/>
      <c r="AB320" s="77"/>
      <c r="AC320" s="77"/>
      <c r="AD320" s="77"/>
      <c r="AE320" s="77" t="s">
        <v>113</v>
      </c>
      <c r="AF320" s="77"/>
      <c r="AG320" s="77"/>
      <c r="AH320" s="77"/>
      <c r="AI320" s="77"/>
      <c r="AJ320" s="77"/>
      <c r="AK320" s="77"/>
      <c r="AL320" s="77"/>
      <c r="AM320" s="77"/>
      <c r="AN320" s="77"/>
      <c r="AO320" s="231"/>
      <c r="AP320" s="232"/>
      <c r="AQ320" s="232"/>
      <c r="AR320" s="232"/>
      <c r="AS320" s="232"/>
      <c r="AT320" s="232"/>
      <c r="AU320" s="232"/>
      <c r="AV320" s="233"/>
      <c r="AW320" s="224">
        <f>180000</f>
        <v>180000</v>
      </c>
      <c r="AX320" s="226"/>
      <c r="AY320" s="226"/>
      <c r="AZ320" s="226"/>
      <c r="BA320" s="226"/>
      <c r="BB320" s="226"/>
      <c r="BC320" s="226"/>
      <c r="BD320" s="227"/>
      <c r="BE320" s="234">
        <f>AO320+AW320</f>
        <v>180000</v>
      </c>
      <c r="BF320" s="235"/>
      <c r="BG320" s="235"/>
      <c r="BH320" s="235"/>
      <c r="BI320" s="235"/>
      <c r="BJ320" s="235"/>
      <c r="BK320" s="235"/>
      <c r="BL320" s="236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</row>
    <row r="321" spans="1:85" ht="36.75" customHeight="1" x14ac:dyDescent="0.2">
      <c r="A321" s="66"/>
      <c r="B321" s="66"/>
      <c r="C321" s="66"/>
      <c r="D321" s="66"/>
      <c r="E321" s="66"/>
      <c r="F321" s="66"/>
      <c r="G321" s="108" t="s">
        <v>265</v>
      </c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10"/>
      <c r="Z321" s="77" t="s">
        <v>49</v>
      </c>
      <c r="AA321" s="77"/>
      <c r="AB321" s="77"/>
      <c r="AC321" s="77"/>
      <c r="AD321" s="77"/>
      <c r="AE321" s="77" t="s">
        <v>113</v>
      </c>
      <c r="AF321" s="77"/>
      <c r="AG321" s="77"/>
      <c r="AH321" s="77"/>
      <c r="AI321" s="77"/>
      <c r="AJ321" s="77"/>
      <c r="AK321" s="77"/>
      <c r="AL321" s="77"/>
      <c r="AM321" s="77"/>
      <c r="AN321" s="77"/>
      <c r="AO321" s="69"/>
      <c r="AP321" s="69"/>
      <c r="AQ321" s="69"/>
      <c r="AR321" s="69"/>
      <c r="AS321" s="69"/>
      <c r="AT321" s="69"/>
      <c r="AU321" s="69"/>
      <c r="AV321" s="69"/>
      <c r="AW321" s="224">
        <f>200000-49732</f>
        <v>150268</v>
      </c>
      <c r="AX321" s="224"/>
      <c r="AY321" s="224"/>
      <c r="AZ321" s="224"/>
      <c r="BA321" s="224"/>
      <c r="BB321" s="224"/>
      <c r="BC321" s="224"/>
      <c r="BD321" s="224"/>
      <c r="BE321" s="74">
        <f>AO321+AW321</f>
        <v>150268</v>
      </c>
      <c r="BF321" s="74"/>
      <c r="BG321" s="74"/>
      <c r="BH321" s="74"/>
      <c r="BI321" s="74"/>
      <c r="BJ321" s="74"/>
      <c r="BK321" s="74"/>
      <c r="BL321" s="74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</row>
    <row r="322" spans="1:85" ht="34.5" customHeight="1" x14ac:dyDescent="0.2">
      <c r="A322" s="66"/>
      <c r="B322" s="66"/>
      <c r="C322" s="66"/>
      <c r="D322" s="66"/>
      <c r="E322" s="66"/>
      <c r="F322" s="66"/>
      <c r="G322" s="108" t="s">
        <v>264</v>
      </c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10"/>
      <c r="Z322" s="77" t="s">
        <v>49</v>
      </c>
      <c r="AA322" s="77"/>
      <c r="AB322" s="77"/>
      <c r="AC322" s="77"/>
      <c r="AD322" s="77"/>
      <c r="AE322" s="77" t="s">
        <v>113</v>
      </c>
      <c r="AF322" s="77"/>
      <c r="AG322" s="77"/>
      <c r="AH322" s="77"/>
      <c r="AI322" s="77"/>
      <c r="AJ322" s="77"/>
      <c r="AK322" s="77"/>
      <c r="AL322" s="77"/>
      <c r="AM322" s="77"/>
      <c r="AN322" s="77"/>
      <c r="AO322" s="69"/>
      <c r="AP322" s="69"/>
      <c r="AQ322" s="69"/>
      <c r="AR322" s="69"/>
      <c r="AS322" s="69"/>
      <c r="AT322" s="69"/>
      <c r="AU322" s="69"/>
      <c r="AV322" s="69"/>
      <c r="AW322" s="224">
        <v>90000</v>
      </c>
      <c r="AX322" s="224"/>
      <c r="AY322" s="224"/>
      <c r="AZ322" s="224"/>
      <c r="BA322" s="224"/>
      <c r="BB322" s="224"/>
      <c r="BC322" s="224"/>
      <c r="BD322" s="224"/>
      <c r="BE322" s="74">
        <f>AO322+AW322</f>
        <v>90000</v>
      </c>
      <c r="BF322" s="74"/>
      <c r="BG322" s="74"/>
      <c r="BH322" s="74"/>
      <c r="BI322" s="74"/>
      <c r="BJ322" s="74"/>
      <c r="BK322" s="74"/>
      <c r="BL322" s="74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</row>
    <row r="323" spans="1:85" ht="18" customHeight="1" x14ac:dyDescent="0.2">
      <c r="A323" s="66"/>
      <c r="B323" s="66"/>
      <c r="C323" s="66"/>
      <c r="D323" s="66"/>
      <c r="E323" s="66"/>
      <c r="F323" s="66"/>
      <c r="G323" s="83" t="s">
        <v>51</v>
      </c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67"/>
      <c r="AA323" s="67"/>
      <c r="AB323" s="67"/>
      <c r="AC323" s="67"/>
      <c r="AD323" s="6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69"/>
      <c r="AP323" s="69"/>
      <c r="AQ323" s="69"/>
      <c r="AR323" s="69"/>
      <c r="AS323" s="69"/>
      <c r="AT323" s="69"/>
      <c r="AU323" s="69"/>
      <c r="AV323" s="69"/>
      <c r="AW323" s="66"/>
      <c r="AX323" s="66"/>
      <c r="AY323" s="66"/>
      <c r="AZ323" s="66"/>
      <c r="BA323" s="66"/>
      <c r="BB323" s="66"/>
      <c r="BC323" s="66"/>
      <c r="BD323" s="66"/>
      <c r="BE323" s="72"/>
      <c r="BF323" s="72"/>
      <c r="BG323" s="72"/>
      <c r="BH323" s="72"/>
      <c r="BI323" s="72"/>
      <c r="BJ323" s="72"/>
      <c r="BK323" s="72"/>
      <c r="BL323" s="72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</row>
    <row r="324" spans="1:85" ht="28.5" customHeight="1" x14ac:dyDescent="0.2">
      <c r="A324" s="66"/>
      <c r="B324" s="66"/>
      <c r="C324" s="66"/>
      <c r="D324" s="66"/>
      <c r="E324" s="66"/>
      <c r="F324" s="66"/>
      <c r="G324" s="68" t="s">
        <v>210</v>
      </c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5" t="s">
        <v>50</v>
      </c>
      <c r="AA324" s="65"/>
      <c r="AB324" s="65"/>
      <c r="AC324" s="65"/>
      <c r="AD324" s="65"/>
      <c r="AE324" s="225" t="s">
        <v>235</v>
      </c>
      <c r="AF324" s="225"/>
      <c r="AG324" s="225"/>
      <c r="AH324" s="225"/>
      <c r="AI324" s="225"/>
      <c r="AJ324" s="225"/>
      <c r="AK324" s="225"/>
      <c r="AL324" s="225"/>
      <c r="AM324" s="225"/>
      <c r="AN324" s="225"/>
      <c r="AO324" s="69"/>
      <c r="AP324" s="69"/>
      <c r="AQ324" s="69"/>
      <c r="AR324" s="69"/>
      <c r="AS324" s="69"/>
      <c r="AT324" s="69"/>
      <c r="AU324" s="69"/>
      <c r="AV324" s="69"/>
      <c r="AW324" s="66">
        <f>4+2</f>
        <v>6</v>
      </c>
      <c r="AX324" s="66"/>
      <c r="AY324" s="66"/>
      <c r="AZ324" s="66"/>
      <c r="BA324" s="66"/>
      <c r="BB324" s="66"/>
      <c r="BC324" s="66"/>
      <c r="BD324" s="66"/>
      <c r="BE324" s="73">
        <f t="shared" si="11"/>
        <v>6</v>
      </c>
      <c r="BF324" s="73"/>
      <c r="BG324" s="73"/>
      <c r="BH324" s="73"/>
      <c r="BI324" s="73"/>
      <c r="BJ324" s="73"/>
      <c r="BK324" s="73"/>
      <c r="BL324" s="73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</row>
    <row r="325" spans="1:85" ht="36.75" customHeight="1" x14ac:dyDescent="0.2">
      <c r="A325" s="66"/>
      <c r="B325" s="66"/>
      <c r="C325" s="66"/>
      <c r="D325" s="66"/>
      <c r="E325" s="66"/>
      <c r="F325" s="66"/>
      <c r="G325" s="68" t="s">
        <v>238</v>
      </c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5" t="s">
        <v>50</v>
      </c>
      <c r="AA325" s="65"/>
      <c r="AB325" s="65"/>
      <c r="AC325" s="65"/>
      <c r="AD325" s="65"/>
      <c r="AE325" s="77" t="s">
        <v>251</v>
      </c>
      <c r="AF325" s="77"/>
      <c r="AG325" s="77"/>
      <c r="AH325" s="77"/>
      <c r="AI325" s="77"/>
      <c r="AJ325" s="77"/>
      <c r="AK325" s="77"/>
      <c r="AL325" s="77"/>
      <c r="AM325" s="77"/>
      <c r="AN325" s="77"/>
      <c r="AO325" s="69"/>
      <c r="AP325" s="69"/>
      <c r="AQ325" s="69"/>
      <c r="AR325" s="69"/>
      <c r="AS325" s="69"/>
      <c r="AT325" s="69"/>
      <c r="AU325" s="69"/>
      <c r="AV325" s="69"/>
      <c r="AW325" s="66">
        <v>2</v>
      </c>
      <c r="AX325" s="66"/>
      <c r="AY325" s="66"/>
      <c r="AZ325" s="66"/>
      <c r="BA325" s="66"/>
      <c r="BB325" s="66"/>
      <c r="BC325" s="66"/>
      <c r="BD325" s="66"/>
      <c r="BE325" s="73">
        <f>AO325+AW325</f>
        <v>2</v>
      </c>
      <c r="BF325" s="73"/>
      <c r="BG325" s="73"/>
      <c r="BH325" s="73"/>
      <c r="BI325" s="73"/>
      <c r="BJ325" s="73"/>
      <c r="BK325" s="73"/>
      <c r="BL325" s="73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</row>
    <row r="326" spans="1:85" ht="36" customHeight="1" x14ac:dyDescent="0.2">
      <c r="A326" s="66"/>
      <c r="B326" s="66"/>
      <c r="C326" s="66"/>
      <c r="D326" s="66"/>
      <c r="E326" s="66"/>
      <c r="F326" s="66"/>
      <c r="G326" s="68" t="s">
        <v>270</v>
      </c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5" t="s">
        <v>50</v>
      </c>
      <c r="AA326" s="65"/>
      <c r="AB326" s="65"/>
      <c r="AC326" s="65"/>
      <c r="AD326" s="65"/>
      <c r="AE326" s="77" t="s">
        <v>113</v>
      </c>
      <c r="AF326" s="77"/>
      <c r="AG326" s="77"/>
      <c r="AH326" s="77"/>
      <c r="AI326" s="77"/>
      <c r="AJ326" s="77"/>
      <c r="AK326" s="77"/>
      <c r="AL326" s="77"/>
      <c r="AM326" s="77"/>
      <c r="AN326" s="77"/>
      <c r="AO326" s="69"/>
      <c r="AP326" s="69"/>
      <c r="AQ326" s="69"/>
      <c r="AR326" s="69"/>
      <c r="AS326" s="69"/>
      <c r="AT326" s="69"/>
      <c r="AU326" s="69"/>
      <c r="AV326" s="69"/>
      <c r="AW326" s="66">
        <f>2+2</f>
        <v>4</v>
      </c>
      <c r="AX326" s="66"/>
      <c r="AY326" s="66"/>
      <c r="AZ326" s="66"/>
      <c r="BA326" s="66"/>
      <c r="BB326" s="66"/>
      <c r="BC326" s="66"/>
      <c r="BD326" s="66"/>
      <c r="BE326" s="73">
        <f t="shared" si="11"/>
        <v>4</v>
      </c>
      <c r="BF326" s="73"/>
      <c r="BG326" s="73"/>
      <c r="BH326" s="73"/>
      <c r="BI326" s="73"/>
      <c r="BJ326" s="73"/>
      <c r="BK326" s="73"/>
      <c r="BL326" s="73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</row>
    <row r="327" spans="1:85" ht="36" customHeight="1" x14ac:dyDescent="0.2">
      <c r="A327" s="66"/>
      <c r="B327" s="66"/>
      <c r="C327" s="66"/>
      <c r="D327" s="66"/>
      <c r="E327" s="66"/>
      <c r="F327" s="66"/>
      <c r="G327" s="68" t="s">
        <v>269</v>
      </c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5" t="s">
        <v>50</v>
      </c>
      <c r="AA327" s="65"/>
      <c r="AB327" s="65"/>
      <c r="AC327" s="65"/>
      <c r="AD327" s="65"/>
      <c r="AE327" s="77" t="s">
        <v>268</v>
      </c>
      <c r="AF327" s="77"/>
      <c r="AG327" s="77"/>
      <c r="AH327" s="77"/>
      <c r="AI327" s="77"/>
      <c r="AJ327" s="77"/>
      <c r="AK327" s="77"/>
      <c r="AL327" s="77"/>
      <c r="AM327" s="77"/>
      <c r="AN327" s="77"/>
      <c r="AO327" s="69"/>
      <c r="AP327" s="69"/>
      <c r="AQ327" s="69"/>
      <c r="AR327" s="69"/>
      <c r="AS327" s="69"/>
      <c r="AT327" s="69"/>
      <c r="AU327" s="69"/>
      <c r="AV327" s="69"/>
      <c r="AW327" s="66">
        <v>8</v>
      </c>
      <c r="AX327" s="66"/>
      <c r="AY327" s="66"/>
      <c r="AZ327" s="66"/>
      <c r="BA327" s="66"/>
      <c r="BB327" s="66"/>
      <c r="BC327" s="66"/>
      <c r="BD327" s="66"/>
      <c r="BE327" s="73">
        <f>AO327+AW327</f>
        <v>8</v>
      </c>
      <c r="BF327" s="73"/>
      <c r="BG327" s="73"/>
      <c r="BH327" s="73"/>
      <c r="BI327" s="73"/>
      <c r="BJ327" s="73"/>
      <c r="BK327" s="73"/>
      <c r="BL327" s="73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</row>
    <row r="328" spans="1:85" ht="21" customHeight="1" x14ac:dyDescent="0.2">
      <c r="A328" s="66"/>
      <c r="B328" s="66"/>
      <c r="C328" s="66"/>
      <c r="D328" s="66"/>
      <c r="E328" s="66"/>
      <c r="F328" s="66"/>
      <c r="G328" s="83" t="s">
        <v>52</v>
      </c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67"/>
      <c r="AA328" s="67"/>
      <c r="AB328" s="67"/>
      <c r="AC328" s="67"/>
      <c r="AD328" s="6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69"/>
      <c r="AP328" s="69"/>
      <c r="AQ328" s="69"/>
      <c r="AR328" s="69"/>
      <c r="AS328" s="69"/>
      <c r="AT328" s="69"/>
      <c r="AU328" s="69"/>
      <c r="AV328" s="69"/>
      <c r="AW328" s="66"/>
      <c r="AX328" s="66"/>
      <c r="AY328" s="66"/>
      <c r="AZ328" s="66"/>
      <c r="BA328" s="66"/>
      <c r="BB328" s="66"/>
      <c r="BC328" s="66"/>
      <c r="BD328" s="66"/>
      <c r="BE328" s="72"/>
      <c r="BF328" s="72"/>
      <c r="BG328" s="72"/>
      <c r="BH328" s="72"/>
      <c r="BI328" s="72"/>
      <c r="BJ328" s="72"/>
      <c r="BK328" s="72"/>
      <c r="BL328" s="72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</row>
    <row r="329" spans="1:85" ht="22.5" customHeight="1" x14ac:dyDescent="0.2">
      <c r="A329" s="66"/>
      <c r="B329" s="66"/>
      <c r="C329" s="66"/>
      <c r="D329" s="66"/>
      <c r="E329" s="66"/>
      <c r="F329" s="66"/>
      <c r="G329" s="68" t="s">
        <v>211</v>
      </c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77" t="s">
        <v>49</v>
      </c>
      <c r="AA329" s="77"/>
      <c r="AB329" s="77"/>
      <c r="AC329" s="77"/>
      <c r="AD329" s="77"/>
      <c r="AE329" s="65" t="s">
        <v>62</v>
      </c>
      <c r="AF329" s="65"/>
      <c r="AG329" s="65"/>
      <c r="AH329" s="65"/>
      <c r="AI329" s="65"/>
      <c r="AJ329" s="65"/>
      <c r="AK329" s="65"/>
      <c r="AL329" s="65"/>
      <c r="AM329" s="65"/>
      <c r="AN329" s="65"/>
      <c r="AO329" s="69"/>
      <c r="AP329" s="69"/>
      <c r="AQ329" s="69"/>
      <c r="AR329" s="69"/>
      <c r="AS329" s="69"/>
      <c r="AT329" s="69"/>
      <c r="AU329" s="69"/>
      <c r="AV329" s="69"/>
      <c r="AW329" s="219">
        <f>(AW315+AW317+AW318+AW319+AW322+AW320)/AW324</f>
        <v>1350014.5</v>
      </c>
      <c r="AX329" s="219"/>
      <c r="AY329" s="219"/>
      <c r="AZ329" s="219"/>
      <c r="BA329" s="219"/>
      <c r="BB329" s="219"/>
      <c r="BC329" s="219"/>
      <c r="BD329" s="219"/>
      <c r="BE329" s="72">
        <f t="shared" si="11"/>
        <v>1350014.5</v>
      </c>
      <c r="BF329" s="72"/>
      <c r="BG329" s="72"/>
      <c r="BH329" s="72"/>
      <c r="BI329" s="72"/>
      <c r="BJ329" s="72"/>
      <c r="BK329" s="72"/>
      <c r="BL329" s="72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</row>
    <row r="330" spans="1:85" ht="35.25" customHeight="1" x14ac:dyDescent="0.2">
      <c r="A330" s="66"/>
      <c r="B330" s="66"/>
      <c r="C330" s="66"/>
      <c r="D330" s="66"/>
      <c r="E330" s="66"/>
      <c r="F330" s="66"/>
      <c r="G330" s="220" t="s">
        <v>241</v>
      </c>
      <c r="H330" s="221"/>
      <c r="I330" s="221"/>
      <c r="J330" s="221"/>
      <c r="K330" s="221"/>
      <c r="L330" s="221"/>
      <c r="M330" s="221"/>
      <c r="N330" s="221"/>
      <c r="O330" s="221"/>
      <c r="P330" s="221"/>
      <c r="Q330" s="221"/>
      <c r="R330" s="221"/>
      <c r="S330" s="221"/>
      <c r="T330" s="221"/>
      <c r="U330" s="221"/>
      <c r="V330" s="221"/>
      <c r="W330" s="221"/>
      <c r="X330" s="221"/>
      <c r="Y330" s="222"/>
      <c r="Z330" s="77" t="s">
        <v>49</v>
      </c>
      <c r="AA330" s="77"/>
      <c r="AB330" s="77"/>
      <c r="AC330" s="77"/>
      <c r="AD330" s="77"/>
      <c r="AE330" s="65" t="s">
        <v>62</v>
      </c>
      <c r="AF330" s="65"/>
      <c r="AG330" s="65"/>
      <c r="AH330" s="65"/>
      <c r="AI330" s="65"/>
      <c r="AJ330" s="65"/>
      <c r="AK330" s="65"/>
      <c r="AL330" s="65"/>
      <c r="AM330" s="65"/>
      <c r="AN330" s="65"/>
      <c r="AO330" s="69"/>
      <c r="AP330" s="69"/>
      <c r="AQ330" s="69"/>
      <c r="AR330" s="69"/>
      <c r="AS330" s="69"/>
      <c r="AT330" s="69"/>
      <c r="AU330" s="69"/>
      <c r="AV330" s="69"/>
      <c r="AW330" s="219">
        <f>AW314/AW325</f>
        <v>330000</v>
      </c>
      <c r="AX330" s="219"/>
      <c r="AY330" s="219"/>
      <c r="AZ330" s="219"/>
      <c r="BA330" s="219"/>
      <c r="BB330" s="219"/>
      <c r="BC330" s="219"/>
      <c r="BD330" s="219"/>
      <c r="BE330" s="72">
        <f>AO330+AW330</f>
        <v>330000</v>
      </c>
      <c r="BF330" s="72"/>
      <c r="BG330" s="72"/>
      <c r="BH330" s="72"/>
      <c r="BI330" s="72"/>
      <c r="BJ330" s="72"/>
      <c r="BK330" s="72"/>
      <c r="BL330" s="72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</row>
    <row r="331" spans="1:85" ht="36.75" customHeight="1" x14ac:dyDescent="0.2">
      <c r="A331" s="66"/>
      <c r="B331" s="66"/>
      <c r="C331" s="66"/>
      <c r="D331" s="66"/>
      <c r="E331" s="66"/>
      <c r="F331" s="66"/>
      <c r="G331" s="68" t="s">
        <v>212</v>
      </c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77" t="s">
        <v>49</v>
      </c>
      <c r="AA331" s="77"/>
      <c r="AB331" s="77"/>
      <c r="AC331" s="77"/>
      <c r="AD331" s="77"/>
      <c r="AE331" s="65" t="s">
        <v>62</v>
      </c>
      <c r="AF331" s="65"/>
      <c r="AG331" s="65"/>
      <c r="AH331" s="65"/>
      <c r="AI331" s="65"/>
      <c r="AJ331" s="65"/>
      <c r="AK331" s="65"/>
      <c r="AL331" s="65"/>
      <c r="AM331" s="65"/>
      <c r="AN331" s="65"/>
      <c r="AO331" s="69"/>
      <c r="AP331" s="69"/>
      <c r="AQ331" s="69"/>
      <c r="AR331" s="69"/>
      <c r="AS331" s="69"/>
      <c r="AT331" s="69"/>
      <c r="AU331" s="69"/>
      <c r="AV331" s="69"/>
      <c r="AW331" s="219">
        <f>AW316/AW326</f>
        <v>340000</v>
      </c>
      <c r="AX331" s="219"/>
      <c r="AY331" s="219"/>
      <c r="AZ331" s="219"/>
      <c r="BA331" s="219"/>
      <c r="BB331" s="219"/>
      <c r="BC331" s="219"/>
      <c r="BD331" s="219"/>
      <c r="BE331" s="72">
        <f t="shared" si="11"/>
        <v>340000</v>
      </c>
      <c r="BF331" s="72"/>
      <c r="BG331" s="72"/>
      <c r="BH331" s="72"/>
      <c r="BI331" s="72"/>
      <c r="BJ331" s="72"/>
      <c r="BK331" s="72"/>
      <c r="BL331" s="72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</row>
    <row r="332" spans="1:85" ht="26.25" customHeight="1" x14ac:dyDescent="0.2">
      <c r="A332" s="66"/>
      <c r="B332" s="66"/>
      <c r="C332" s="66"/>
      <c r="D332" s="66"/>
      <c r="E332" s="66"/>
      <c r="F332" s="66"/>
      <c r="G332" s="68" t="s">
        <v>271</v>
      </c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77" t="s">
        <v>49</v>
      </c>
      <c r="AA332" s="77"/>
      <c r="AB332" s="77"/>
      <c r="AC332" s="77"/>
      <c r="AD332" s="77"/>
      <c r="AE332" s="65" t="s">
        <v>62</v>
      </c>
      <c r="AF332" s="65"/>
      <c r="AG332" s="65"/>
      <c r="AH332" s="65"/>
      <c r="AI332" s="65"/>
      <c r="AJ332" s="65"/>
      <c r="AK332" s="65"/>
      <c r="AL332" s="65"/>
      <c r="AM332" s="65"/>
      <c r="AN332" s="65"/>
      <c r="AO332" s="69"/>
      <c r="AP332" s="69"/>
      <c r="AQ332" s="69"/>
      <c r="AR332" s="69"/>
      <c r="AS332" s="69"/>
      <c r="AT332" s="69"/>
      <c r="AU332" s="69"/>
      <c r="AV332" s="69"/>
      <c r="AW332" s="219">
        <f>AW321/AW327</f>
        <v>18783.5</v>
      </c>
      <c r="AX332" s="219"/>
      <c r="AY332" s="219"/>
      <c r="AZ332" s="219"/>
      <c r="BA332" s="219"/>
      <c r="BB332" s="219"/>
      <c r="BC332" s="219"/>
      <c r="BD332" s="219"/>
      <c r="BE332" s="72">
        <f>AO332+AW332</f>
        <v>18783.5</v>
      </c>
      <c r="BF332" s="72"/>
      <c r="BG332" s="72"/>
      <c r="BH332" s="72"/>
      <c r="BI332" s="72"/>
      <c r="BJ332" s="72"/>
      <c r="BK332" s="72"/>
      <c r="BL332" s="72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</row>
    <row r="333" spans="1:85" ht="18" customHeight="1" x14ac:dyDescent="0.2">
      <c r="A333" s="66"/>
      <c r="B333" s="66"/>
      <c r="C333" s="66"/>
      <c r="D333" s="66"/>
      <c r="E333" s="66"/>
      <c r="F333" s="66"/>
      <c r="G333" s="83" t="s">
        <v>53</v>
      </c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67"/>
      <c r="AA333" s="67"/>
      <c r="AB333" s="67"/>
      <c r="AC333" s="67"/>
      <c r="AD333" s="6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69"/>
      <c r="AP333" s="69"/>
      <c r="AQ333" s="69"/>
      <c r="AR333" s="69"/>
      <c r="AS333" s="69"/>
      <c r="AT333" s="69"/>
      <c r="AU333" s="69"/>
      <c r="AV333" s="69"/>
      <c r="AW333" s="66"/>
      <c r="AX333" s="66"/>
      <c r="AY333" s="66"/>
      <c r="AZ333" s="66"/>
      <c r="BA333" s="66"/>
      <c r="BB333" s="66"/>
      <c r="BC333" s="66"/>
      <c r="BD333" s="66"/>
      <c r="BE333" s="72"/>
      <c r="BF333" s="72"/>
      <c r="BG333" s="72"/>
      <c r="BH333" s="72"/>
      <c r="BI333" s="72"/>
      <c r="BJ333" s="72"/>
      <c r="BK333" s="72"/>
      <c r="BL333" s="72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</row>
    <row r="334" spans="1:85" ht="40.5" customHeight="1" x14ac:dyDescent="0.2">
      <c r="A334" s="66"/>
      <c r="B334" s="66"/>
      <c r="C334" s="66"/>
      <c r="D334" s="66"/>
      <c r="E334" s="66"/>
      <c r="F334" s="66"/>
      <c r="G334" s="97" t="s">
        <v>213</v>
      </c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77" t="s">
        <v>54</v>
      </c>
      <c r="AA334" s="77"/>
      <c r="AB334" s="77"/>
      <c r="AC334" s="77"/>
      <c r="AD334" s="77"/>
      <c r="AE334" s="65" t="s">
        <v>62</v>
      </c>
      <c r="AF334" s="65"/>
      <c r="AG334" s="65"/>
      <c r="AH334" s="65"/>
      <c r="AI334" s="65"/>
      <c r="AJ334" s="65"/>
      <c r="AK334" s="65"/>
      <c r="AL334" s="65"/>
      <c r="AM334" s="65"/>
      <c r="AN334" s="65"/>
      <c r="AO334" s="69"/>
      <c r="AP334" s="69"/>
      <c r="AQ334" s="69"/>
      <c r="AR334" s="69"/>
      <c r="AS334" s="69"/>
      <c r="AT334" s="69"/>
      <c r="AU334" s="69"/>
      <c r="AV334" s="69"/>
      <c r="AW334" s="219">
        <f>AW324/6*100</f>
        <v>100</v>
      </c>
      <c r="AX334" s="219"/>
      <c r="AY334" s="219"/>
      <c r="AZ334" s="219"/>
      <c r="BA334" s="219"/>
      <c r="BB334" s="219"/>
      <c r="BC334" s="219"/>
      <c r="BD334" s="219"/>
      <c r="BE334" s="72">
        <f t="shared" si="11"/>
        <v>100</v>
      </c>
      <c r="BF334" s="72"/>
      <c r="BG334" s="72"/>
      <c r="BH334" s="72"/>
      <c r="BI334" s="72"/>
      <c r="BJ334" s="72"/>
      <c r="BK334" s="72"/>
      <c r="BL334" s="72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</row>
    <row r="335" spans="1:85" ht="9" customHeight="1" x14ac:dyDescent="0.2">
      <c r="A335" s="48"/>
      <c r="B335" s="48"/>
      <c r="C335" s="48"/>
      <c r="D335" s="48"/>
      <c r="E335" s="48"/>
      <c r="F335" s="48"/>
      <c r="G335" s="52"/>
      <c r="H335" s="52"/>
      <c r="I335" s="52"/>
      <c r="J335" s="52"/>
      <c r="K335" s="52"/>
      <c r="L335" s="52"/>
      <c r="M335" s="52"/>
      <c r="N335" s="52"/>
      <c r="O335" s="52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</row>
    <row r="336" spans="1:85" ht="35.25" customHeight="1" x14ac:dyDescent="0.2">
      <c r="A336" s="65" t="s">
        <v>15</v>
      </c>
      <c r="B336" s="65"/>
      <c r="C336" s="65"/>
      <c r="D336" s="65"/>
      <c r="E336" s="65"/>
      <c r="F336" s="65"/>
      <c r="G336" s="65" t="s">
        <v>28</v>
      </c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 t="s">
        <v>2</v>
      </c>
      <c r="AA336" s="65"/>
      <c r="AB336" s="65"/>
      <c r="AC336" s="65"/>
      <c r="AD336" s="65"/>
      <c r="AE336" s="65" t="s">
        <v>1</v>
      </c>
      <c r="AF336" s="65"/>
      <c r="AG336" s="65"/>
      <c r="AH336" s="65"/>
      <c r="AI336" s="65"/>
      <c r="AJ336" s="65"/>
      <c r="AK336" s="65"/>
      <c r="AL336" s="65"/>
      <c r="AM336" s="65"/>
      <c r="AN336" s="65"/>
      <c r="AO336" s="65" t="s">
        <v>16</v>
      </c>
      <c r="AP336" s="65"/>
      <c r="AQ336" s="65"/>
      <c r="AR336" s="65"/>
      <c r="AS336" s="65"/>
      <c r="AT336" s="65"/>
      <c r="AU336" s="65"/>
      <c r="AV336" s="65"/>
      <c r="AW336" s="65" t="s">
        <v>17</v>
      </c>
      <c r="AX336" s="65"/>
      <c r="AY336" s="65"/>
      <c r="AZ336" s="65"/>
      <c r="BA336" s="65"/>
      <c r="BB336" s="65"/>
      <c r="BC336" s="65"/>
      <c r="BD336" s="65"/>
      <c r="BE336" s="65" t="s">
        <v>14</v>
      </c>
      <c r="BF336" s="65"/>
      <c r="BG336" s="65"/>
      <c r="BH336" s="65"/>
      <c r="BI336" s="65"/>
      <c r="BJ336" s="65"/>
      <c r="BK336" s="65"/>
      <c r="BL336" s="65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</row>
    <row r="337" spans="1:85" ht="18" customHeight="1" x14ac:dyDescent="0.2">
      <c r="A337" s="65">
        <v>1</v>
      </c>
      <c r="B337" s="65"/>
      <c r="C337" s="65"/>
      <c r="D337" s="65"/>
      <c r="E337" s="65"/>
      <c r="F337" s="65"/>
      <c r="G337" s="65">
        <v>2</v>
      </c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>
        <v>3</v>
      </c>
      <c r="AA337" s="65"/>
      <c r="AB337" s="65"/>
      <c r="AC337" s="65"/>
      <c r="AD337" s="65"/>
      <c r="AE337" s="65">
        <v>4</v>
      </c>
      <c r="AF337" s="65"/>
      <c r="AG337" s="65"/>
      <c r="AH337" s="65"/>
      <c r="AI337" s="65"/>
      <c r="AJ337" s="65"/>
      <c r="AK337" s="65"/>
      <c r="AL337" s="65"/>
      <c r="AM337" s="65"/>
      <c r="AN337" s="65"/>
      <c r="AO337" s="65">
        <v>5</v>
      </c>
      <c r="AP337" s="65"/>
      <c r="AQ337" s="65"/>
      <c r="AR337" s="65"/>
      <c r="AS337" s="65"/>
      <c r="AT337" s="65"/>
      <c r="AU337" s="65"/>
      <c r="AV337" s="65"/>
      <c r="AW337" s="65">
        <v>6</v>
      </c>
      <c r="AX337" s="65"/>
      <c r="AY337" s="65"/>
      <c r="AZ337" s="65"/>
      <c r="BA337" s="65"/>
      <c r="BB337" s="65"/>
      <c r="BC337" s="65"/>
      <c r="BD337" s="65"/>
      <c r="BE337" s="65">
        <v>7</v>
      </c>
      <c r="BF337" s="65"/>
      <c r="BG337" s="65"/>
      <c r="BH337" s="65"/>
      <c r="BI337" s="65"/>
      <c r="BJ337" s="65"/>
      <c r="BK337" s="65"/>
      <c r="BL337" s="65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</row>
    <row r="338" spans="1:85" ht="18" customHeight="1" x14ac:dyDescent="0.2">
      <c r="A338" s="65"/>
      <c r="B338" s="65"/>
      <c r="C338" s="65"/>
      <c r="D338" s="65"/>
      <c r="E338" s="65"/>
      <c r="F338" s="65"/>
      <c r="G338" s="211" t="s">
        <v>214</v>
      </c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  <c r="AC338" s="211"/>
      <c r="AD338" s="211"/>
      <c r="AE338" s="211"/>
      <c r="AF338" s="211"/>
      <c r="AG338" s="211"/>
      <c r="AH338" s="211"/>
      <c r="AI338" s="211"/>
      <c r="AJ338" s="211"/>
      <c r="AK338" s="211"/>
      <c r="AL338" s="211"/>
      <c r="AM338" s="211"/>
      <c r="AN338" s="211"/>
      <c r="AO338" s="69"/>
      <c r="AP338" s="69"/>
      <c r="AQ338" s="69"/>
      <c r="AR338" s="69"/>
      <c r="AS338" s="69"/>
      <c r="AT338" s="69"/>
      <c r="AU338" s="69"/>
      <c r="AV338" s="69"/>
      <c r="AW338" s="66"/>
      <c r="AX338" s="66"/>
      <c r="AY338" s="66"/>
      <c r="AZ338" s="66"/>
      <c r="BA338" s="66"/>
      <c r="BB338" s="66"/>
      <c r="BC338" s="66"/>
      <c r="BD338" s="66"/>
      <c r="BE338" s="72"/>
      <c r="BF338" s="72"/>
      <c r="BG338" s="72"/>
      <c r="BH338" s="72"/>
      <c r="BI338" s="72"/>
      <c r="BJ338" s="72"/>
      <c r="BK338" s="72"/>
      <c r="BL338" s="72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</row>
    <row r="339" spans="1:85" ht="18" customHeight="1" x14ac:dyDescent="0.2">
      <c r="A339" s="66"/>
      <c r="B339" s="66"/>
      <c r="C339" s="66"/>
      <c r="D339" s="66"/>
      <c r="E339" s="66"/>
      <c r="F339" s="66"/>
      <c r="G339" s="83" t="s">
        <v>48</v>
      </c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67"/>
      <c r="AA339" s="67"/>
      <c r="AB339" s="67"/>
      <c r="AC339" s="67"/>
      <c r="AD339" s="6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69"/>
      <c r="AP339" s="69"/>
      <c r="AQ339" s="69"/>
      <c r="AR339" s="69"/>
      <c r="AS339" s="69"/>
      <c r="AT339" s="69"/>
      <c r="AU339" s="69"/>
      <c r="AV339" s="69"/>
      <c r="AW339" s="66"/>
      <c r="AX339" s="66"/>
      <c r="AY339" s="66"/>
      <c r="AZ339" s="66"/>
      <c r="BA339" s="66"/>
      <c r="BB339" s="66"/>
      <c r="BC339" s="66"/>
      <c r="BD339" s="66"/>
      <c r="BE339" s="72"/>
      <c r="BF339" s="72"/>
      <c r="BG339" s="72"/>
      <c r="BH339" s="72"/>
      <c r="BI339" s="72"/>
      <c r="BJ339" s="72"/>
      <c r="BK339" s="72"/>
      <c r="BL339" s="72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</row>
    <row r="340" spans="1:85" ht="21" customHeight="1" x14ac:dyDescent="0.2">
      <c r="A340" s="66"/>
      <c r="B340" s="66"/>
      <c r="C340" s="66"/>
      <c r="D340" s="66"/>
      <c r="E340" s="66"/>
      <c r="F340" s="66"/>
      <c r="G340" s="78" t="s">
        <v>107</v>
      </c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7" t="s">
        <v>49</v>
      </c>
      <c r="AA340" s="77"/>
      <c r="AB340" s="77"/>
      <c r="AC340" s="77"/>
      <c r="AD340" s="77"/>
      <c r="AE340" s="77" t="s">
        <v>61</v>
      </c>
      <c r="AF340" s="77"/>
      <c r="AG340" s="77"/>
      <c r="AH340" s="77"/>
      <c r="AI340" s="77"/>
      <c r="AJ340" s="77"/>
      <c r="AK340" s="77"/>
      <c r="AL340" s="77"/>
      <c r="AM340" s="77"/>
      <c r="AN340" s="77"/>
      <c r="AO340" s="69">
        <v>5973255</v>
      </c>
      <c r="AP340" s="69"/>
      <c r="AQ340" s="69"/>
      <c r="AR340" s="69"/>
      <c r="AS340" s="69"/>
      <c r="AT340" s="69"/>
      <c r="AU340" s="69"/>
      <c r="AV340" s="69"/>
      <c r="AW340" s="66"/>
      <c r="AX340" s="66"/>
      <c r="AY340" s="66"/>
      <c r="AZ340" s="66"/>
      <c r="BA340" s="66"/>
      <c r="BB340" s="66"/>
      <c r="BC340" s="66"/>
      <c r="BD340" s="66"/>
      <c r="BE340" s="72">
        <f t="shared" ref="BE340:BE350" si="12">AO340+AW340</f>
        <v>5973255</v>
      </c>
      <c r="BF340" s="72"/>
      <c r="BG340" s="72"/>
      <c r="BH340" s="72"/>
      <c r="BI340" s="72"/>
      <c r="BJ340" s="72"/>
      <c r="BK340" s="72"/>
      <c r="BL340" s="72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</row>
    <row r="341" spans="1:85" ht="21" customHeight="1" x14ac:dyDescent="0.2">
      <c r="A341" s="66"/>
      <c r="B341" s="66"/>
      <c r="C341" s="66"/>
      <c r="D341" s="66"/>
      <c r="E341" s="66"/>
      <c r="F341" s="66"/>
      <c r="G341" s="83" t="s">
        <v>51</v>
      </c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67"/>
      <c r="AA341" s="67"/>
      <c r="AB341" s="67"/>
      <c r="AC341" s="67"/>
      <c r="AD341" s="6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69"/>
      <c r="AP341" s="69"/>
      <c r="AQ341" s="69"/>
      <c r="AR341" s="69"/>
      <c r="AS341" s="69"/>
      <c r="AT341" s="69"/>
      <c r="AU341" s="69"/>
      <c r="AV341" s="69"/>
      <c r="AW341" s="66"/>
      <c r="AX341" s="66"/>
      <c r="AY341" s="66"/>
      <c r="AZ341" s="66"/>
      <c r="BA341" s="66"/>
      <c r="BB341" s="66"/>
      <c r="BC341" s="66"/>
      <c r="BD341" s="66"/>
      <c r="BE341" s="72"/>
      <c r="BF341" s="72"/>
      <c r="BG341" s="72"/>
      <c r="BH341" s="72"/>
      <c r="BI341" s="72"/>
      <c r="BJ341" s="72"/>
      <c r="BK341" s="72"/>
      <c r="BL341" s="72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</row>
    <row r="342" spans="1:85" ht="21" customHeight="1" x14ac:dyDescent="0.2">
      <c r="A342" s="66"/>
      <c r="B342" s="66"/>
      <c r="C342" s="66"/>
      <c r="D342" s="66"/>
      <c r="E342" s="66"/>
      <c r="F342" s="66"/>
      <c r="G342" s="68" t="s">
        <v>215</v>
      </c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5" t="s">
        <v>50</v>
      </c>
      <c r="AA342" s="65"/>
      <c r="AB342" s="65"/>
      <c r="AC342" s="65"/>
      <c r="AD342" s="65"/>
      <c r="AE342" s="77" t="s">
        <v>236</v>
      </c>
      <c r="AF342" s="77"/>
      <c r="AG342" s="77"/>
      <c r="AH342" s="77"/>
      <c r="AI342" s="77"/>
      <c r="AJ342" s="77"/>
      <c r="AK342" s="77"/>
      <c r="AL342" s="77"/>
      <c r="AM342" s="77"/>
      <c r="AN342" s="77"/>
      <c r="AO342" s="70">
        <v>24</v>
      </c>
      <c r="AP342" s="70"/>
      <c r="AQ342" s="70"/>
      <c r="AR342" s="70"/>
      <c r="AS342" s="70"/>
      <c r="AT342" s="70"/>
      <c r="AU342" s="70"/>
      <c r="AV342" s="70"/>
      <c r="AW342" s="96"/>
      <c r="AX342" s="96"/>
      <c r="AY342" s="96"/>
      <c r="AZ342" s="96"/>
      <c r="BA342" s="96"/>
      <c r="BB342" s="96"/>
      <c r="BC342" s="96"/>
      <c r="BD342" s="96"/>
      <c r="BE342" s="94">
        <f t="shared" si="12"/>
        <v>24</v>
      </c>
      <c r="BF342" s="94"/>
      <c r="BG342" s="94"/>
      <c r="BH342" s="94"/>
      <c r="BI342" s="94"/>
      <c r="BJ342" s="94"/>
      <c r="BK342" s="94"/>
      <c r="BL342" s="94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</row>
    <row r="343" spans="1:85" ht="49.5" customHeight="1" x14ac:dyDescent="0.2">
      <c r="A343" s="66"/>
      <c r="B343" s="66"/>
      <c r="C343" s="66"/>
      <c r="D343" s="66"/>
      <c r="E343" s="66"/>
      <c r="F343" s="66"/>
      <c r="G343" s="68" t="s">
        <v>216</v>
      </c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5" t="s">
        <v>50</v>
      </c>
      <c r="AA343" s="65"/>
      <c r="AB343" s="65"/>
      <c r="AC343" s="65"/>
      <c r="AD343" s="65"/>
      <c r="AE343" s="65" t="s">
        <v>62</v>
      </c>
      <c r="AF343" s="65"/>
      <c r="AG343" s="65"/>
      <c r="AH343" s="65"/>
      <c r="AI343" s="65"/>
      <c r="AJ343" s="65"/>
      <c r="AK343" s="65"/>
      <c r="AL343" s="65"/>
      <c r="AM343" s="65"/>
      <c r="AN343" s="65"/>
      <c r="AO343" s="70">
        <v>1000</v>
      </c>
      <c r="AP343" s="70"/>
      <c r="AQ343" s="70"/>
      <c r="AR343" s="70"/>
      <c r="AS343" s="70"/>
      <c r="AT343" s="70"/>
      <c r="AU343" s="70"/>
      <c r="AV343" s="70"/>
      <c r="AW343" s="96"/>
      <c r="AX343" s="96"/>
      <c r="AY343" s="96"/>
      <c r="AZ343" s="96"/>
      <c r="BA343" s="96"/>
      <c r="BB343" s="96"/>
      <c r="BC343" s="96"/>
      <c r="BD343" s="96"/>
      <c r="BE343" s="94">
        <f t="shared" si="12"/>
        <v>1000</v>
      </c>
      <c r="BF343" s="94"/>
      <c r="BG343" s="94"/>
      <c r="BH343" s="94"/>
      <c r="BI343" s="94"/>
      <c r="BJ343" s="94"/>
      <c r="BK343" s="94"/>
      <c r="BL343" s="94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</row>
    <row r="344" spans="1:85" ht="18" customHeight="1" x14ac:dyDescent="0.2">
      <c r="A344" s="66"/>
      <c r="B344" s="66"/>
      <c r="C344" s="66"/>
      <c r="D344" s="66"/>
      <c r="E344" s="66"/>
      <c r="F344" s="66"/>
      <c r="G344" s="83" t="s">
        <v>52</v>
      </c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67"/>
      <c r="AA344" s="67"/>
      <c r="AB344" s="67"/>
      <c r="AC344" s="67"/>
      <c r="AD344" s="6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69"/>
      <c r="AP344" s="69"/>
      <c r="AQ344" s="69"/>
      <c r="AR344" s="69"/>
      <c r="AS344" s="69"/>
      <c r="AT344" s="69"/>
      <c r="AU344" s="69"/>
      <c r="AV344" s="69"/>
      <c r="AW344" s="66"/>
      <c r="AX344" s="66"/>
      <c r="AY344" s="66"/>
      <c r="AZ344" s="66"/>
      <c r="BA344" s="66"/>
      <c r="BB344" s="66"/>
      <c r="BC344" s="66"/>
      <c r="BD344" s="66"/>
      <c r="BE344" s="72"/>
      <c r="BF344" s="72"/>
      <c r="BG344" s="72"/>
      <c r="BH344" s="72"/>
      <c r="BI344" s="72"/>
      <c r="BJ344" s="72"/>
      <c r="BK344" s="72"/>
      <c r="BL344" s="72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</row>
    <row r="345" spans="1:85" ht="52.5" customHeight="1" x14ac:dyDescent="0.2">
      <c r="A345" s="66"/>
      <c r="B345" s="66"/>
      <c r="C345" s="66"/>
      <c r="D345" s="66"/>
      <c r="E345" s="66"/>
      <c r="F345" s="66"/>
      <c r="G345" s="78" t="s">
        <v>217</v>
      </c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65" t="s">
        <v>50</v>
      </c>
      <c r="AA345" s="65"/>
      <c r="AB345" s="65"/>
      <c r="AC345" s="65"/>
      <c r="AD345" s="65"/>
      <c r="AE345" s="65" t="s">
        <v>62</v>
      </c>
      <c r="AF345" s="65"/>
      <c r="AG345" s="65"/>
      <c r="AH345" s="65"/>
      <c r="AI345" s="65"/>
      <c r="AJ345" s="65"/>
      <c r="AK345" s="65"/>
      <c r="AL345" s="65"/>
      <c r="AM345" s="65"/>
      <c r="AN345" s="65"/>
      <c r="AO345" s="70">
        <f>AO343/18</f>
        <v>55.555555555555557</v>
      </c>
      <c r="AP345" s="70"/>
      <c r="AQ345" s="70"/>
      <c r="AR345" s="70"/>
      <c r="AS345" s="70"/>
      <c r="AT345" s="70"/>
      <c r="AU345" s="70"/>
      <c r="AV345" s="70"/>
      <c r="AW345" s="96"/>
      <c r="AX345" s="96"/>
      <c r="AY345" s="96"/>
      <c r="AZ345" s="96"/>
      <c r="BA345" s="96"/>
      <c r="BB345" s="96"/>
      <c r="BC345" s="96"/>
      <c r="BD345" s="96"/>
      <c r="BE345" s="94">
        <f t="shared" si="12"/>
        <v>55.555555555555557</v>
      </c>
      <c r="BF345" s="94"/>
      <c r="BG345" s="94"/>
      <c r="BH345" s="94"/>
      <c r="BI345" s="94"/>
      <c r="BJ345" s="94"/>
      <c r="BK345" s="94"/>
      <c r="BL345" s="94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</row>
    <row r="346" spans="1:85" ht="21" customHeight="1" x14ac:dyDescent="0.2">
      <c r="A346" s="66"/>
      <c r="B346" s="66"/>
      <c r="C346" s="66"/>
      <c r="D346" s="66"/>
      <c r="E346" s="66"/>
      <c r="F346" s="66"/>
      <c r="G346" s="68" t="s">
        <v>218</v>
      </c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77" t="s">
        <v>49</v>
      </c>
      <c r="AA346" s="77"/>
      <c r="AB346" s="77"/>
      <c r="AC346" s="77"/>
      <c r="AD346" s="77"/>
      <c r="AE346" s="65" t="s">
        <v>62</v>
      </c>
      <c r="AF346" s="65"/>
      <c r="AG346" s="65"/>
      <c r="AH346" s="65"/>
      <c r="AI346" s="65"/>
      <c r="AJ346" s="65"/>
      <c r="AK346" s="65"/>
      <c r="AL346" s="65"/>
      <c r="AM346" s="65"/>
      <c r="AN346" s="65"/>
      <c r="AO346" s="69">
        <f>4552348/AO342</f>
        <v>189681.16666666666</v>
      </c>
      <c r="AP346" s="69"/>
      <c r="AQ346" s="69"/>
      <c r="AR346" s="69"/>
      <c r="AS346" s="69"/>
      <c r="AT346" s="69"/>
      <c r="AU346" s="69"/>
      <c r="AV346" s="69"/>
      <c r="AW346" s="66"/>
      <c r="AX346" s="66"/>
      <c r="AY346" s="66"/>
      <c r="AZ346" s="66"/>
      <c r="BA346" s="66"/>
      <c r="BB346" s="66"/>
      <c r="BC346" s="66"/>
      <c r="BD346" s="66"/>
      <c r="BE346" s="72">
        <f t="shared" si="12"/>
        <v>189681.16666666666</v>
      </c>
      <c r="BF346" s="72"/>
      <c r="BG346" s="72"/>
      <c r="BH346" s="72"/>
      <c r="BI346" s="72"/>
      <c r="BJ346" s="72"/>
      <c r="BK346" s="72"/>
      <c r="BL346" s="72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</row>
    <row r="347" spans="1:85" ht="39.75" customHeight="1" x14ac:dyDescent="0.2">
      <c r="A347" s="66"/>
      <c r="B347" s="66"/>
      <c r="C347" s="66"/>
      <c r="D347" s="66"/>
      <c r="E347" s="66"/>
      <c r="F347" s="66"/>
      <c r="G347" s="68" t="s">
        <v>219</v>
      </c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77" t="s">
        <v>49</v>
      </c>
      <c r="AA347" s="77"/>
      <c r="AB347" s="77"/>
      <c r="AC347" s="77"/>
      <c r="AD347" s="77"/>
      <c r="AE347" s="65" t="s">
        <v>62</v>
      </c>
      <c r="AF347" s="65"/>
      <c r="AG347" s="65"/>
      <c r="AH347" s="65"/>
      <c r="AI347" s="65"/>
      <c r="AJ347" s="65"/>
      <c r="AK347" s="65"/>
      <c r="AL347" s="65"/>
      <c r="AM347" s="65"/>
      <c r="AN347" s="65"/>
      <c r="AO347" s="69">
        <f>65334/AO342</f>
        <v>2722.25</v>
      </c>
      <c r="AP347" s="69"/>
      <c r="AQ347" s="69"/>
      <c r="AR347" s="69"/>
      <c r="AS347" s="69"/>
      <c r="AT347" s="69"/>
      <c r="AU347" s="69"/>
      <c r="AV347" s="69"/>
      <c r="AW347" s="66"/>
      <c r="AX347" s="66"/>
      <c r="AY347" s="66"/>
      <c r="AZ347" s="66"/>
      <c r="BA347" s="66"/>
      <c r="BB347" s="66"/>
      <c r="BC347" s="66"/>
      <c r="BD347" s="66"/>
      <c r="BE347" s="72">
        <f t="shared" si="12"/>
        <v>2722.25</v>
      </c>
      <c r="BF347" s="72"/>
      <c r="BG347" s="72"/>
      <c r="BH347" s="72"/>
      <c r="BI347" s="72"/>
      <c r="BJ347" s="72"/>
      <c r="BK347" s="72"/>
      <c r="BL347" s="72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</row>
    <row r="348" spans="1:85" ht="40.5" customHeight="1" x14ac:dyDescent="0.2">
      <c r="A348" s="66"/>
      <c r="B348" s="66"/>
      <c r="C348" s="66"/>
      <c r="D348" s="66"/>
      <c r="E348" s="66"/>
      <c r="F348" s="66"/>
      <c r="G348" s="68" t="s">
        <v>220</v>
      </c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77" t="s">
        <v>49</v>
      </c>
      <c r="AA348" s="77"/>
      <c r="AB348" s="77"/>
      <c r="AC348" s="77"/>
      <c r="AD348" s="77"/>
      <c r="AE348" s="65" t="s">
        <v>62</v>
      </c>
      <c r="AF348" s="65"/>
      <c r="AG348" s="65"/>
      <c r="AH348" s="65"/>
      <c r="AI348" s="65"/>
      <c r="AJ348" s="65"/>
      <c r="AK348" s="65"/>
      <c r="AL348" s="65"/>
      <c r="AM348" s="65"/>
      <c r="AN348" s="65"/>
      <c r="AO348" s="69">
        <f>180495/AO342</f>
        <v>7520.625</v>
      </c>
      <c r="AP348" s="69"/>
      <c r="AQ348" s="69"/>
      <c r="AR348" s="69"/>
      <c r="AS348" s="69"/>
      <c r="AT348" s="69"/>
      <c r="AU348" s="69"/>
      <c r="AV348" s="69"/>
      <c r="AW348" s="66"/>
      <c r="AX348" s="66"/>
      <c r="AY348" s="66"/>
      <c r="AZ348" s="66"/>
      <c r="BA348" s="66"/>
      <c r="BB348" s="66"/>
      <c r="BC348" s="66"/>
      <c r="BD348" s="66"/>
      <c r="BE348" s="72">
        <f t="shared" si="12"/>
        <v>7520.625</v>
      </c>
      <c r="BF348" s="72"/>
      <c r="BG348" s="72"/>
      <c r="BH348" s="72"/>
      <c r="BI348" s="72"/>
      <c r="BJ348" s="72"/>
      <c r="BK348" s="72"/>
      <c r="BL348" s="72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</row>
    <row r="349" spans="1:85" ht="18" customHeight="1" x14ac:dyDescent="0.2">
      <c r="A349" s="66"/>
      <c r="B349" s="66"/>
      <c r="C349" s="66"/>
      <c r="D349" s="66"/>
      <c r="E349" s="66"/>
      <c r="F349" s="66"/>
      <c r="G349" s="99" t="s">
        <v>53</v>
      </c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67"/>
      <c r="AA349" s="67"/>
      <c r="AB349" s="67"/>
      <c r="AC349" s="67"/>
      <c r="AD349" s="6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69"/>
      <c r="AP349" s="69"/>
      <c r="AQ349" s="69"/>
      <c r="AR349" s="69"/>
      <c r="AS349" s="69"/>
      <c r="AT349" s="69"/>
      <c r="AU349" s="69"/>
      <c r="AV349" s="69"/>
      <c r="AW349" s="66"/>
      <c r="AX349" s="66"/>
      <c r="AY349" s="66"/>
      <c r="AZ349" s="66"/>
      <c r="BA349" s="66"/>
      <c r="BB349" s="66"/>
      <c r="BC349" s="66"/>
      <c r="BD349" s="66"/>
      <c r="BE349" s="72"/>
      <c r="BF349" s="72"/>
      <c r="BG349" s="72"/>
      <c r="BH349" s="72"/>
      <c r="BI349" s="72"/>
      <c r="BJ349" s="72"/>
      <c r="BK349" s="72"/>
      <c r="BL349" s="72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</row>
    <row r="350" spans="1:85" ht="81.75" customHeight="1" x14ac:dyDescent="0.2">
      <c r="A350" s="66"/>
      <c r="B350" s="66"/>
      <c r="C350" s="66"/>
      <c r="D350" s="66"/>
      <c r="E350" s="66"/>
      <c r="F350" s="66"/>
      <c r="G350" s="68" t="s">
        <v>221</v>
      </c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5" t="s">
        <v>54</v>
      </c>
      <c r="AA350" s="65"/>
      <c r="AB350" s="65"/>
      <c r="AC350" s="65"/>
      <c r="AD350" s="65"/>
      <c r="AE350" s="65" t="s">
        <v>62</v>
      </c>
      <c r="AF350" s="65"/>
      <c r="AG350" s="65"/>
      <c r="AH350" s="65"/>
      <c r="AI350" s="65"/>
      <c r="AJ350" s="65"/>
      <c r="AK350" s="65"/>
      <c r="AL350" s="65"/>
      <c r="AM350" s="65"/>
      <c r="AN350" s="65"/>
      <c r="AO350" s="69">
        <f>AO343/652*100</f>
        <v>153.37423312883436</v>
      </c>
      <c r="AP350" s="69"/>
      <c r="AQ350" s="69"/>
      <c r="AR350" s="69"/>
      <c r="AS350" s="69"/>
      <c r="AT350" s="69"/>
      <c r="AU350" s="69"/>
      <c r="AV350" s="69"/>
      <c r="AW350" s="66"/>
      <c r="AX350" s="66"/>
      <c r="AY350" s="66"/>
      <c r="AZ350" s="66"/>
      <c r="BA350" s="66"/>
      <c r="BB350" s="66"/>
      <c r="BC350" s="66"/>
      <c r="BD350" s="66"/>
      <c r="BE350" s="72">
        <f t="shared" si="12"/>
        <v>153.37423312883436</v>
      </c>
      <c r="BF350" s="72"/>
      <c r="BG350" s="72"/>
      <c r="BH350" s="72"/>
      <c r="BI350" s="72"/>
      <c r="BJ350" s="72"/>
      <c r="BK350" s="72"/>
      <c r="BL350" s="72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</row>
    <row r="351" spans="1:85" ht="15.75" x14ac:dyDescent="0.2">
      <c r="G351" s="47"/>
      <c r="H351" s="47"/>
      <c r="I351" s="47"/>
      <c r="J351" s="47"/>
      <c r="K351" s="47"/>
      <c r="L351" s="47"/>
      <c r="M351" s="47"/>
      <c r="N351" s="47"/>
      <c r="O351" s="47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</row>
    <row r="352" spans="1:85" ht="15.75" x14ac:dyDescent="0.2">
      <c r="G352" s="47"/>
      <c r="H352" s="47"/>
      <c r="I352" s="47"/>
      <c r="J352" s="47"/>
      <c r="K352" s="47"/>
      <c r="L352" s="47"/>
      <c r="M352" s="47"/>
      <c r="N352" s="47"/>
      <c r="O352" s="47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8"/>
      <c r="CF352" s="48"/>
      <c r="CG352" s="48"/>
    </row>
    <row r="353" spans="1:59" ht="15.75" x14ac:dyDescent="0.2">
      <c r="G353" s="47"/>
      <c r="H353" s="47"/>
      <c r="I353" s="47"/>
      <c r="J353" s="47"/>
      <c r="K353" s="47"/>
      <c r="L353" s="47"/>
      <c r="M353" s="47"/>
      <c r="N353" s="47"/>
      <c r="O353" s="47"/>
    </row>
    <row r="354" spans="1:59" ht="25.5" customHeight="1" x14ac:dyDescent="0.25">
      <c r="A354" s="167" t="s">
        <v>237</v>
      </c>
      <c r="B354" s="167"/>
      <c r="C354" s="16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56"/>
      <c r="X354" s="156"/>
      <c r="Y354" s="156"/>
      <c r="Z354" s="156"/>
      <c r="AA354" s="156"/>
      <c r="AB354" s="156"/>
      <c r="AC354" s="156"/>
      <c r="AD354" s="156"/>
      <c r="AE354" s="156"/>
      <c r="AF354" s="156"/>
      <c r="AG354" s="156"/>
      <c r="AH354" s="156"/>
      <c r="AI354" s="156"/>
      <c r="AJ354" s="156"/>
      <c r="AK354" s="156"/>
      <c r="AL354" s="156"/>
      <c r="AM354" s="156"/>
      <c r="AN354" s="59"/>
      <c r="AO354" s="156" t="s">
        <v>266</v>
      </c>
      <c r="AP354" s="156"/>
      <c r="AQ354" s="156"/>
      <c r="AR354" s="156"/>
      <c r="AS354" s="156"/>
      <c r="AT354" s="156"/>
      <c r="AU354" s="156"/>
      <c r="AV354" s="156"/>
      <c r="AW354" s="156"/>
      <c r="AX354" s="156"/>
      <c r="AY354" s="156"/>
      <c r="AZ354" s="156"/>
      <c r="BA354" s="156"/>
      <c r="BB354" s="156"/>
      <c r="BC354" s="156"/>
      <c r="BD354" s="156"/>
      <c r="BE354" s="156"/>
      <c r="BF354" s="156"/>
      <c r="BG354" s="156"/>
    </row>
    <row r="355" spans="1:59" x14ac:dyDescent="0.2">
      <c r="W355" s="155" t="s">
        <v>5</v>
      </c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O355" s="155" t="s">
        <v>35</v>
      </c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5"/>
      <c r="AZ355" s="155"/>
      <c r="BA355" s="155"/>
      <c r="BB355" s="155"/>
      <c r="BC355" s="155"/>
      <c r="BD355" s="155"/>
      <c r="BE355" s="155"/>
      <c r="BF355" s="155"/>
      <c r="BG355" s="155"/>
    </row>
    <row r="356" spans="1:59" ht="15.75" customHeight="1" x14ac:dyDescent="0.2">
      <c r="A356" s="166" t="s">
        <v>3</v>
      </c>
      <c r="B356" s="166"/>
      <c r="C356" s="166"/>
      <c r="D356" s="166"/>
      <c r="E356" s="166"/>
      <c r="F356" s="166"/>
    </row>
    <row r="357" spans="1:59" ht="17.25" customHeight="1" x14ac:dyDescent="0.25">
      <c r="A357" s="165" t="s">
        <v>56</v>
      </c>
      <c r="B357" s="165"/>
      <c r="C357" s="165"/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</row>
    <row r="358" spans="1:59" ht="15.75" customHeight="1" x14ac:dyDescent="0.2">
      <c r="A358" s="37" t="s">
        <v>31</v>
      </c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</row>
    <row r="359" spans="1:59" ht="10.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</row>
    <row r="360" spans="1:59" ht="15.75" customHeight="1" x14ac:dyDescent="0.25">
      <c r="A360" s="164" t="s">
        <v>57</v>
      </c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4"/>
      <c r="AO360" s="156" t="s">
        <v>66</v>
      </c>
      <c r="AP360" s="156"/>
      <c r="AQ360" s="156"/>
      <c r="AR360" s="156"/>
      <c r="AS360" s="156"/>
      <c r="AT360" s="156"/>
      <c r="AU360" s="156"/>
      <c r="AV360" s="156"/>
      <c r="AW360" s="156"/>
      <c r="AX360" s="156"/>
      <c r="AY360" s="156"/>
      <c r="AZ360" s="156"/>
      <c r="BA360" s="156"/>
      <c r="BB360" s="156"/>
      <c r="BC360" s="156"/>
      <c r="BD360" s="156"/>
      <c r="BE360" s="156"/>
      <c r="BF360" s="156"/>
      <c r="BG360" s="156"/>
    </row>
    <row r="361" spans="1:59" x14ac:dyDescent="0.2">
      <c r="W361" s="155" t="s">
        <v>5</v>
      </c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O361" s="155" t="s">
        <v>35</v>
      </c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</row>
    <row r="362" spans="1:59" ht="16.5" customHeight="1" x14ac:dyDescent="0.2">
      <c r="A362" s="163">
        <f>AO7</f>
        <v>44404</v>
      </c>
      <c r="B362" s="163"/>
      <c r="C362" s="163"/>
      <c r="D362" s="163"/>
      <c r="E362" s="163"/>
      <c r="F362" s="163"/>
      <c r="G362" s="163"/>
      <c r="H362" s="163"/>
    </row>
    <row r="363" spans="1:59" ht="16.5" customHeight="1" x14ac:dyDescent="0.2">
      <c r="A363" s="162" t="s">
        <v>29</v>
      </c>
      <c r="B363" s="162"/>
      <c r="C363" s="162"/>
      <c r="D363" s="162"/>
      <c r="E363" s="162"/>
      <c r="F363" s="162"/>
      <c r="G363" s="162"/>
      <c r="H363" s="162"/>
      <c r="I363" s="10"/>
      <c r="J363" s="10"/>
      <c r="K363" s="10"/>
      <c r="L363" s="10"/>
      <c r="M363" s="10"/>
      <c r="N363" s="10"/>
      <c r="O363" s="10"/>
      <c r="P363" s="10"/>
      <c r="Q363" s="10"/>
    </row>
    <row r="364" spans="1:59" ht="15.75" customHeight="1" x14ac:dyDescent="0.2">
      <c r="A364" s="1" t="s">
        <v>30</v>
      </c>
    </row>
  </sheetData>
  <mergeCells count="1973">
    <mergeCell ref="A154:F154"/>
    <mergeCell ref="G154:Y154"/>
    <mergeCell ref="Z154:AD154"/>
    <mergeCell ref="AE154:AN154"/>
    <mergeCell ref="AO154:AV154"/>
    <mergeCell ref="AW154:BD154"/>
    <mergeCell ref="BE154:BL154"/>
    <mergeCell ref="A149:F149"/>
    <mergeCell ref="G149:Y149"/>
    <mergeCell ref="G242:Y242"/>
    <mergeCell ref="G243:Y243"/>
    <mergeCell ref="A241:F241"/>
    <mergeCell ref="A242:F242"/>
    <mergeCell ref="A243:F243"/>
    <mergeCell ref="Z241:AD241"/>
    <mergeCell ref="Z242:AD242"/>
    <mergeCell ref="Z243:AD243"/>
    <mergeCell ref="AE242:AN242"/>
    <mergeCell ref="AE243:AN243"/>
    <mergeCell ref="AO241:AV241"/>
    <mergeCell ref="AO242:AV242"/>
    <mergeCell ref="AO243:AV243"/>
    <mergeCell ref="AW241:BD241"/>
    <mergeCell ref="AW242:BD242"/>
    <mergeCell ref="AW243:BD243"/>
    <mergeCell ref="Z118:AD118"/>
    <mergeCell ref="AE118:AN118"/>
    <mergeCell ref="AO118:AV118"/>
    <mergeCell ref="AW118:BD118"/>
    <mergeCell ref="BE118:BL118"/>
    <mergeCell ref="A117:F117"/>
    <mergeCell ref="G117:Y117"/>
    <mergeCell ref="A139:F139"/>
    <mergeCell ref="Z139:AD139"/>
    <mergeCell ref="AE139:AN139"/>
    <mergeCell ref="AO139:AV139"/>
    <mergeCell ref="AW139:BD139"/>
    <mergeCell ref="BE139:BL139"/>
    <mergeCell ref="Z149:AD149"/>
    <mergeCell ref="AE149:AN149"/>
    <mergeCell ref="AO149:AV149"/>
    <mergeCell ref="AW149:BD149"/>
    <mergeCell ref="A144:F144"/>
    <mergeCell ref="G144:Y144"/>
    <mergeCell ref="Z144:AD144"/>
    <mergeCell ref="AE144:AN144"/>
    <mergeCell ref="AO144:AV144"/>
    <mergeCell ref="AW144:BD144"/>
    <mergeCell ref="BE149:BL149"/>
    <mergeCell ref="BE114:BL114"/>
    <mergeCell ref="A113:F113"/>
    <mergeCell ref="G113:Y113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BE117:BL117"/>
    <mergeCell ref="BE106:BL106"/>
    <mergeCell ref="BE107:BL107"/>
    <mergeCell ref="BE108:BL108"/>
    <mergeCell ref="BE109:BL109"/>
    <mergeCell ref="BE110:BL110"/>
    <mergeCell ref="BE111:BL111"/>
    <mergeCell ref="A112:F112"/>
    <mergeCell ref="AE112:AN112"/>
    <mergeCell ref="AO112:AV112"/>
    <mergeCell ref="AW112:BD112"/>
    <mergeCell ref="BE112:BL112"/>
    <mergeCell ref="G112:Y112"/>
    <mergeCell ref="Z112:AD112"/>
    <mergeCell ref="Z113:AD113"/>
    <mergeCell ref="AE113:AN113"/>
    <mergeCell ref="AO113:AV113"/>
    <mergeCell ref="AW113:BD113"/>
    <mergeCell ref="AE111:AN111"/>
    <mergeCell ref="AO111:AV111"/>
    <mergeCell ref="AW111:BD111"/>
    <mergeCell ref="BE113:BL113"/>
    <mergeCell ref="A332:F332"/>
    <mergeCell ref="G332:Y332"/>
    <mergeCell ref="Z332:AD332"/>
    <mergeCell ref="AE332:AN332"/>
    <mergeCell ref="AO332:AV332"/>
    <mergeCell ref="AW332:BD332"/>
    <mergeCell ref="BE332:BL332"/>
    <mergeCell ref="AE329:AN329"/>
    <mergeCell ref="AE330:AN330"/>
    <mergeCell ref="G108:Y108"/>
    <mergeCell ref="Z108:AD108"/>
    <mergeCell ref="A106:F106"/>
    <mergeCell ref="A107:F107"/>
    <mergeCell ref="A108:F108"/>
    <mergeCell ref="AW322:BD322"/>
    <mergeCell ref="AO240:AV240"/>
    <mergeCell ref="AO312:AV312"/>
    <mergeCell ref="AW239:BD239"/>
    <mergeCell ref="AW240:BD240"/>
    <mergeCell ref="AE106:AN106"/>
    <mergeCell ref="AE107:AN107"/>
    <mergeCell ref="AE108:AN108"/>
    <mergeCell ref="AE109:AN109"/>
    <mergeCell ref="AE110:AN110"/>
    <mergeCell ref="G111:Y111"/>
    <mergeCell ref="Z111:AD111"/>
    <mergeCell ref="Z106:AD106"/>
    <mergeCell ref="G107:Y107"/>
    <mergeCell ref="Z107:AD107"/>
    <mergeCell ref="AO106:AV106"/>
    <mergeCell ref="AO107:AV107"/>
    <mergeCell ref="AO108:AV108"/>
    <mergeCell ref="A322:F322"/>
    <mergeCell ref="G321:Y321"/>
    <mergeCell ref="Z321:AD321"/>
    <mergeCell ref="Z322:AD322"/>
    <mergeCell ref="AE321:AN321"/>
    <mergeCell ref="AE322:AN322"/>
    <mergeCell ref="BE321:BL321"/>
    <mergeCell ref="BE322:BL322"/>
    <mergeCell ref="AW320:BD320"/>
    <mergeCell ref="A320:F320"/>
    <mergeCell ref="AO320:AV320"/>
    <mergeCell ref="BE320:BL320"/>
    <mergeCell ref="G320:Y320"/>
    <mergeCell ref="AO321:AV321"/>
    <mergeCell ref="AO322:AV322"/>
    <mergeCell ref="A321:F321"/>
    <mergeCell ref="BE327:BL327"/>
    <mergeCell ref="BE167:BL167"/>
    <mergeCell ref="BE168:BL168"/>
    <mergeCell ref="AW169:BD169"/>
    <mergeCell ref="AE165:AN165"/>
    <mergeCell ref="G166:Y166"/>
    <mergeCell ref="G167:Y167"/>
    <mergeCell ref="G168:Y168"/>
    <mergeCell ref="AW321:BD321"/>
    <mergeCell ref="AW318:BD318"/>
    <mergeCell ref="AE239:AN239"/>
    <mergeCell ref="AO239:AV239"/>
    <mergeCell ref="AW238:BD238"/>
    <mergeCell ref="AE318:AN318"/>
    <mergeCell ref="BE238:BL238"/>
    <mergeCell ref="A174:F174"/>
    <mergeCell ref="AO238:AV238"/>
    <mergeCell ref="A169:F169"/>
    <mergeCell ref="Z169:AD169"/>
    <mergeCell ref="AE169:AN169"/>
    <mergeCell ref="AO169:AV169"/>
    <mergeCell ref="G169:Y169"/>
    <mergeCell ref="BE169:BL169"/>
    <mergeCell ref="Z233:AD233"/>
    <mergeCell ref="G315:Y315"/>
    <mergeCell ref="G314:Y314"/>
    <mergeCell ref="A238:F238"/>
    <mergeCell ref="G238:Y238"/>
    <mergeCell ref="Z238:AD238"/>
    <mergeCell ref="AE238:AN238"/>
    <mergeCell ref="AE305:AN305"/>
    <mergeCell ref="AE306:AN306"/>
    <mergeCell ref="AE307:AN307"/>
    <mergeCell ref="AE339:AN339"/>
    <mergeCell ref="Z325:AD325"/>
    <mergeCell ref="AE325:AN325"/>
    <mergeCell ref="AO325:AV325"/>
    <mergeCell ref="AW325:BD325"/>
    <mergeCell ref="AO329:AV329"/>
    <mergeCell ref="Z326:AD326"/>
    <mergeCell ref="Z327:AD327"/>
    <mergeCell ref="AE327:AN327"/>
    <mergeCell ref="BE348:BL348"/>
    <mergeCell ref="AO350:AV350"/>
    <mergeCell ref="AW350:BD350"/>
    <mergeCell ref="BE350:BL350"/>
    <mergeCell ref="BE349:BL349"/>
    <mergeCell ref="AO348:AV348"/>
    <mergeCell ref="AW348:BD348"/>
    <mergeCell ref="BT97:CA97"/>
    <mergeCell ref="AE350:AN350"/>
    <mergeCell ref="Z350:AD350"/>
    <mergeCell ref="Z345:AD345"/>
    <mergeCell ref="Z346:AD346"/>
    <mergeCell ref="Z347:AD347"/>
    <mergeCell ref="Z348:AD348"/>
    <mergeCell ref="AE348:AN348"/>
    <mergeCell ref="BE346:BL346"/>
    <mergeCell ref="BE347:BL347"/>
    <mergeCell ref="AE164:AN164"/>
    <mergeCell ref="AO164:AV164"/>
    <mergeCell ref="AW164:BD164"/>
    <mergeCell ref="BE164:BL164"/>
    <mergeCell ref="AW174:BD174"/>
    <mergeCell ref="BE174:BL174"/>
    <mergeCell ref="Z329:AD329"/>
    <mergeCell ref="Z342:AD342"/>
    <mergeCell ref="Z343:AD343"/>
    <mergeCell ref="Z334:AD334"/>
    <mergeCell ref="AO324:AV324"/>
    <mergeCell ref="AW324:BD324"/>
    <mergeCell ref="AO338:AV338"/>
    <mergeCell ref="AW338:BD338"/>
    <mergeCell ref="AO339:AV339"/>
    <mergeCell ref="AW339:BD339"/>
    <mergeCell ref="AO336:AV336"/>
    <mergeCell ref="A341:F341"/>
    <mergeCell ref="G341:Y341"/>
    <mergeCell ref="AW340:BD340"/>
    <mergeCell ref="BE340:BL340"/>
    <mergeCell ref="AO340:AV340"/>
    <mergeCell ref="A339:F339"/>
    <mergeCell ref="A340:F340"/>
    <mergeCell ref="G339:Y339"/>
    <mergeCell ref="G340:Y340"/>
    <mergeCell ref="AO341:AV341"/>
    <mergeCell ref="BE324:BL324"/>
    <mergeCell ref="AO326:AV326"/>
    <mergeCell ref="AW326:BD326"/>
    <mergeCell ref="BE326:BL326"/>
    <mergeCell ref="BE325:BL325"/>
    <mergeCell ref="A338:F338"/>
    <mergeCell ref="G338:AN338"/>
    <mergeCell ref="AO327:AV327"/>
    <mergeCell ref="AW327:BD327"/>
    <mergeCell ref="Z331:AD331"/>
    <mergeCell ref="Z339:AD339"/>
    <mergeCell ref="BE313:BL313"/>
    <mergeCell ref="AW316:BD316"/>
    <mergeCell ref="BE316:BL316"/>
    <mergeCell ref="AO316:AV316"/>
    <mergeCell ref="AW315:BD315"/>
    <mergeCell ref="BE315:BL315"/>
    <mergeCell ref="Z337:AD337"/>
    <mergeCell ref="A342:F342"/>
    <mergeCell ref="AE341:AN341"/>
    <mergeCell ref="A334:F334"/>
    <mergeCell ref="AE336:AN336"/>
    <mergeCell ref="AE337:AN337"/>
    <mergeCell ref="G342:Y342"/>
    <mergeCell ref="AE334:AN334"/>
    <mergeCell ref="Z340:AD340"/>
    <mergeCell ref="AE340:AN340"/>
    <mergeCell ref="A350:F350"/>
    <mergeCell ref="AO319:AV319"/>
    <mergeCell ref="AW319:BD319"/>
    <mergeCell ref="A345:F345"/>
    <mergeCell ref="A346:F346"/>
    <mergeCell ref="G345:Y345"/>
    <mergeCell ref="AE346:AN346"/>
    <mergeCell ref="Z333:AD333"/>
    <mergeCell ref="AW347:BD347"/>
    <mergeCell ref="A347:F347"/>
    <mergeCell ref="AE331:AN331"/>
    <mergeCell ref="Z330:AD330"/>
    <mergeCell ref="BE319:BL319"/>
    <mergeCell ref="Z315:AD315"/>
    <mergeCell ref="Z316:AD316"/>
    <mergeCell ref="Z317:AD317"/>
    <mergeCell ref="BE344:BL344"/>
    <mergeCell ref="AO314:AV314"/>
    <mergeCell ref="AW314:BD314"/>
    <mergeCell ref="BE314:BL314"/>
    <mergeCell ref="AO317:AV317"/>
    <mergeCell ref="AW317:BD317"/>
    <mergeCell ref="BE317:BL317"/>
    <mergeCell ref="BE342:BL342"/>
    <mergeCell ref="BE328:BL328"/>
    <mergeCell ref="AO333:AV333"/>
    <mergeCell ref="AE349:AN349"/>
    <mergeCell ref="AO349:AV349"/>
    <mergeCell ref="AW349:BD349"/>
    <mergeCell ref="AO344:AV344"/>
    <mergeCell ref="AW344:BD344"/>
    <mergeCell ref="AO346:AV346"/>
    <mergeCell ref="AO347:AV347"/>
    <mergeCell ref="AE347:AN347"/>
    <mergeCell ref="AO345:AV345"/>
    <mergeCell ref="AE345:AN345"/>
    <mergeCell ref="AW341:BD341"/>
    <mergeCell ref="AO342:AV342"/>
    <mergeCell ref="AW342:BD342"/>
    <mergeCell ref="AW333:BD333"/>
    <mergeCell ref="AW330:BD330"/>
    <mergeCell ref="BE330:BL330"/>
    <mergeCell ref="BE333:BL333"/>
    <mergeCell ref="BE331:BL331"/>
    <mergeCell ref="AO334:AV334"/>
    <mergeCell ref="AW334:BD334"/>
    <mergeCell ref="AO318:AV318"/>
    <mergeCell ref="BE318:BL318"/>
    <mergeCell ref="A331:F331"/>
    <mergeCell ref="A318:F318"/>
    <mergeCell ref="A319:F319"/>
    <mergeCell ref="A323:F323"/>
    <mergeCell ref="G319:Y319"/>
    <mergeCell ref="A324:F324"/>
    <mergeCell ref="AE342:AN342"/>
    <mergeCell ref="AE343:AN343"/>
    <mergeCell ref="G336:Y336"/>
    <mergeCell ref="AE312:AN312"/>
    <mergeCell ref="G328:Y328"/>
    <mergeCell ref="G312:Y312"/>
    <mergeCell ref="G313:Y313"/>
    <mergeCell ref="G322:Y322"/>
    <mergeCell ref="Z312:AD312"/>
    <mergeCell ref="G334:Y334"/>
    <mergeCell ref="BE312:BL312"/>
    <mergeCell ref="Z323:AD323"/>
    <mergeCell ref="AE323:AN323"/>
    <mergeCell ref="AO323:AV323"/>
    <mergeCell ref="AW323:BD323"/>
    <mergeCell ref="BE323:BL323"/>
    <mergeCell ref="AO315:AV315"/>
    <mergeCell ref="Z313:AD313"/>
    <mergeCell ref="Z320:AD320"/>
    <mergeCell ref="AE320:AN320"/>
    <mergeCell ref="BE329:BL329"/>
    <mergeCell ref="AW329:BD329"/>
    <mergeCell ref="AO328:AV328"/>
    <mergeCell ref="AW331:BD331"/>
    <mergeCell ref="AW328:BD328"/>
    <mergeCell ref="AO331:AV331"/>
    <mergeCell ref="G350:Y350"/>
    <mergeCell ref="G323:Y323"/>
    <mergeCell ref="G316:Y316"/>
    <mergeCell ref="AE326:AN326"/>
    <mergeCell ref="Z349:AD349"/>
    <mergeCell ref="Z336:AD336"/>
    <mergeCell ref="G347:Y347"/>
    <mergeCell ref="G346:Y346"/>
    <mergeCell ref="AE319:AN319"/>
    <mergeCell ref="A344:F344"/>
    <mergeCell ref="A336:F336"/>
    <mergeCell ref="G349:Y349"/>
    <mergeCell ref="G348:Y348"/>
    <mergeCell ref="G344:Y344"/>
    <mergeCell ref="A348:F348"/>
    <mergeCell ref="A349:F349"/>
    <mergeCell ref="A337:F337"/>
    <mergeCell ref="G337:Y337"/>
    <mergeCell ref="A343:F343"/>
    <mergeCell ref="A326:F326"/>
    <mergeCell ref="A328:F328"/>
    <mergeCell ref="G329:Y329"/>
    <mergeCell ref="G317:Y317"/>
    <mergeCell ref="A329:F329"/>
    <mergeCell ref="G324:Y324"/>
    <mergeCell ref="G326:Y326"/>
    <mergeCell ref="A327:F327"/>
    <mergeCell ref="A325:F325"/>
    <mergeCell ref="G325:Y325"/>
    <mergeCell ref="A330:F330"/>
    <mergeCell ref="A333:F333"/>
    <mergeCell ref="G318:Y318"/>
    <mergeCell ref="AW345:BD345"/>
    <mergeCell ref="AW346:BD346"/>
    <mergeCell ref="AE316:AN316"/>
    <mergeCell ref="AE344:AN344"/>
    <mergeCell ref="AO307:AV307"/>
    <mergeCell ref="AW307:BD307"/>
    <mergeCell ref="AE314:AN314"/>
    <mergeCell ref="AO337:AV337"/>
    <mergeCell ref="AE315:AN315"/>
    <mergeCell ref="AW312:BD312"/>
    <mergeCell ref="AW311:BD311"/>
    <mergeCell ref="AO330:AV330"/>
    <mergeCell ref="G333:Y333"/>
    <mergeCell ref="G311:AN311"/>
    <mergeCell ref="AO311:AV311"/>
    <mergeCell ref="G331:Y331"/>
    <mergeCell ref="G330:Y330"/>
    <mergeCell ref="Z319:AD319"/>
    <mergeCell ref="AE313:AN313"/>
    <mergeCell ref="Z314:AD314"/>
    <mergeCell ref="G327:Y327"/>
    <mergeCell ref="AO343:AV343"/>
    <mergeCell ref="AO313:AV313"/>
    <mergeCell ref="AW313:BD313"/>
    <mergeCell ref="Z318:AD318"/>
    <mergeCell ref="AE317:AN317"/>
    <mergeCell ref="G343:Y343"/>
    <mergeCell ref="Z324:AD324"/>
    <mergeCell ref="AE324:AN324"/>
    <mergeCell ref="AE333:AN333"/>
    <mergeCell ref="Z328:AD328"/>
    <mergeCell ref="AE328:AN328"/>
    <mergeCell ref="BE304:BL304"/>
    <mergeCell ref="AO305:AV305"/>
    <mergeCell ref="AW305:BD305"/>
    <mergeCell ref="BE305:BL305"/>
    <mergeCell ref="AO306:AV306"/>
    <mergeCell ref="AW306:BD306"/>
    <mergeCell ref="BE306:BL306"/>
    <mergeCell ref="BE307:BL307"/>
    <mergeCell ref="A311:F311"/>
    <mergeCell ref="A307:F307"/>
    <mergeCell ref="Z310:AD310"/>
    <mergeCell ref="AE310:AN310"/>
    <mergeCell ref="BE310:BL310"/>
    <mergeCell ref="AO310:AV310"/>
    <mergeCell ref="AW310:BD310"/>
    <mergeCell ref="Z307:AD307"/>
    <mergeCell ref="BE311:BL311"/>
    <mergeCell ref="AO299:AV299"/>
    <mergeCell ref="AW299:BD299"/>
    <mergeCell ref="BE299:BL299"/>
    <mergeCell ref="AO300:AV300"/>
    <mergeCell ref="AW300:BD300"/>
    <mergeCell ref="BE300:BL300"/>
    <mergeCell ref="BE295:BL295"/>
    <mergeCell ref="G301:Y301"/>
    <mergeCell ref="G302:Y302"/>
    <mergeCell ref="AO301:AV301"/>
    <mergeCell ref="AW301:BD301"/>
    <mergeCell ref="BE301:BL301"/>
    <mergeCell ref="AO302:AV302"/>
    <mergeCell ref="AW302:BD302"/>
    <mergeCell ref="BE302:BL302"/>
    <mergeCell ref="Z301:AD301"/>
    <mergeCell ref="A305:F305"/>
    <mergeCell ref="Z304:AD304"/>
    <mergeCell ref="Z305:AD305"/>
    <mergeCell ref="G303:Y303"/>
    <mergeCell ref="G304:Y304"/>
    <mergeCell ref="AE302:AN302"/>
    <mergeCell ref="AE303:AN303"/>
    <mergeCell ref="AE304:AN304"/>
    <mergeCell ref="Z302:AD302"/>
    <mergeCell ref="Z303:AD303"/>
    <mergeCell ref="A303:F303"/>
    <mergeCell ref="AO303:AV303"/>
    <mergeCell ref="AW303:BD303"/>
    <mergeCell ref="BE303:BL303"/>
    <mergeCell ref="AO304:AV304"/>
    <mergeCell ref="AW304:BD304"/>
    <mergeCell ref="AW295:BD295"/>
    <mergeCell ref="BE291:BL291"/>
    <mergeCell ref="Z293:AD293"/>
    <mergeCell ref="AE293:AN293"/>
    <mergeCell ref="AO293:AV293"/>
    <mergeCell ref="AW293:BD293"/>
    <mergeCell ref="BE293:BL293"/>
    <mergeCell ref="Z291:AD291"/>
    <mergeCell ref="AE291:AN291"/>
    <mergeCell ref="AO291:AV291"/>
    <mergeCell ref="Z295:AD295"/>
    <mergeCell ref="AE295:AN295"/>
    <mergeCell ref="AO295:AV295"/>
    <mergeCell ref="A291:F291"/>
    <mergeCell ref="A292:F292"/>
    <mergeCell ref="A293:F293"/>
    <mergeCell ref="A294:F294"/>
    <mergeCell ref="Z294:AD294"/>
    <mergeCell ref="AE294:AN294"/>
    <mergeCell ref="AO294:AV294"/>
    <mergeCell ref="AO288:AV288"/>
    <mergeCell ref="AW281:BD281"/>
    <mergeCell ref="AW283:BD283"/>
    <mergeCell ref="BE292:BL292"/>
    <mergeCell ref="AO290:AV290"/>
    <mergeCell ref="AW294:BD294"/>
    <mergeCell ref="BE294:BL294"/>
    <mergeCell ref="AW289:BD289"/>
    <mergeCell ref="BE287:BL287"/>
    <mergeCell ref="BE289:BL289"/>
    <mergeCell ref="BE288:BL288"/>
    <mergeCell ref="AO289:AV289"/>
    <mergeCell ref="Z292:AD292"/>
    <mergeCell ref="AE292:AN292"/>
    <mergeCell ref="AO292:AV292"/>
    <mergeCell ref="AW290:BD290"/>
    <mergeCell ref="AW292:BD292"/>
    <mergeCell ref="AW291:BD291"/>
    <mergeCell ref="BE282:BL282"/>
    <mergeCell ref="BE283:BL283"/>
    <mergeCell ref="Z273:AD273"/>
    <mergeCell ref="Z274:AD274"/>
    <mergeCell ref="Z275:AD275"/>
    <mergeCell ref="Z276:AD276"/>
    <mergeCell ref="Z277:AD277"/>
    <mergeCell ref="AW277:BD277"/>
    <mergeCell ref="AE274:AN274"/>
    <mergeCell ref="AE277:AN277"/>
    <mergeCell ref="AE275:AN275"/>
    <mergeCell ref="AE273:AN273"/>
    <mergeCell ref="AE276:AN276"/>
    <mergeCell ref="Z282:AD282"/>
    <mergeCell ref="AE282:AN282"/>
    <mergeCell ref="AE278:AN278"/>
    <mergeCell ref="Z278:AD278"/>
    <mergeCell ref="Z280:AD280"/>
    <mergeCell ref="AE280:AN280"/>
    <mergeCell ref="Z279:AD279"/>
    <mergeCell ref="AE279:AN279"/>
    <mergeCell ref="AE283:AN283"/>
    <mergeCell ref="Z281:AD281"/>
    <mergeCell ref="AE281:AN281"/>
    <mergeCell ref="AW282:BD282"/>
    <mergeCell ref="AO281:AV281"/>
    <mergeCell ref="AO282:AV282"/>
    <mergeCell ref="AO283:AV283"/>
    <mergeCell ref="AE257:AN257"/>
    <mergeCell ref="AE244:AN244"/>
    <mergeCell ref="Z248:AD248"/>
    <mergeCell ref="BE273:BL273"/>
    <mergeCell ref="BE274:BL274"/>
    <mergeCell ref="BE275:BL275"/>
    <mergeCell ref="BE276:BL276"/>
    <mergeCell ref="AW273:BD273"/>
    <mergeCell ref="AW274:BD274"/>
    <mergeCell ref="AW275:BD275"/>
    <mergeCell ref="AW276:BD276"/>
    <mergeCell ref="BE277:BL277"/>
    <mergeCell ref="BE278:BL278"/>
    <mergeCell ref="AW280:BD280"/>
    <mergeCell ref="BE281:BL281"/>
    <mergeCell ref="AW278:BD278"/>
    <mergeCell ref="AW279:BD279"/>
    <mergeCell ref="BE279:BL279"/>
    <mergeCell ref="BE280:BL280"/>
    <mergeCell ref="AE271:AN271"/>
    <mergeCell ref="Z263:AD263"/>
    <mergeCell ref="AE263:AN263"/>
    <mergeCell ref="Z264:AD264"/>
    <mergeCell ref="G270:BL270"/>
    <mergeCell ref="AO268:AV268"/>
    <mergeCell ref="AW268:BD268"/>
    <mergeCell ref="AE264:AN264"/>
    <mergeCell ref="AE258:AN258"/>
    <mergeCell ref="Z266:AD266"/>
    <mergeCell ref="AE266:AN266"/>
    <mergeCell ref="A267:BL267"/>
    <mergeCell ref="Z261:AD261"/>
    <mergeCell ref="AE261:AN261"/>
    <mergeCell ref="Z262:AD262"/>
    <mergeCell ref="Z259:AD259"/>
    <mergeCell ref="AO260:AV260"/>
    <mergeCell ref="BE262:BL262"/>
    <mergeCell ref="Z265:AD265"/>
    <mergeCell ref="AE262:AN262"/>
    <mergeCell ref="AE259:AN259"/>
    <mergeCell ref="AW263:BD263"/>
    <mergeCell ref="AW264:BD264"/>
    <mergeCell ref="AO261:AV261"/>
    <mergeCell ref="AO262:AV262"/>
    <mergeCell ref="AO263:AV263"/>
    <mergeCell ref="AE265:AN265"/>
    <mergeCell ref="Z268:AD268"/>
    <mergeCell ref="AE268:AN268"/>
    <mergeCell ref="Z260:AD260"/>
    <mergeCell ref="AE260:AN260"/>
    <mergeCell ref="AE247:AN247"/>
    <mergeCell ref="AE248:AN248"/>
    <mergeCell ref="AE249:AN249"/>
    <mergeCell ref="AE250:AN250"/>
    <mergeCell ref="AE236:AN236"/>
    <mergeCell ref="Z251:AD251"/>
    <mergeCell ref="Z246:AD246"/>
    <mergeCell ref="Z237:AD237"/>
    <mergeCell ref="Z249:AD249"/>
    <mergeCell ref="Z250:AD250"/>
    <mergeCell ref="AE251:AN251"/>
    <mergeCell ref="Z247:AD247"/>
    <mergeCell ref="AE246:AN246"/>
    <mergeCell ref="Z244:AD244"/>
    <mergeCell ref="Z256:AD256"/>
    <mergeCell ref="AE254:AN254"/>
    <mergeCell ref="AE255:AN255"/>
    <mergeCell ref="AE252:AN252"/>
    <mergeCell ref="AE253:AN253"/>
    <mergeCell ref="Z254:AD254"/>
    <mergeCell ref="Z252:AD252"/>
    <mergeCell ref="AE256:AN256"/>
    <mergeCell ref="G207:Y207"/>
    <mergeCell ref="Z199:AD199"/>
    <mergeCell ref="A166:F166"/>
    <mergeCell ref="A167:F167"/>
    <mergeCell ref="A168:F168"/>
    <mergeCell ref="A170:F170"/>
    <mergeCell ref="A171:F171"/>
    <mergeCell ref="Z195:AD195"/>
    <mergeCell ref="A175:F175"/>
    <mergeCell ref="G249:Y249"/>
    <mergeCell ref="G252:Y252"/>
    <mergeCell ref="G253:Y253"/>
    <mergeCell ref="BE181:BL181"/>
    <mergeCell ref="AW208:BD208"/>
    <mergeCell ref="G208:Y208"/>
    <mergeCell ref="Z200:AD200"/>
    <mergeCell ref="Z201:AD201"/>
    <mergeCell ref="AE200:AN200"/>
    <mergeCell ref="AE232:AN232"/>
    <mergeCell ref="AE227:AN227"/>
    <mergeCell ref="AE228:AN228"/>
    <mergeCell ref="AE229:AN229"/>
    <mergeCell ref="AE230:AN230"/>
    <mergeCell ref="Z234:AD234"/>
    <mergeCell ref="Z235:AD235"/>
    <mergeCell ref="Z231:AD231"/>
    <mergeCell ref="Z232:AD232"/>
    <mergeCell ref="Z236:AD236"/>
    <mergeCell ref="AE240:AN240"/>
    <mergeCell ref="AE245:AN245"/>
    <mergeCell ref="AE237:AN237"/>
    <mergeCell ref="Z245:AD245"/>
    <mergeCell ref="AW184:BD184"/>
    <mergeCell ref="AW185:BD185"/>
    <mergeCell ref="A192:F192"/>
    <mergeCell ref="AO191:AV191"/>
    <mergeCell ref="Z202:AD202"/>
    <mergeCell ref="A193:F193"/>
    <mergeCell ref="A159:F159"/>
    <mergeCell ref="A160:F160"/>
    <mergeCell ref="A161:F161"/>
    <mergeCell ref="A162:F162"/>
    <mergeCell ref="A163:F163"/>
    <mergeCell ref="A165:F165"/>
    <mergeCell ref="A164:F164"/>
    <mergeCell ref="Z203:AD203"/>
    <mergeCell ref="AE203:AN203"/>
    <mergeCell ref="AW205:BD205"/>
    <mergeCell ref="AW206:BD206"/>
    <mergeCell ref="AE195:AN195"/>
    <mergeCell ref="A177:F177"/>
    <mergeCell ref="AO198:AV198"/>
    <mergeCell ref="AO199:AV199"/>
    <mergeCell ref="AO187:AV187"/>
    <mergeCell ref="A195:F195"/>
    <mergeCell ref="AO195:AV195"/>
    <mergeCell ref="AO202:AV202"/>
    <mergeCell ref="AO196:AV196"/>
    <mergeCell ref="AO197:AV197"/>
    <mergeCell ref="AW203:BD203"/>
    <mergeCell ref="AO205:AV205"/>
    <mergeCell ref="AO206:AV206"/>
    <mergeCell ref="AO203:AV203"/>
    <mergeCell ref="AW166:BD166"/>
    <mergeCell ref="AW190:BD190"/>
    <mergeCell ref="AW191:BD191"/>
    <mergeCell ref="AW199:BD199"/>
    <mergeCell ref="AW201:BD201"/>
    <mergeCell ref="AW202:BD202"/>
    <mergeCell ref="AW204:BD204"/>
    <mergeCell ref="BE208:BL208"/>
    <mergeCell ref="AO200:AV200"/>
    <mergeCell ref="AO201:AV201"/>
    <mergeCell ref="AW192:BD192"/>
    <mergeCell ref="AW193:BD193"/>
    <mergeCell ref="AW194:BD194"/>
    <mergeCell ref="AW195:BD195"/>
    <mergeCell ref="AW196:BD196"/>
    <mergeCell ref="AW197:BD197"/>
    <mergeCell ref="AW198:BD198"/>
    <mergeCell ref="AW200:BD200"/>
    <mergeCell ref="AW207:BD207"/>
    <mergeCell ref="AO207:AV207"/>
    <mergeCell ref="A205:F205"/>
    <mergeCell ref="BE177:BL177"/>
    <mergeCell ref="BE199:BL199"/>
    <mergeCell ref="BE195:BL195"/>
    <mergeCell ref="AW187:BD187"/>
    <mergeCell ref="BE196:BL196"/>
    <mergeCell ref="BE197:BL197"/>
    <mergeCell ref="A203:F203"/>
    <mergeCell ref="A206:F206"/>
    <mergeCell ref="A207:F207"/>
    <mergeCell ref="A208:F208"/>
    <mergeCell ref="BE176:BL176"/>
    <mergeCell ref="BE200:BL200"/>
    <mergeCell ref="BE201:BL201"/>
    <mergeCell ref="BE202:BL202"/>
    <mergeCell ref="BE182:BL182"/>
    <mergeCell ref="BE179:BL179"/>
    <mergeCell ref="BE180:BL180"/>
    <mergeCell ref="BE198:BL198"/>
    <mergeCell ref="BE192:BL192"/>
    <mergeCell ref="BE193:BL193"/>
    <mergeCell ref="BE194:BL194"/>
    <mergeCell ref="AW186:BD186"/>
    <mergeCell ref="AW176:BD176"/>
    <mergeCell ref="BE204:BL204"/>
    <mergeCell ref="BE205:BL205"/>
    <mergeCell ref="AW182:BD182"/>
    <mergeCell ref="BE203:BL203"/>
    <mergeCell ref="BE206:BL206"/>
    <mergeCell ref="BE207:BL207"/>
    <mergeCell ref="AW188:BD188"/>
    <mergeCell ref="AW189:BD189"/>
    <mergeCell ref="BE189:BL189"/>
    <mergeCell ref="BE190:BL190"/>
    <mergeCell ref="BE170:BL170"/>
    <mergeCell ref="BE171:BL171"/>
    <mergeCell ref="BE172:BL172"/>
    <mergeCell ref="BE173:BL173"/>
    <mergeCell ref="AW159:BD159"/>
    <mergeCell ref="BE159:BL159"/>
    <mergeCell ref="BE160:BL160"/>
    <mergeCell ref="AO194:AV194"/>
    <mergeCell ref="BE191:BL191"/>
    <mergeCell ref="AO192:AV192"/>
    <mergeCell ref="AO193:AV193"/>
    <mergeCell ref="AW160:BD160"/>
    <mergeCell ref="AW161:BD161"/>
    <mergeCell ref="BE163:BL163"/>
    <mergeCell ref="A196:F196"/>
    <mergeCell ref="BE183:BL183"/>
    <mergeCell ref="BE184:BL184"/>
    <mergeCell ref="BE185:BL185"/>
    <mergeCell ref="BE186:BL186"/>
    <mergeCell ref="BE187:BL187"/>
    <mergeCell ref="A194:F194"/>
    <mergeCell ref="G195:Y195"/>
    <mergeCell ref="BE188:BL188"/>
    <mergeCell ref="AO190:AV190"/>
    <mergeCell ref="A188:F188"/>
    <mergeCell ref="BE175:BL175"/>
    <mergeCell ref="AW162:BD162"/>
    <mergeCell ref="AW163:BD163"/>
    <mergeCell ref="AW165:BD165"/>
    <mergeCell ref="AW175:BD175"/>
    <mergeCell ref="A157:F157"/>
    <mergeCell ref="Z157:AD157"/>
    <mergeCell ref="AE157:AN157"/>
    <mergeCell ref="Z159:AD159"/>
    <mergeCell ref="AE159:AN159"/>
    <mergeCell ref="A156:F156"/>
    <mergeCell ref="G156:Y156"/>
    <mergeCell ref="Z156:AD156"/>
    <mergeCell ref="AE156:AN156"/>
    <mergeCell ref="A158:F158"/>
    <mergeCell ref="AO158:AV158"/>
    <mergeCell ref="AO159:AV159"/>
    <mergeCell ref="BE166:BL166"/>
    <mergeCell ref="AO186:AV186"/>
    <mergeCell ref="AO184:AV184"/>
    <mergeCell ref="AO160:AV160"/>
    <mergeCell ref="AO183:AV183"/>
    <mergeCell ref="AO161:AV161"/>
    <mergeCell ref="BE161:BL161"/>
    <mergeCell ref="BE162:BL162"/>
    <mergeCell ref="BE165:BL165"/>
    <mergeCell ref="AW167:BD167"/>
    <mergeCell ref="AW168:BD168"/>
    <mergeCell ref="AW170:BD170"/>
    <mergeCell ref="AW171:BD171"/>
    <mergeCell ref="AW172:BD172"/>
    <mergeCell ref="AW173:BD173"/>
    <mergeCell ref="AW177:BD177"/>
    <mergeCell ref="AW183:BD183"/>
    <mergeCell ref="AW180:BD180"/>
    <mergeCell ref="AW179:BD179"/>
    <mergeCell ref="AW181:BD181"/>
    <mergeCell ref="AO162:AV162"/>
    <mergeCell ref="AO163:AV163"/>
    <mergeCell ref="AO165:AV165"/>
    <mergeCell ref="AO166:AV166"/>
    <mergeCell ref="AO167:AV167"/>
    <mergeCell ref="AO168:AV168"/>
    <mergeCell ref="A191:F191"/>
    <mergeCell ref="AO189:AV189"/>
    <mergeCell ref="AO170:AV170"/>
    <mergeCell ref="AO171:AV171"/>
    <mergeCell ref="AO172:AV172"/>
    <mergeCell ref="AO175:AV175"/>
    <mergeCell ref="AO176:AV176"/>
    <mergeCell ref="A187:F187"/>
    <mergeCell ref="AO185:AV185"/>
    <mergeCell ref="AO173:AV173"/>
    <mergeCell ref="A189:F189"/>
    <mergeCell ref="A190:F190"/>
    <mergeCell ref="Z187:AD187"/>
    <mergeCell ref="AE183:AN183"/>
    <mergeCell ref="AE184:AN184"/>
    <mergeCell ref="A183:F183"/>
    <mergeCell ref="A184:F184"/>
    <mergeCell ref="A185:F185"/>
    <mergeCell ref="A186:F186"/>
    <mergeCell ref="AE186:AN186"/>
    <mergeCell ref="G200:Y200"/>
    <mergeCell ref="G196:Y196"/>
    <mergeCell ref="G197:Y197"/>
    <mergeCell ref="Z196:AD196"/>
    <mergeCell ref="Z166:AD166"/>
    <mergeCell ref="G205:Y205"/>
    <mergeCell ref="G206:Y206"/>
    <mergeCell ref="Z197:AD197"/>
    <mergeCell ref="Z198:AD198"/>
    <mergeCell ref="G201:Y201"/>
    <mergeCell ref="G202:Y202"/>
    <mergeCell ref="G203:Y203"/>
    <mergeCell ref="G204:Y204"/>
    <mergeCell ref="G198:Y198"/>
    <mergeCell ref="G199:Y199"/>
    <mergeCell ref="A182:F182"/>
    <mergeCell ref="Z170:AD170"/>
    <mergeCell ref="Z175:AD175"/>
    <mergeCell ref="A172:F172"/>
    <mergeCell ref="A173:F173"/>
    <mergeCell ref="Z172:AD172"/>
    <mergeCell ref="Z173:AD173"/>
    <mergeCell ref="Z171:AD171"/>
    <mergeCell ref="Z176:AD176"/>
    <mergeCell ref="A176:F176"/>
    <mergeCell ref="A204:F204"/>
    <mergeCell ref="A197:F197"/>
    <mergeCell ref="A198:F198"/>
    <mergeCell ref="A199:F199"/>
    <mergeCell ref="A200:F200"/>
    <mergeCell ref="A201:F201"/>
    <mergeCell ref="A202:F202"/>
    <mergeCell ref="Z177:AD177"/>
    <mergeCell ref="AE172:AN172"/>
    <mergeCell ref="AE173:AN173"/>
    <mergeCell ref="AE176:AN176"/>
    <mergeCell ref="G194:Y194"/>
    <mergeCell ref="Z184:AD184"/>
    <mergeCell ref="Z185:AD185"/>
    <mergeCell ref="Z186:AD186"/>
    <mergeCell ref="AB78:AI78"/>
    <mergeCell ref="AE167:AN167"/>
    <mergeCell ref="AE168:AN168"/>
    <mergeCell ref="Z160:AD160"/>
    <mergeCell ref="AE160:AN160"/>
    <mergeCell ref="Z164:AD164"/>
    <mergeCell ref="G193:Y193"/>
    <mergeCell ref="Z183:AD183"/>
    <mergeCell ref="G189:Y189"/>
    <mergeCell ref="G190:Y190"/>
    <mergeCell ref="G187:Y187"/>
    <mergeCell ref="Z188:AD188"/>
    <mergeCell ref="G191:Y191"/>
    <mergeCell ref="G192:Y192"/>
    <mergeCell ref="G188:Y188"/>
    <mergeCell ref="Z190:AD190"/>
    <mergeCell ref="Z161:AD161"/>
    <mergeCell ref="Z162:AD162"/>
    <mergeCell ref="Z163:AD163"/>
    <mergeCell ref="Z168:AD168"/>
    <mergeCell ref="Z165:AD165"/>
    <mergeCell ref="G114:Y114"/>
    <mergeCell ref="Z114:AD114"/>
    <mergeCell ref="AE114:AN114"/>
    <mergeCell ref="G159:Y159"/>
    <mergeCell ref="G160:Y160"/>
    <mergeCell ref="G161:Y161"/>
    <mergeCell ref="G162:Y162"/>
    <mergeCell ref="G163:Y163"/>
    <mergeCell ref="G165:Y165"/>
    <mergeCell ref="G164:Y164"/>
    <mergeCell ref="AO182:AV182"/>
    <mergeCell ref="AO179:AV179"/>
    <mergeCell ref="AO180:AV180"/>
    <mergeCell ref="G181:AV181"/>
    <mergeCell ref="G171:Y171"/>
    <mergeCell ref="G172:Y172"/>
    <mergeCell ref="G173:Y173"/>
    <mergeCell ref="AO174:AV174"/>
    <mergeCell ref="AE174:AN174"/>
    <mergeCell ref="G170:Y170"/>
    <mergeCell ref="G175:Y175"/>
    <mergeCell ref="AE170:AN170"/>
    <mergeCell ref="AE171:AN171"/>
    <mergeCell ref="G176:Y176"/>
    <mergeCell ref="G177:Y177"/>
    <mergeCell ref="AE177:AN177"/>
    <mergeCell ref="AE175:AN175"/>
    <mergeCell ref="G174:Y174"/>
    <mergeCell ref="Z174:AD174"/>
    <mergeCell ref="AE161:AN161"/>
    <mergeCell ref="AE162:AN162"/>
    <mergeCell ref="AE163:AN163"/>
    <mergeCell ref="AE166:AN166"/>
    <mergeCell ref="Z167:AD167"/>
    <mergeCell ref="AO177:AV177"/>
    <mergeCell ref="BE153:BL153"/>
    <mergeCell ref="Z140:AD140"/>
    <mergeCell ref="AE140:AN140"/>
    <mergeCell ref="Z145:AD145"/>
    <mergeCell ref="AE145:AN145"/>
    <mergeCell ref="Z150:AD150"/>
    <mergeCell ref="AO151:AV151"/>
    <mergeCell ref="AE142:AN142"/>
    <mergeCell ref="AO148:AV148"/>
    <mergeCell ref="BE150:BL150"/>
    <mergeCell ref="AW156:BD156"/>
    <mergeCell ref="BE156:BL156"/>
    <mergeCell ref="BE157:BL157"/>
    <mergeCell ref="G158:AN158"/>
    <mergeCell ref="AO156:AV156"/>
    <mergeCell ref="AO157:AV157"/>
    <mergeCell ref="AW157:BD157"/>
    <mergeCell ref="AW158:BD158"/>
    <mergeCell ref="BE158:BL158"/>
    <mergeCell ref="G157:Y157"/>
    <mergeCell ref="BE137:BL137"/>
    <mergeCell ref="BE138:BL138"/>
    <mergeCell ref="BE140:BL140"/>
    <mergeCell ref="BE141:BL141"/>
    <mergeCell ref="BE144:BL144"/>
    <mergeCell ref="AW151:BD151"/>
    <mergeCell ref="AW145:BD145"/>
    <mergeCell ref="BE152:BL152"/>
    <mergeCell ref="AW148:BD148"/>
    <mergeCell ref="AW150:BD150"/>
    <mergeCell ref="BE151:BL151"/>
    <mergeCell ref="BE145:BL145"/>
    <mergeCell ref="BE146:BL146"/>
    <mergeCell ref="BE147:BL147"/>
    <mergeCell ref="BE148:BL148"/>
    <mergeCell ref="BE133:BL133"/>
    <mergeCell ref="AO134:AV134"/>
    <mergeCell ref="AW134:BD134"/>
    <mergeCell ref="BE134:BL134"/>
    <mergeCell ref="AW143:BD143"/>
    <mergeCell ref="BE143:BL143"/>
    <mergeCell ref="BE142:BL142"/>
    <mergeCell ref="AW136:BD136"/>
    <mergeCell ref="AO135:AV135"/>
    <mergeCell ref="AO136:AV136"/>
    <mergeCell ref="AO150:AV150"/>
    <mergeCell ref="A152:F152"/>
    <mergeCell ref="AO152:AV152"/>
    <mergeCell ref="A151:F151"/>
    <mergeCell ref="AE148:AN148"/>
    <mergeCell ref="Z151:AD151"/>
    <mergeCell ref="AE151:AN151"/>
    <mergeCell ref="G150:Y150"/>
    <mergeCell ref="AE152:AN152"/>
    <mergeCell ref="AE150:AN150"/>
    <mergeCell ref="AO137:AV137"/>
    <mergeCell ref="AO138:AV138"/>
    <mergeCell ref="AW141:BD141"/>
    <mergeCell ref="A153:F153"/>
    <mergeCell ref="A143:F143"/>
    <mergeCell ref="A145:F145"/>
    <mergeCell ref="A146:F146"/>
    <mergeCell ref="A147:F147"/>
    <mergeCell ref="A148:F148"/>
    <mergeCell ref="A150:F150"/>
    <mergeCell ref="AO153:AV153"/>
    <mergeCell ref="AW152:BD152"/>
    <mergeCell ref="AW153:BD153"/>
    <mergeCell ref="AW137:BD137"/>
    <mergeCell ref="AW138:BD138"/>
    <mergeCell ref="AW140:BD140"/>
    <mergeCell ref="AO140:AV140"/>
    <mergeCell ref="AO141:AV141"/>
    <mergeCell ref="AO142:AV142"/>
    <mergeCell ref="AW142:BD142"/>
    <mergeCell ref="AW146:BD146"/>
    <mergeCell ref="AW147:BD147"/>
    <mergeCell ref="A109:F109"/>
    <mergeCell ref="A110:F110"/>
    <mergeCell ref="A131:F131"/>
    <mergeCell ref="A85:F85"/>
    <mergeCell ref="A86:F86"/>
    <mergeCell ref="A87:F87"/>
    <mergeCell ref="A88:F88"/>
    <mergeCell ref="A89:F89"/>
    <mergeCell ref="A102:F102"/>
    <mergeCell ref="A100:F100"/>
    <mergeCell ref="A90:F90"/>
    <mergeCell ref="A111:F111"/>
    <mergeCell ref="A136:F136"/>
    <mergeCell ref="A137:F137"/>
    <mergeCell ref="A128:F128"/>
    <mergeCell ref="A126:F126"/>
    <mergeCell ref="G148:Y148"/>
    <mergeCell ref="A132:F132"/>
    <mergeCell ref="A138:F138"/>
    <mergeCell ref="A140:F140"/>
    <mergeCell ref="A141:F141"/>
    <mergeCell ref="G139:Y139"/>
    <mergeCell ref="A114:F114"/>
    <mergeCell ref="A118:F118"/>
    <mergeCell ref="G118:Y118"/>
    <mergeCell ref="BE95:BL95"/>
    <mergeCell ref="BE96:BL96"/>
    <mergeCell ref="AW95:BD95"/>
    <mergeCell ref="AO96:AV96"/>
    <mergeCell ref="Z147:AD147"/>
    <mergeCell ref="Z129:AD129"/>
    <mergeCell ref="AE129:AN129"/>
    <mergeCell ref="Z128:AD128"/>
    <mergeCell ref="A101:F101"/>
    <mergeCell ref="A133:F133"/>
    <mergeCell ref="A134:F134"/>
    <mergeCell ref="A121:F121"/>
    <mergeCell ref="A124:F124"/>
    <mergeCell ref="AE141:AN141"/>
    <mergeCell ref="AE153:AN153"/>
    <mergeCell ref="G136:Y136"/>
    <mergeCell ref="A135:F135"/>
    <mergeCell ref="A105:F105"/>
    <mergeCell ref="A120:F120"/>
    <mergeCell ref="Z125:AD125"/>
    <mergeCell ref="G135:Y135"/>
    <mergeCell ref="G132:Y132"/>
    <mergeCell ref="G131:Y131"/>
    <mergeCell ref="A142:F142"/>
    <mergeCell ref="A97:F97"/>
    <mergeCell ref="A98:F98"/>
    <mergeCell ref="A96:F96"/>
    <mergeCell ref="G124:Y124"/>
    <mergeCell ref="A123:F123"/>
    <mergeCell ref="A99:F99"/>
    <mergeCell ref="A122:F122"/>
    <mergeCell ref="G106:Y106"/>
    <mergeCell ref="G153:Y153"/>
    <mergeCell ref="G151:Y151"/>
    <mergeCell ref="G137:Y137"/>
    <mergeCell ref="G138:Y138"/>
    <mergeCell ref="G140:Y140"/>
    <mergeCell ref="G145:Y145"/>
    <mergeCell ref="G141:Y141"/>
    <mergeCell ref="G146:Y146"/>
    <mergeCell ref="G142:Y142"/>
    <mergeCell ref="G143:Y143"/>
    <mergeCell ref="AE126:AN126"/>
    <mergeCell ref="AE127:AN127"/>
    <mergeCell ref="G129:Y129"/>
    <mergeCell ref="G125:Y125"/>
    <mergeCell ref="G126:Y126"/>
    <mergeCell ref="Z126:AD126"/>
    <mergeCell ref="Z127:AD127"/>
    <mergeCell ref="AE128:AN128"/>
    <mergeCell ref="BE86:BL86"/>
    <mergeCell ref="BE87:BL87"/>
    <mergeCell ref="AE87:AN87"/>
    <mergeCell ref="AO86:AV86"/>
    <mergeCell ref="AW86:BD86"/>
    <mergeCell ref="G87:Y87"/>
    <mergeCell ref="Z87:AD87"/>
    <mergeCell ref="AW87:BD87"/>
    <mergeCell ref="AW89:BD89"/>
    <mergeCell ref="AW90:BD90"/>
    <mergeCell ref="AW91:BD91"/>
    <mergeCell ref="AE88:AN88"/>
    <mergeCell ref="AE89:AN89"/>
    <mergeCell ref="AE91:AN91"/>
    <mergeCell ref="G152:Y152"/>
    <mergeCell ref="BE89:BL89"/>
    <mergeCell ref="BE90:BL90"/>
    <mergeCell ref="BE91:BL91"/>
    <mergeCell ref="Z134:AD134"/>
    <mergeCell ref="AE134:AN134"/>
    <mergeCell ref="G133:AN133"/>
    <mergeCell ref="G134:Y134"/>
    <mergeCell ref="BE123:BL123"/>
    <mergeCell ref="G127:Y127"/>
    <mergeCell ref="BE131:BL131"/>
    <mergeCell ref="AO104:AV104"/>
    <mergeCell ref="AO105:AV105"/>
    <mergeCell ref="AO121:AV121"/>
    <mergeCell ref="AO123:AV123"/>
    <mergeCell ref="AW123:BD123"/>
    <mergeCell ref="AW106:BD106"/>
    <mergeCell ref="AW107:BD107"/>
    <mergeCell ref="G109:Y109"/>
    <mergeCell ref="AE92:AN92"/>
    <mergeCell ref="AO94:AV94"/>
    <mergeCell ref="AO95:AV95"/>
    <mergeCell ref="AE98:AN98"/>
    <mergeCell ref="AO87:AV87"/>
    <mergeCell ref="AO90:AV90"/>
    <mergeCell ref="AO91:AV91"/>
    <mergeCell ref="Z88:AD88"/>
    <mergeCell ref="Z89:AD89"/>
    <mergeCell ref="BE122:BL122"/>
    <mergeCell ref="BE98:BL98"/>
    <mergeCell ref="Z103:AD103"/>
    <mergeCell ref="AW100:BD100"/>
    <mergeCell ref="AW101:BD101"/>
    <mergeCell ref="AW102:BD102"/>
    <mergeCell ref="AO101:AV101"/>
    <mergeCell ref="AO122:AV122"/>
    <mergeCell ref="AW122:BD122"/>
    <mergeCell ref="BE99:BL99"/>
    <mergeCell ref="AW108:BD108"/>
    <mergeCell ref="AW109:BD109"/>
    <mergeCell ref="BE92:BL92"/>
    <mergeCell ref="BE88:BL88"/>
    <mergeCell ref="AO88:AV88"/>
    <mergeCell ref="AO89:AV89"/>
    <mergeCell ref="AO92:AV92"/>
    <mergeCell ref="AW92:BD92"/>
    <mergeCell ref="AW88:BD88"/>
    <mergeCell ref="BE93:BL93"/>
    <mergeCell ref="BE94:BL94"/>
    <mergeCell ref="AW96:BD96"/>
    <mergeCell ref="Z141:AD141"/>
    <mergeCell ref="AO147:AV147"/>
    <mergeCell ref="Z122:AD122"/>
    <mergeCell ref="AE136:AN136"/>
    <mergeCell ref="AE143:AN143"/>
    <mergeCell ref="Z136:AD136"/>
    <mergeCell ref="AW105:BD105"/>
    <mergeCell ref="AW104:BD104"/>
    <mergeCell ref="BE97:BL97"/>
    <mergeCell ref="BE101:BL101"/>
    <mergeCell ref="BE102:BL102"/>
    <mergeCell ref="AE100:AN100"/>
    <mergeCell ref="BE105:BL105"/>
    <mergeCell ref="BE103:BL103"/>
    <mergeCell ref="BE104:BL104"/>
    <mergeCell ref="AE103:AN103"/>
    <mergeCell ref="AE97:AN97"/>
    <mergeCell ref="AE101:AN101"/>
    <mergeCell ref="AE102:AN102"/>
    <mergeCell ref="Z99:AD99"/>
    <mergeCell ref="Z97:AD97"/>
    <mergeCell ref="AO97:AV97"/>
    <mergeCell ref="AO98:AV98"/>
    <mergeCell ref="AO99:AV99"/>
    <mergeCell ref="AO102:AV102"/>
    <mergeCell ref="AE99:AN99"/>
    <mergeCell ref="Z109:AD109"/>
    <mergeCell ref="Z110:AD110"/>
    <mergeCell ref="AW98:BD98"/>
    <mergeCell ref="AW99:BD99"/>
    <mergeCell ref="Z102:AD102"/>
    <mergeCell ref="Z105:AD105"/>
    <mergeCell ref="Z92:AD92"/>
    <mergeCell ref="G103:Y103"/>
    <mergeCell ref="Z96:AD96"/>
    <mergeCell ref="G104:Y104"/>
    <mergeCell ref="G105:Y105"/>
    <mergeCell ref="AE138:AN138"/>
    <mergeCell ref="AE125:AN125"/>
    <mergeCell ref="Z138:AD138"/>
    <mergeCell ref="BE128:BL128"/>
    <mergeCell ref="BE129:BL129"/>
    <mergeCell ref="G89:Y89"/>
    <mergeCell ref="Z123:AD123"/>
    <mergeCell ref="G128:Y128"/>
    <mergeCell ref="BE121:BL121"/>
    <mergeCell ref="AO120:AV120"/>
    <mergeCell ref="AE104:AN104"/>
    <mergeCell ref="AW97:BD97"/>
    <mergeCell ref="AO128:AV128"/>
    <mergeCell ref="AO129:AV129"/>
    <mergeCell ref="G110:Y110"/>
    <mergeCell ref="AE90:AN90"/>
    <mergeCell ref="AE96:AN96"/>
    <mergeCell ref="AW94:BD94"/>
    <mergeCell ref="AE94:AN94"/>
    <mergeCell ref="Z90:AD90"/>
    <mergeCell ref="Z91:AD91"/>
    <mergeCell ref="G122:Y122"/>
    <mergeCell ref="G123:Y123"/>
    <mergeCell ref="AE105:AN105"/>
    <mergeCell ref="AE123:AN123"/>
    <mergeCell ref="G121:Y121"/>
    <mergeCell ref="G120:Y120"/>
    <mergeCell ref="AO143:AV143"/>
    <mergeCell ref="AW129:BD129"/>
    <mergeCell ref="AW124:BD124"/>
    <mergeCell ref="AW125:BD125"/>
    <mergeCell ref="AE121:AN121"/>
    <mergeCell ref="AW126:BD126"/>
    <mergeCell ref="AW127:BD127"/>
    <mergeCell ref="AO126:AV126"/>
    <mergeCell ref="AO127:AV127"/>
    <mergeCell ref="Z121:AD121"/>
    <mergeCell ref="AB79:AI79"/>
    <mergeCell ref="G90:Y90"/>
    <mergeCell ref="AJ79:AQ79"/>
    <mergeCell ref="G147:Y147"/>
    <mergeCell ref="Z83:AD83"/>
    <mergeCell ref="Z100:AD100"/>
    <mergeCell ref="Z104:AD104"/>
    <mergeCell ref="AO100:AV100"/>
    <mergeCell ref="G98:Y98"/>
    <mergeCell ref="AO146:AV146"/>
    <mergeCell ref="AO145:AV145"/>
    <mergeCell ref="AO124:AV124"/>
    <mergeCell ref="G91:Y91"/>
    <mergeCell ref="G99:Y99"/>
    <mergeCell ref="G92:Y92"/>
    <mergeCell ref="G96:Y96"/>
    <mergeCell ref="Z98:AD98"/>
    <mergeCell ref="AE122:AN122"/>
    <mergeCell ref="AW120:BD120"/>
    <mergeCell ref="AW103:BD103"/>
    <mergeCell ref="G86:Y86"/>
    <mergeCell ref="G88:Y88"/>
    <mergeCell ref="AS63:AZ63"/>
    <mergeCell ref="AS62:AZ62"/>
    <mergeCell ref="AJ76:AQ77"/>
    <mergeCell ref="AK58:AR58"/>
    <mergeCell ref="AK59:AR59"/>
    <mergeCell ref="AK60:AR60"/>
    <mergeCell ref="AK61:AR61"/>
    <mergeCell ref="AS66:AZ66"/>
    <mergeCell ref="AS67:AZ67"/>
    <mergeCell ref="AS58:AZ58"/>
    <mergeCell ref="AS59:AZ59"/>
    <mergeCell ref="AE124:AN124"/>
    <mergeCell ref="AR72:AY72"/>
    <mergeCell ref="AW84:BD84"/>
    <mergeCell ref="AJ78:AQ78"/>
    <mergeCell ref="AR78:AY78"/>
    <mergeCell ref="AR76:AY77"/>
    <mergeCell ref="AO84:AV84"/>
    <mergeCell ref="AW83:BD83"/>
    <mergeCell ref="AR79:AY79"/>
    <mergeCell ref="AO103:AV103"/>
    <mergeCell ref="AE95:AN95"/>
    <mergeCell ref="AO93:AV93"/>
    <mergeCell ref="AW93:BD93"/>
    <mergeCell ref="AO109:AV109"/>
    <mergeCell ref="AO110:AV110"/>
    <mergeCell ref="AW110:BD110"/>
    <mergeCell ref="AO114:AV114"/>
    <mergeCell ref="AW114:BD114"/>
    <mergeCell ref="A63:C63"/>
    <mergeCell ref="A62:C62"/>
    <mergeCell ref="D65:AB65"/>
    <mergeCell ref="G83:Y83"/>
    <mergeCell ref="A92:F92"/>
    <mergeCell ref="AC62:AJ62"/>
    <mergeCell ref="A58:C58"/>
    <mergeCell ref="D60:AB60"/>
    <mergeCell ref="D61:AB61"/>
    <mergeCell ref="AC58:AJ58"/>
    <mergeCell ref="AC59:AJ59"/>
    <mergeCell ref="AC60:AJ60"/>
    <mergeCell ref="AC61:AJ61"/>
    <mergeCell ref="D59:AB59"/>
    <mergeCell ref="A60:C60"/>
    <mergeCell ref="AS64:AZ64"/>
    <mergeCell ref="AS65:AZ65"/>
    <mergeCell ref="A65:C65"/>
    <mergeCell ref="A66:C66"/>
    <mergeCell ref="A67:C67"/>
    <mergeCell ref="AC63:AJ63"/>
    <mergeCell ref="AC66:AJ66"/>
    <mergeCell ref="AC67:AJ67"/>
    <mergeCell ref="AS60:AZ60"/>
    <mergeCell ref="AS61:AZ61"/>
    <mergeCell ref="AK62:AR62"/>
    <mergeCell ref="AS68:AZ68"/>
    <mergeCell ref="AK64:AR64"/>
    <mergeCell ref="AK65:AR65"/>
    <mergeCell ref="AK66:AR66"/>
    <mergeCell ref="AK68:AR68"/>
    <mergeCell ref="AK67:AR67"/>
    <mergeCell ref="N17:AS17"/>
    <mergeCell ref="AA19:AI19"/>
    <mergeCell ref="A33:BL33"/>
    <mergeCell ref="AO125:AV125"/>
    <mergeCell ref="G84:Y84"/>
    <mergeCell ref="AS57:AZ57"/>
    <mergeCell ref="G30:BL30"/>
    <mergeCell ref="AR75:AY75"/>
    <mergeCell ref="AO83:AV83"/>
    <mergeCell ref="AU16:BB16"/>
    <mergeCell ref="A42:F42"/>
    <mergeCell ref="A43:F43"/>
    <mergeCell ref="A44:F44"/>
    <mergeCell ref="A36:BL36"/>
    <mergeCell ref="A37:F37"/>
    <mergeCell ref="A39:F39"/>
    <mergeCell ref="G39:BL39"/>
    <mergeCell ref="G43:BL43"/>
    <mergeCell ref="A40:F40"/>
    <mergeCell ref="A47:F47"/>
    <mergeCell ref="A93:F93"/>
    <mergeCell ref="A48:F48"/>
    <mergeCell ref="G44:BL44"/>
    <mergeCell ref="G45:BL45"/>
    <mergeCell ref="G46:BL46"/>
    <mergeCell ref="G47:BL47"/>
    <mergeCell ref="G48:BL48"/>
    <mergeCell ref="AS54:AZ55"/>
    <mergeCell ref="AK69:AR69"/>
    <mergeCell ref="AS69:AZ69"/>
    <mergeCell ref="D63:AB63"/>
    <mergeCell ref="D64:AB64"/>
    <mergeCell ref="AC69:AJ69"/>
    <mergeCell ref="A59:C59"/>
    <mergeCell ref="D58:AB58"/>
    <mergeCell ref="A75:C75"/>
    <mergeCell ref="W361:AM361"/>
    <mergeCell ref="A81:BL81"/>
    <mergeCell ref="BE132:BL132"/>
    <mergeCell ref="AW128:BD128"/>
    <mergeCell ref="A129:F129"/>
    <mergeCell ref="BE83:BL83"/>
    <mergeCell ref="D57:AB57"/>
    <mergeCell ref="D69:AB69"/>
    <mergeCell ref="A57:C57"/>
    <mergeCell ref="D75:AA75"/>
    <mergeCell ref="AB75:AI75"/>
    <mergeCell ref="AK57:AR57"/>
    <mergeCell ref="D67:AB67"/>
    <mergeCell ref="AC64:AJ64"/>
    <mergeCell ref="A73:C74"/>
    <mergeCell ref="AC57:AJ57"/>
    <mergeCell ref="A68:C68"/>
    <mergeCell ref="D66:AB66"/>
    <mergeCell ref="D68:AB68"/>
    <mergeCell ref="AC65:AJ65"/>
    <mergeCell ref="AK63:AR63"/>
    <mergeCell ref="AC68:AJ68"/>
    <mergeCell ref="A64:C64"/>
    <mergeCell ref="A61:C61"/>
    <mergeCell ref="Z120:AD120"/>
    <mergeCell ref="D62:AB62"/>
    <mergeCell ref="A69:C69"/>
    <mergeCell ref="Z84:AD84"/>
    <mergeCell ref="AW135:BD135"/>
    <mergeCell ref="A78:C78"/>
    <mergeCell ref="D77:AA77"/>
    <mergeCell ref="A79:C79"/>
    <mergeCell ref="D79:AA79"/>
    <mergeCell ref="D78:AA78"/>
    <mergeCell ref="G94:Y94"/>
    <mergeCell ref="A94:F94"/>
    <mergeCell ref="G85:BL85"/>
    <mergeCell ref="Z86:AD86"/>
    <mergeCell ref="AE86:AN86"/>
    <mergeCell ref="G102:Y102"/>
    <mergeCell ref="G97:Y97"/>
    <mergeCell ref="Z93:AD93"/>
    <mergeCell ref="G100:Y100"/>
    <mergeCell ref="A125:F125"/>
    <mergeCell ref="G101:Y101"/>
    <mergeCell ref="A103:F103"/>
    <mergeCell ref="A104:F104"/>
    <mergeCell ref="Z101:AD101"/>
    <mergeCell ref="Z94:AD94"/>
    <mergeCell ref="BE84:BL84"/>
    <mergeCell ref="Z124:AD124"/>
    <mergeCell ref="AE83:AN83"/>
    <mergeCell ref="AE84:AN84"/>
    <mergeCell ref="AE120:AN120"/>
    <mergeCell ref="AW121:BD121"/>
    <mergeCell ref="Z95:AD95"/>
    <mergeCell ref="AE93:AN93"/>
    <mergeCell ref="G93:Y93"/>
    <mergeCell ref="BE100:BL100"/>
    <mergeCell ref="BE120:BL120"/>
    <mergeCell ref="A363:H363"/>
    <mergeCell ref="A362:H362"/>
    <mergeCell ref="A360:V360"/>
    <mergeCell ref="W360:AM360"/>
    <mergeCell ref="AJ75:AQ75"/>
    <mergeCell ref="I23:S23"/>
    <mergeCell ref="AO360:BG360"/>
    <mergeCell ref="W355:AM355"/>
    <mergeCell ref="A357:V357"/>
    <mergeCell ref="AO244:AV244"/>
    <mergeCell ref="A38:F38"/>
    <mergeCell ref="AK54:AR55"/>
    <mergeCell ref="D73:AA74"/>
    <mergeCell ref="W354:AM354"/>
    <mergeCell ref="A127:F127"/>
    <mergeCell ref="Z207:AD207"/>
    <mergeCell ref="AE207:AN207"/>
    <mergeCell ref="Z137:AD137"/>
    <mergeCell ref="AE137:AN137"/>
    <mergeCell ref="AO132:AV132"/>
    <mergeCell ref="A356:F356"/>
    <mergeCell ref="AO265:AV265"/>
    <mergeCell ref="AO266:AV266"/>
    <mergeCell ref="AO259:AV259"/>
    <mergeCell ref="AO264:AV264"/>
    <mergeCell ref="A354:V354"/>
    <mergeCell ref="G264:Y264"/>
    <mergeCell ref="G265:Y265"/>
    <mergeCell ref="G272:Y272"/>
    <mergeCell ref="A271:F271"/>
    <mergeCell ref="AW131:BD131"/>
    <mergeCell ref="Z135:AD135"/>
    <mergeCell ref="Z146:AD146"/>
    <mergeCell ref="AE146:AN146"/>
    <mergeCell ref="Z148:AD148"/>
    <mergeCell ref="AE147:AN147"/>
    <mergeCell ref="AO361:BG361"/>
    <mergeCell ref="AO355:BG355"/>
    <mergeCell ref="AO354:BG354"/>
    <mergeCell ref="Z208:AD208"/>
    <mergeCell ref="AE208:AN208"/>
    <mergeCell ref="AE205:AN205"/>
    <mergeCell ref="AS22:BC22"/>
    <mergeCell ref="BD22:BL22"/>
    <mergeCell ref="B17:L17"/>
    <mergeCell ref="N16:AS16"/>
    <mergeCell ref="Z204:AD204"/>
    <mergeCell ref="AE204:AN204"/>
    <mergeCell ref="AE185:AN185"/>
    <mergeCell ref="Z142:AD142"/>
    <mergeCell ref="Z152:AD152"/>
    <mergeCell ref="Z153:AD153"/>
    <mergeCell ref="AO245:AV245"/>
    <mergeCell ref="T23:W23"/>
    <mergeCell ref="A23:H23"/>
    <mergeCell ref="A272:F272"/>
    <mergeCell ref="A30:F30"/>
    <mergeCell ref="A31:F31"/>
    <mergeCell ref="G31:BL31"/>
    <mergeCell ref="A22:T22"/>
    <mergeCell ref="AE135:AN135"/>
    <mergeCell ref="Z131:AD131"/>
    <mergeCell ref="AE131:AN131"/>
    <mergeCell ref="AO131:AV131"/>
    <mergeCell ref="AO1:BL1"/>
    <mergeCell ref="A71:BL71"/>
    <mergeCell ref="U22:AD22"/>
    <mergeCell ref="AE22:AR22"/>
    <mergeCell ref="G29:BL29"/>
    <mergeCell ref="AO2:BL2"/>
    <mergeCell ref="AO6:BF6"/>
    <mergeCell ref="AO4:BL4"/>
    <mergeCell ref="AO5:BL5"/>
    <mergeCell ref="AS56:AZ56"/>
    <mergeCell ref="Z143:AD143"/>
    <mergeCell ref="A77:C77"/>
    <mergeCell ref="A95:F95"/>
    <mergeCell ref="G95:Y95"/>
    <mergeCell ref="A84:F84"/>
    <mergeCell ref="A91:F91"/>
    <mergeCell ref="A83:F83"/>
    <mergeCell ref="A76:C76"/>
    <mergeCell ref="D76:AA76"/>
    <mergeCell ref="BE124:BL124"/>
    <mergeCell ref="BE125:BL125"/>
    <mergeCell ref="BE135:BL135"/>
    <mergeCell ref="BE136:BL136"/>
    <mergeCell ref="AW132:BD132"/>
    <mergeCell ref="BE126:BL126"/>
    <mergeCell ref="BE127:BL127"/>
    <mergeCell ref="Z132:AD132"/>
    <mergeCell ref="AO3:BL3"/>
    <mergeCell ref="A10:BL10"/>
    <mergeCell ref="AO133:AV133"/>
    <mergeCell ref="AE132:AN132"/>
    <mergeCell ref="AW133:BD133"/>
    <mergeCell ref="AA20:AI20"/>
    <mergeCell ref="B19:L19"/>
    <mergeCell ref="N19:Y19"/>
    <mergeCell ref="G41:BL41"/>
    <mergeCell ref="G42:BL42"/>
    <mergeCell ref="A41:F41"/>
    <mergeCell ref="A46:F46"/>
    <mergeCell ref="A56:C56"/>
    <mergeCell ref="BE20:BL20"/>
    <mergeCell ref="A25:BL25"/>
    <mergeCell ref="A26:BL26"/>
    <mergeCell ref="A28:BL28"/>
    <mergeCell ref="A29:F29"/>
    <mergeCell ref="D56:AB56"/>
    <mergeCell ref="AC54:AJ55"/>
    <mergeCell ref="A34:BL34"/>
    <mergeCell ref="G38:BL38"/>
    <mergeCell ref="G49:BL49"/>
    <mergeCell ref="G40:BL40"/>
    <mergeCell ref="A54:C55"/>
    <mergeCell ref="A52:AZ52"/>
    <mergeCell ref="D54:AB55"/>
    <mergeCell ref="A49:F49"/>
    <mergeCell ref="A50:F50"/>
    <mergeCell ref="G50:BL50"/>
    <mergeCell ref="G37:BL37"/>
    <mergeCell ref="A45:F45"/>
    <mergeCell ref="Z206:AD206"/>
    <mergeCell ref="AE206:AN206"/>
    <mergeCell ref="Z205:AD205"/>
    <mergeCell ref="AE187:AN187"/>
    <mergeCell ref="AE188:AN188"/>
    <mergeCell ref="AE189:AN189"/>
    <mergeCell ref="Z193:AD193"/>
    <mergeCell ref="AE196:AN196"/>
    <mergeCell ref="AE197:AN197"/>
    <mergeCell ref="AE198:AN198"/>
    <mergeCell ref="B16:L16"/>
    <mergeCell ref="AU17:BB17"/>
    <mergeCell ref="AO7:AU7"/>
    <mergeCell ref="AB73:AI74"/>
    <mergeCell ref="AJ73:AQ74"/>
    <mergeCell ref="AR73:AY74"/>
    <mergeCell ref="AK56:AR56"/>
    <mergeCell ref="AC56:AJ56"/>
    <mergeCell ref="AS53:AZ53"/>
    <mergeCell ref="AW7:BF7"/>
    <mergeCell ref="N14:AS14"/>
    <mergeCell ref="AU14:BB14"/>
    <mergeCell ref="A11:BL11"/>
    <mergeCell ref="B13:L13"/>
    <mergeCell ref="B14:L14"/>
    <mergeCell ref="AU13:BB13"/>
    <mergeCell ref="N13:AS13"/>
    <mergeCell ref="BE19:BL19"/>
    <mergeCell ref="AK19:BC19"/>
    <mergeCell ref="AK20:BC20"/>
    <mergeCell ref="B20:L20"/>
    <mergeCell ref="N20:Y20"/>
    <mergeCell ref="AO204:AV204"/>
    <mergeCell ref="AO208:AV208"/>
    <mergeCell ref="AE235:AN235"/>
    <mergeCell ref="AE231:AN231"/>
    <mergeCell ref="AO222:AV222"/>
    <mergeCell ref="AO230:AV230"/>
    <mergeCell ref="AO213:AV213"/>
    <mergeCell ref="AO233:AV233"/>
    <mergeCell ref="AO234:AV234"/>
    <mergeCell ref="AE223:AN223"/>
    <mergeCell ref="AO188:AV188"/>
    <mergeCell ref="AE202:AN202"/>
    <mergeCell ref="AE190:AN190"/>
    <mergeCell ref="AE191:AN191"/>
    <mergeCell ref="AE192:AN192"/>
    <mergeCell ref="AE193:AN193"/>
    <mergeCell ref="AE199:AN199"/>
    <mergeCell ref="AE201:AN201"/>
    <mergeCell ref="AE194:AN194"/>
    <mergeCell ref="AE233:AN233"/>
    <mergeCell ref="AE234:AN234"/>
    <mergeCell ref="AO225:AV225"/>
    <mergeCell ref="A180:F180"/>
    <mergeCell ref="G180:Y180"/>
    <mergeCell ref="Z180:AD180"/>
    <mergeCell ref="Z194:AD194"/>
    <mergeCell ref="G182:Y182"/>
    <mergeCell ref="Z182:AD182"/>
    <mergeCell ref="Z189:AD189"/>
    <mergeCell ref="G183:Y183"/>
    <mergeCell ref="G184:Y184"/>
    <mergeCell ref="G185:Y185"/>
    <mergeCell ref="G186:Y186"/>
    <mergeCell ref="AE180:AN180"/>
    <mergeCell ref="A179:F179"/>
    <mergeCell ref="G179:Y179"/>
    <mergeCell ref="Z179:AD179"/>
    <mergeCell ref="AE179:AN179"/>
    <mergeCell ref="AE182:AN182"/>
    <mergeCell ref="A181:F181"/>
    <mergeCell ref="BE210:BL210"/>
    <mergeCell ref="A211:F211"/>
    <mergeCell ref="G211:Y211"/>
    <mergeCell ref="Z211:AD211"/>
    <mergeCell ref="AE211:AN211"/>
    <mergeCell ref="AO211:AV211"/>
    <mergeCell ref="AW211:BD211"/>
    <mergeCell ref="BE211:BL211"/>
    <mergeCell ref="A210:F210"/>
    <mergeCell ref="G210:Y210"/>
    <mergeCell ref="AW215:BD215"/>
    <mergeCell ref="Z210:AD210"/>
    <mergeCell ref="AE210:AN210"/>
    <mergeCell ref="AO210:AV210"/>
    <mergeCell ref="AW210:BD210"/>
    <mergeCell ref="Z215:AD215"/>
    <mergeCell ref="AE215:AN215"/>
    <mergeCell ref="AO214:AV214"/>
    <mergeCell ref="AW214:BD214"/>
    <mergeCell ref="BE214:BL214"/>
    <mergeCell ref="BE215:BL215"/>
    <mergeCell ref="AW213:BD213"/>
    <mergeCell ref="Z214:AD214"/>
    <mergeCell ref="AE214:AN214"/>
    <mergeCell ref="AE213:AN213"/>
    <mergeCell ref="Z213:AD213"/>
    <mergeCell ref="BE213:BL213"/>
    <mergeCell ref="AW212:BD212"/>
    <mergeCell ref="BE212:BL212"/>
    <mergeCell ref="BE220:BL220"/>
    <mergeCell ref="AW216:BD216"/>
    <mergeCell ref="AW217:BD217"/>
    <mergeCell ref="A220:F220"/>
    <mergeCell ref="G214:Y214"/>
    <mergeCell ref="G215:Y215"/>
    <mergeCell ref="G216:Y216"/>
    <mergeCell ref="G217:Y217"/>
    <mergeCell ref="G220:Y220"/>
    <mergeCell ref="G218:Y218"/>
    <mergeCell ref="G219:Y219"/>
    <mergeCell ref="A218:F218"/>
    <mergeCell ref="A219:F219"/>
    <mergeCell ref="A212:F212"/>
    <mergeCell ref="A213:F213"/>
    <mergeCell ref="A214:F214"/>
    <mergeCell ref="BE218:BL218"/>
    <mergeCell ref="BE219:BL219"/>
    <mergeCell ref="AW218:BD218"/>
    <mergeCell ref="AW219:BD219"/>
    <mergeCell ref="BE216:BL216"/>
    <mergeCell ref="BE217:BL217"/>
    <mergeCell ref="Z217:AD217"/>
    <mergeCell ref="AW220:BD220"/>
    <mergeCell ref="AE216:AN216"/>
    <mergeCell ref="AE218:AN218"/>
    <mergeCell ref="AE220:AN220"/>
    <mergeCell ref="AE217:AN217"/>
    <mergeCell ref="AO219:AV219"/>
    <mergeCell ref="G236:Y236"/>
    <mergeCell ref="G237:Y237"/>
    <mergeCell ref="G239:Y239"/>
    <mergeCell ref="G240:Y240"/>
    <mergeCell ref="G241:Y241"/>
    <mergeCell ref="AO236:AV236"/>
    <mergeCell ref="AO215:AV215"/>
    <mergeCell ref="AO216:AV216"/>
    <mergeCell ref="AO217:AV217"/>
    <mergeCell ref="AO218:AV218"/>
    <mergeCell ref="AO232:AV232"/>
    <mergeCell ref="AO231:AV231"/>
    <mergeCell ref="AO224:AV224"/>
    <mergeCell ref="AO235:AV235"/>
    <mergeCell ref="A215:F215"/>
    <mergeCell ref="A216:F216"/>
    <mergeCell ref="A217:F217"/>
    <mergeCell ref="AO237:AV237"/>
    <mergeCell ref="AO220:AV220"/>
    <mergeCell ref="AE219:AN219"/>
    <mergeCell ref="Z219:AD219"/>
    <mergeCell ref="Z239:AD239"/>
    <mergeCell ref="Z240:AD240"/>
    <mergeCell ref="AE241:AN241"/>
    <mergeCell ref="Z283:AD283"/>
    <mergeCell ref="A287:F287"/>
    <mergeCell ref="G278:Y278"/>
    <mergeCell ref="A286:F286"/>
    <mergeCell ref="G286:Y286"/>
    <mergeCell ref="Z286:AD286"/>
    <mergeCell ref="G279:Y279"/>
    <mergeCell ref="G280:Y280"/>
    <mergeCell ref="G246:Y246"/>
    <mergeCell ref="G247:Y247"/>
    <mergeCell ref="G248:Y248"/>
    <mergeCell ref="A273:F273"/>
    <mergeCell ref="G273:Y273"/>
    <mergeCell ref="G258:Y258"/>
    <mergeCell ref="G259:Y259"/>
    <mergeCell ref="A268:F268"/>
    <mergeCell ref="A254:F254"/>
    <mergeCell ref="A255:F255"/>
    <mergeCell ref="G271:Y271"/>
    <mergeCell ref="Z271:AD271"/>
    <mergeCell ref="A316:F316"/>
    <mergeCell ref="A317:F317"/>
    <mergeCell ref="G305:Y305"/>
    <mergeCell ref="G306:Y306"/>
    <mergeCell ref="G307:Y307"/>
    <mergeCell ref="A310:F310"/>
    <mergeCell ref="G310:Y310"/>
    <mergeCell ref="A313:F313"/>
    <mergeCell ref="A297:F297"/>
    <mergeCell ref="G299:AN299"/>
    <mergeCell ref="G300:Y300"/>
    <mergeCell ref="Z300:AD300"/>
    <mergeCell ref="A298:F298"/>
    <mergeCell ref="G298:Y298"/>
    <mergeCell ref="AE300:AN300"/>
    <mergeCell ref="A299:F299"/>
    <mergeCell ref="A300:F300"/>
    <mergeCell ref="Z297:AD297"/>
    <mergeCell ref="A312:F312"/>
    <mergeCell ref="A304:F304"/>
    <mergeCell ref="A306:F306"/>
    <mergeCell ref="Z306:AD306"/>
    <mergeCell ref="AE301:AN301"/>
    <mergeCell ref="AW222:BD222"/>
    <mergeCell ref="AW223:BD223"/>
    <mergeCell ref="BE223:BL223"/>
    <mergeCell ref="BE222:BL222"/>
    <mergeCell ref="G251:Y251"/>
    <mergeCell ref="G232:Y232"/>
    <mergeCell ref="AO226:AV226"/>
    <mergeCell ref="AO227:AV227"/>
    <mergeCell ref="AW224:BD224"/>
    <mergeCell ref="AO246:AV246"/>
    <mergeCell ref="A314:F314"/>
    <mergeCell ref="A315:F315"/>
    <mergeCell ref="AO223:AV223"/>
    <mergeCell ref="A222:F222"/>
    <mergeCell ref="G222:Y222"/>
    <mergeCell ref="Z222:AD222"/>
    <mergeCell ref="AE222:AN222"/>
    <mergeCell ref="A223:F223"/>
    <mergeCell ref="G223:Y223"/>
    <mergeCell ref="Z223:AD223"/>
    <mergeCell ref="A301:F301"/>
    <mergeCell ref="A302:F302"/>
    <mergeCell ref="G269:Y269"/>
    <mergeCell ref="G274:Y274"/>
    <mergeCell ref="G275:Y275"/>
    <mergeCell ref="A295:F295"/>
    <mergeCell ref="G289:Y289"/>
    <mergeCell ref="G281:Y281"/>
    <mergeCell ref="A288:F288"/>
    <mergeCell ref="A289:F289"/>
    <mergeCell ref="A290:F290"/>
    <mergeCell ref="G260:Y260"/>
    <mergeCell ref="A309:F309"/>
    <mergeCell ref="G309:Y309"/>
    <mergeCell ref="Z309:AD309"/>
    <mergeCell ref="AE309:AN309"/>
    <mergeCell ref="AO309:AV309"/>
    <mergeCell ref="AE286:AN286"/>
    <mergeCell ref="G288:Y288"/>
    <mergeCell ref="AW286:BD286"/>
    <mergeCell ref="BE286:BL286"/>
    <mergeCell ref="BE297:BL297"/>
    <mergeCell ref="AW297:BD297"/>
    <mergeCell ref="G293:Y293"/>
    <mergeCell ref="G294:Y294"/>
    <mergeCell ref="G295:Y295"/>
    <mergeCell ref="BE290:BL290"/>
    <mergeCell ref="AW285:BD285"/>
    <mergeCell ref="BE285:BL285"/>
    <mergeCell ref="A285:F285"/>
    <mergeCell ref="G285:Y285"/>
    <mergeCell ref="Z285:AD285"/>
    <mergeCell ref="AE285:AN285"/>
    <mergeCell ref="AO285:AV285"/>
    <mergeCell ref="G287:AD287"/>
    <mergeCell ref="AE288:AN288"/>
    <mergeCell ref="Z290:AD290"/>
    <mergeCell ref="AE290:AN290"/>
    <mergeCell ref="AE287:AN287"/>
    <mergeCell ref="AE289:AN289"/>
    <mergeCell ref="Z288:AD288"/>
    <mergeCell ref="AW287:BD287"/>
    <mergeCell ref="AW288:BD288"/>
    <mergeCell ref="AO287:AV287"/>
    <mergeCell ref="BE343:BL343"/>
    <mergeCell ref="BE339:BL339"/>
    <mergeCell ref="BE338:BL338"/>
    <mergeCell ref="BE334:BL334"/>
    <mergeCell ref="Z344:AD344"/>
    <mergeCell ref="G224:AN224"/>
    <mergeCell ref="G225:Y225"/>
    <mergeCell ref="G227:Y227"/>
    <mergeCell ref="G228:Y228"/>
    <mergeCell ref="Z226:AD226"/>
    <mergeCell ref="AW309:BD309"/>
    <mergeCell ref="BE309:BL309"/>
    <mergeCell ref="Z298:AD298"/>
    <mergeCell ref="BE345:BL345"/>
    <mergeCell ref="BE336:BL336"/>
    <mergeCell ref="AW336:BD336"/>
    <mergeCell ref="AW337:BD337"/>
    <mergeCell ref="BE337:BL337"/>
    <mergeCell ref="BE341:BL341"/>
    <mergeCell ref="AW343:BD343"/>
    <mergeCell ref="AE297:AN297"/>
    <mergeCell ref="AO297:AV297"/>
    <mergeCell ref="G297:Y297"/>
    <mergeCell ref="AW298:BD298"/>
    <mergeCell ref="BE298:BL298"/>
    <mergeCell ref="BE269:BL269"/>
    <mergeCell ref="G282:Y282"/>
    <mergeCell ref="G283:Y283"/>
    <mergeCell ref="G254:Y254"/>
    <mergeCell ref="G255:Y255"/>
    <mergeCell ref="G256:Y256"/>
    <mergeCell ref="G257:Y257"/>
    <mergeCell ref="G292:Y292"/>
    <mergeCell ref="AB76:AI77"/>
    <mergeCell ref="Z289:AD289"/>
    <mergeCell ref="Z216:AD216"/>
    <mergeCell ref="Z191:AD191"/>
    <mergeCell ref="Z192:AD192"/>
    <mergeCell ref="Z220:AD220"/>
    <mergeCell ref="Z218:AD218"/>
    <mergeCell ref="Z227:AD227"/>
    <mergeCell ref="Z272:AD272"/>
    <mergeCell ref="AE298:AN298"/>
    <mergeCell ref="Z341:AD341"/>
    <mergeCell ref="Z269:AD269"/>
    <mergeCell ref="AE269:AN269"/>
    <mergeCell ref="G212:AV212"/>
    <mergeCell ref="G213:Y213"/>
    <mergeCell ref="AO298:AV298"/>
    <mergeCell ref="AO286:AV286"/>
    <mergeCell ref="G290:Y290"/>
    <mergeCell ref="G291:Y291"/>
    <mergeCell ref="Z258:AD258"/>
    <mergeCell ref="Z253:AD253"/>
    <mergeCell ref="Z257:AD257"/>
    <mergeCell ref="Z255:AD255"/>
    <mergeCell ref="AO256:AV256"/>
    <mergeCell ref="AO251:AV251"/>
    <mergeCell ref="Z225:AD225"/>
    <mergeCell ref="AE225:AN225"/>
    <mergeCell ref="AO228:AV228"/>
    <mergeCell ref="AO258:AV258"/>
    <mergeCell ref="AO252:AV252"/>
    <mergeCell ref="AO254:AV254"/>
    <mergeCell ref="AO247:AV247"/>
    <mergeCell ref="AO248:AV248"/>
    <mergeCell ref="AO249:AV249"/>
    <mergeCell ref="AO250:AV250"/>
    <mergeCell ref="AW225:BD225"/>
    <mergeCell ref="AW226:BD226"/>
    <mergeCell ref="AW227:BD227"/>
    <mergeCell ref="AW228:BD228"/>
    <mergeCell ref="AW229:BD229"/>
    <mergeCell ref="AW230:BD230"/>
    <mergeCell ref="AE272:AN272"/>
    <mergeCell ref="AO229:AV229"/>
    <mergeCell ref="Z228:AD228"/>
    <mergeCell ref="Z229:AD229"/>
    <mergeCell ref="G226:Y226"/>
    <mergeCell ref="G229:Y229"/>
    <mergeCell ref="G230:Y230"/>
    <mergeCell ref="Z230:AD230"/>
    <mergeCell ref="G231:Y231"/>
    <mergeCell ref="AO253:AV253"/>
    <mergeCell ref="AO255:AV255"/>
    <mergeCell ref="AE226:AN226"/>
    <mergeCell ref="G261:Y261"/>
    <mergeCell ref="G262:Y262"/>
    <mergeCell ref="G263:Y263"/>
    <mergeCell ref="G268:Y268"/>
    <mergeCell ref="G266:Y266"/>
    <mergeCell ref="G234:Y234"/>
    <mergeCell ref="G233:Y233"/>
    <mergeCell ref="G244:Y244"/>
    <mergeCell ref="G245:Y245"/>
    <mergeCell ref="G235:Y235"/>
    <mergeCell ref="BE226:BL226"/>
    <mergeCell ref="BE224:BL224"/>
    <mergeCell ref="BE225:BL225"/>
    <mergeCell ref="BE227:BL227"/>
    <mergeCell ref="BE232:BL232"/>
    <mergeCell ref="BE236:BL236"/>
    <mergeCell ref="BE234:BL234"/>
    <mergeCell ref="BE235:BL235"/>
    <mergeCell ref="AW253:BD253"/>
    <mergeCell ref="AW252:BD252"/>
    <mergeCell ref="AW244:BD244"/>
    <mergeCell ref="AW245:BD245"/>
    <mergeCell ref="AW246:BD246"/>
    <mergeCell ref="AW247:BD247"/>
    <mergeCell ref="AW251:BD251"/>
    <mergeCell ref="AW248:BD248"/>
    <mergeCell ref="AW249:BD249"/>
    <mergeCell ref="AW250:BD250"/>
    <mergeCell ref="AW231:BD231"/>
    <mergeCell ref="AW236:BD236"/>
    <mergeCell ref="AW237:BD237"/>
    <mergeCell ref="AW232:BD232"/>
    <mergeCell ref="AW233:BD233"/>
    <mergeCell ref="AW234:BD234"/>
    <mergeCell ref="AW235:BD235"/>
    <mergeCell ref="BE244:BL244"/>
    <mergeCell ref="BE245:BL245"/>
    <mergeCell ref="BE239:BL239"/>
    <mergeCell ref="BE240:BL240"/>
    <mergeCell ref="BE246:BL246"/>
    <mergeCell ref="BE247:BL247"/>
    <mergeCell ref="BE241:BL241"/>
    <mergeCell ref="BE242:BL242"/>
    <mergeCell ref="BE243:BL243"/>
    <mergeCell ref="BE271:BL271"/>
    <mergeCell ref="BE272:BL272"/>
    <mergeCell ref="BE237:BL237"/>
    <mergeCell ref="BE233:BL233"/>
    <mergeCell ref="BE228:BL228"/>
    <mergeCell ref="BE229:BL229"/>
    <mergeCell ref="BE230:BL230"/>
    <mergeCell ref="BE231:BL231"/>
    <mergeCell ref="BE250:BL250"/>
    <mergeCell ref="BE251:BL251"/>
    <mergeCell ref="AW271:BD271"/>
    <mergeCell ref="BE252:BL252"/>
    <mergeCell ref="AW266:BD266"/>
    <mergeCell ref="AW258:BD258"/>
    <mergeCell ref="AW259:BD259"/>
    <mergeCell ref="AW260:BD260"/>
    <mergeCell ref="BE253:BL253"/>
    <mergeCell ref="BE266:BL266"/>
    <mergeCell ref="AW254:BD254"/>
    <mergeCell ref="AW255:BD255"/>
    <mergeCell ref="BE261:BL261"/>
    <mergeCell ref="BE248:BL248"/>
    <mergeCell ref="BE249:BL249"/>
    <mergeCell ref="BE268:BL268"/>
    <mergeCell ref="AO271:AV271"/>
    <mergeCell ref="BE254:BL254"/>
    <mergeCell ref="BE265:BL265"/>
    <mergeCell ref="BE263:BL263"/>
    <mergeCell ref="BE264:BL264"/>
    <mergeCell ref="AW265:BD265"/>
    <mergeCell ref="AW256:BD256"/>
    <mergeCell ref="A224:F224"/>
    <mergeCell ref="A225:F225"/>
    <mergeCell ref="A226:F226"/>
    <mergeCell ref="A227:F227"/>
    <mergeCell ref="A232:F232"/>
    <mergeCell ref="A233:F233"/>
    <mergeCell ref="A239:F239"/>
    <mergeCell ref="A240:F240"/>
    <mergeCell ref="A280:F280"/>
    <mergeCell ref="A281:F281"/>
    <mergeCell ref="AO275:AV275"/>
    <mergeCell ref="AO276:AV276"/>
    <mergeCell ref="AO277:AV277"/>
    <mergeCell ref="AO278:AV278"/>
    <mergeCell ref="AO279:AV279"/>
    <mergeCell ref="AO280:AV280"/>
    <mergeCell ref="BE255:BL255"/>
    <mergeCell ref="BE256:BL256"/>
    <mergeCell ref="BE257:BL257"/>
    <mergeCell ref="BE258:BL258"/>
    <mergeCell ref="AW261:BD261"/>
    <mergeCell ref="AW262:BD262"/>
    <mergeCell ref="BE259:BL259"/>
    <mergeCell ref="BE260:BL260"/>
    <mergeCell ref="AW257:BD257"/>
    <mergeCell ref="AO257:AV257"/>
    <mergeCell ref="AO273:AV273"/>
    <mergeCell ref="AO274:AV274"/>
    <mergeCell ref="AO272:AV272"/>
    <mergeCell ref="AO269:AV269"/>
    <mergeCell ref="AW269:BD269"/>
    <mergeCell ref="AW272:BD272"/>
    <mergeCell ref="A245:F245"/>
    <mergeCell ref="A234:F234"/>
    <mergeCell ref="A235:F235"/>
    <mergeCell ref="A236:F236"/>
    <mergeCell ref="A282:F282"/>
    <mergeCell ref="A283:F283"/>
    <mergeCell ref="A263:F263"/>
    <mergeCell ref="A264:F264"/>
    <mergeCell ref="A265:F265"/>
    <mergeCell ref="A266:F266"/>
    <mergeCell ref="A246:F246"/>
    <mergeCell ref="A247:F247"/>
    <mergeCell ref="A248:F248"/>
    <mergeCell ref="A249:F249"/>
    <mergeCell ref="A228:F228"/>
    <mergeCell ref="A229:F229"/>
    <mergeCell ref="A230:F230"/>
    <mergeCell ref="A231:F231"/>
    <mergeCell ref="A237:F237"/>
    <mergeCell ref="A244:F244"/>
    <mergeCell ref="A276:F276"/>
    <mergeCell ref="A277:F277"/>
    <mergeCell ref="A250:F250"/>
    <mergeCell ref="A251:F251"/>
    <mergeCell ref="A279:F279"/>
    <mergeCell ref="A269:F269"/>
    <mergeCell ref="A274:F274"/>
    <mergeCell ref="A275:F275"/>
    <mergeCell ref="A278:F278"/>
    <mergeCell ref="A270:F270"/>
    <mergeCell ref="G250:Y250"/>
    <mergeCell ref="A260:F260"/>
    <mergeCell ref="A261:F261"/>
    <mergeCell ref="A262:F262"/>
    <mergeCell ref="A256:F256"/>
    <mergeCell ref="A257:F257"/>
    <mergeCell ref="A252:F252"/>
    <mergeCell ref="A253:F253"/>
    <mergeCell ref="A258:F258"/>
    <mergeCell ref="A259:F259"/>
    <mergeCell ref="G276:Y276"/>
    <mergeCell ref="G277:Y277"/>
  </mergeCells>
  <phoneticPr fontId="0" type="noConversion"/>
  <conditionalFormatting sqref="G256:G263">
    <cfRule type="cellIs" dxfId="1" priority="4" stopIfTrue="1" operator="equal">
      <formula>#REF!</formula>
    </cfRule>
  </conditionalFormatting>
  <conditionalFormatting sqref="D69:I69">
    <cfRule type="cellIs" dxfId="0" priority="10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7" fitToHeight="500" orientation="landscape" r:id="rId1"/>
  <headerFooter alignWithMargins="0"/>
  <rowBreaks count="10" manualBreakCount="10">
    <brk id="35" max="64" man="1"/>
    <brk id="144" max="64" man="1"/>
    <brk id="171" max="64" man="1"/>
    <brk id="196" max="64" man="1"/>
    <brk id="218" max="64" man="1"/>
    <brk id="241" max="64" man="1"/>
    <brk id="263" max="64" man="1"/>
    <brk id="284" max="64" man="1"/>
    <brk id="313" max="64" man="1"/>
    <brk id="334" max="6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1416030</vt:lpstr>
      <vt:lpstr>'1416030'!Область_друку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2021-07-27T11:29:33Z</cp:lastPrinted>
  <dcterms:created xsi:type="dcterms:W3CDTF">2016-08-15T09:54:21Z</dcterms:created>
  <dcterms:modified xsi:type="dcterms:W3CDTF">2021-07-28T06:37:37Z</dcterms:modified>
</cp:coreProperties>
</file>