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O:\BUDJET\2019\"/>
    </mc:Choice>
  </mc:AlternateContent>
  <xr:revisionPtr revIDLastSave="0" documentId="13_ncr:1_{B52D6174-AEDC-44C0-B595-26E81663746A}" xr6:coauthVersionLast="38" xr6:coauthVersionMax="38" xr10:uidLastSave="{00000000-0000-0000-0000-000000000000}"/>
  <bookViews>
    <workbookView xWindow="0" yWindow="0" windowWidth="21570" windowHeight="8625" tabRatio="585" activeTab="2" xr2:uid="{00000000-000D-0000-FFFF-FFFF00000000}"/>
  </bookViews>
  <sheets>
    <sheet name="дод1" sheetId="126" r:id="rId1"/>
    <sheet name="dod2" sheetId="127" r:id="rId2"/>
    <sheet name="dod3" sheetId="97" r:id="rId3"/>
    <sheet name="dod4" sheetId="107" r:id="rId4"/>
    <sheet name="dod5" sheetId="98" r:id="rId5"/>
    <sheet name="dod6" sheetId="108" r:id="rId6"/>
    <sheet name="dod7" sheetId="116" r:id="rId7"/>
    <sheet name="dod8" sheetId="125" r:id="rId8"/>
    <sheet name="dod9" sheetId="128" r:id="rId9"/>
  </sheets>
  <definedNames>
    <definedName name="_GoBack" localSheetId="4">'dod5'!#REF!</definedName>
    <definedName name="_xlnm.Print_Titles" localSheetId="2">'dod3'!$8:$11</definedName>
    <definedName name="_xlnm.Print_Titles" localSheetId="4">'dod5'!$4:$5</definedName>
    <definedName name="_xlnm.Print_Titles" localSheetId="7">'dod8'!$8:$10</definedName>
    <definedName name="_xlnm.Print_Area" localSheetId="1">'dod2'!$A$1:$F$38</definedName>
    <definedName name="_xlnm.Print_Area" localSheetId="2">'dod3'!$A$1:$Q$170</definedName>
    <definedName name="_xlnm.Print_Area" localSheetId="3">'dod4'!$B$1:$Q$18</definedName>
    <definedName name="_xlnm.Print_Area" localSheetId="4">'dod5'!$A$1:$J$119</definedName>
    <definedName name="_xlnm.Print_Area" localSheetId="5">'dod6'!$A$1:$E$35</definedName>
    <definedName name="_xlnm.Print_Area" localSheetId="6">'dod7'!$A$1:$F$18</definedName>
    <definedName name="_xlnm.Print_Area" localSheetId="7">'dod8'!$A$1:$J$165</definedName>
    <definedName name="_xlnm.Print_Area" localSheetId="0">дод1!$A$1:$F$102</definedName>
    <definedName name="С16" localSheetId="1">#REF!</definedName>
    <definedName name="С16" localSheetId="7">#REF!</definedName>
    <definedName name="С16" localSheetId="0">#REF!</definedName>
    <definedName name="С16">#REF!</definedName>
  </definedNames>
  <calcPr calcId="181029"/>
</workbook>
</file>

<file path=xl/calcChain.xml><?xml version="1.0" encoding="utf-8"?>
<calcChain xmlns="http://schemas.openxmlformats.org/spreadsheetml/2006/main">
  <c r="G43" i="125" l="1"/>
  <c r="G42" i="125" s="1"/>
  <c r="G31" i="125"/>
  <c r="G29" i="125"/>
  <c r="G28" i="125"/>
  <c r="G27" i="125"/>
  <c r="G26" i="125"/>
  <c r="G25" i="125"/>
  <c r="G24" i="125"/>
  <c r="G23" i="125"/>
  <c r="G22" i="125"/>
  <c r="G21" i="125"/>
  <c r="G20" i="125"/>
  <c r="G19" i="125"/>
  <c r="G16" i="125"/>
  <c r="G14" i="125"/>
  <c r="G13" i="125"/>
  <c r="G17" i="125"/>
  <c r="G13" i="116"/>
  <c r="J14" i="98" l="1"/>
  <c r="J44" i="98"/>
  <c r="J78" i="98"/>
  <c r="I21" i="98"/>
  <c r="K164" i="97"/>
  <c r="H164" i="97"/>
  <c r="N156" i="97"/>
  <c r="M156" i="97"/>
  <c r="L156" i="97"/>
  <c r="K156" i="97"/>
  <c r="J156" i="97"/>
  <c r="I156" i="97"/>
  <c r="H156" i="97"/>
  <c r="G156" i="97"/>
  <c r="F156" i="97"/>
  <c r="E156" i="97"/>
  <c r="N151" i="97"/>
  <c r="M151" i="97"/>
  <c r="L151" i="97"/>
  <c r="K151" i="97"/>
  <c r="J151" i="97"/>
  <c r="I151" i="97"/>
  <c r="H151" i="97"/>
  <c r="G151" i="97"/>
  <c r="F151" i="97"/>
  <c r="E151" i="97"/>
  <c r="N146" i="97"/>
  <c r="M146" i="97"/>
  <c r="L146" i="97"/>
  <c r="K146" i="97"/>
  <c r="J146" i="97"/>
  <c r="I146" i="97"/>
  <c r="H146" i="97"/>
  <c r="G146" i="97"/>
  <c r="F146" i="97"/>
  <c r="E146" i="97"/>
  <c r="N140" i="97"/>
  <c r="M140" i="97"/>
  <c r="L140" i="97"/>
  <c r="K140" i="97"/>
  <c r="J140" i="97"/>
  <c r="I140" i="97"/>
  <c r="H140" i="97"/>
  <c r="G140" i="97"/>
  <c r="F140" i="97"/>
  <c r="E140" i="97"/>
  <c r="N136" i="97"/>
  <c r="M136" i="97"/>
  <c r="L136" i="97"/>
  <c r="K136" i="97"/>
  <c r="J136" i="97"/>
  <c r="I136" i="97"/>
  <c r="H136" i="97"/>
  <c r="G136" i="97"/>
  <c r="F136" i="97"/>
  <c r="E136" i="97"/>
  <c r="N130" i="97"/>
  <c r="M130" i="97"/>
  <c r="L130" i="97"/>
  <c r="K130" i="97"/>
  <c r="J130" i="97"/>
  <c r="I130" i="97"/>
  <c r="H130" i="97"/>
  <c r="G130" i="97"/>
  <c r="F130" i="97"/>
  <c r="E130" i="97"/>
  <c r="N111" i="97"/>
  <c r="M111" i="97"/>
  <c r="L111" i="97"/>
  <c r="K111" i="97"/>
  <c r="J111" i="97"/>
  <c r="I111" i="97"/>
  <c r="H111" i="97"/>
  <c r="G111" i="97"/>
  <c r="F111" i="97"/>
  <c r="E111" i="97"/>
  <c r="N96" i="97"/>
  <c r="M96" i="97"/>
  <c r="L96" i="97"/>
  <c r="K96" i="97"/>
  <c r="J96" i="97"/>
  <c r="I96" i="97"/>
  <c r="H96" i="97"/>
  <c r="G96" i="97"/>
  <c r="F96" i="97"/>
  <c r="E96" i="97"/>
  <c r="N87" i="97"/>
  <c r="M87" i="97"/>
  <c r="L87" i="97"/>
  <c r="K87" i="97"/>
  <c r="J87" i="97"/>
  <c r="I87" i="97"/>
  <c r="H87" i="97"/>
  <c r="G87" i="97"/>
  <c r="F87" i="97"/>
  <c r="E87" i="97"/>
  <c r="N45" i="97"/>
  <c r="M45" i="97"/>
  <c r="L45" i="97"/>
  <c r="K45" i="97"/>
  <c r="J45" i="97"/>
  <c r="I45" i="97"/>
  <c r="H45" i="97"/>
  <c r="G45" i="97"/>
  <c r="F45" i="97"/>
  <c r="E45" i="97"/>
  <c r="N33" i="97"/>
  <c r="M33" i="97"/>
  <c r="L33" i="97"/>
  <c r="K33" i="97"/>
  <c r="J33" i="97"/>
  <c r="I33" i="97"/>
  <c r="H33" i="97"/>
  <c r="G33" i="97"/>
  <c r="F33" i="97"/>
  <c r="E33" i="97"/>
  <c r="N22" i="97"/>
  <c r="L22" i="97"/>
  <c r="K22" i="97"/>
  <c r="J22" i="97"/>
  <c r="H22" i="97"/>
  <c r="E22" i="97"/>
  <c r="P22" i="97"/>
  <c r="M22" i="97"/>
  <c r="I22" i="97"/>
  <c r="G22" i="97"/>
  <c r="F22" i="97"/>
  <c r="F12" i="97"/>
  <c r="G12" i="97"/>
  <c r="H12" i="97"/>
  <c r="I12" i="97"/>
  <c r="J12" i="97"/>
  <c r="K12" i="97"/>
  <c r="L12" i="97"/>
  <c r="M12" i="97"/>
  <c r="N12" i="97"/>
  <c r="E12" i="97"/>
  <c r="G164" i="97"/>
  <c r="I88" i="97"/>
  <c r="E153" i="97"/>
  <c r="R13" i="97"/>
  <c r="G46" i="97"/>
  <c r="H46" i="97"/>
  <c r="I46" i="97"/>
  <c r="G23" i="97"/>
  <c r="F13" i="97"/>
  <c r="H13" i="97"/>
  <c r="J154" i="125" l="1"/>
  <c r="J153" i="125"/>
  <c r="F164" i="97" l="1"/>
  <c r="E164" i="97" s="1"/>
  <c r="K157" i="97" l="1"/>
  <c r="G131" i="107" l="1"/>
  <c r="G131" i="98"/>
  <c r="G131" i="108"/>
  <c r="G131" i="116"/>
  <c r="G130" i="107"/>
  <c r="G130" i="98"/>
  <c r="G130" i="108"/>
  <c r="G130" i="116"/>
  <c r="G128" i="107"/>
  <c r="G128" i="98"/>
  <c r="G128" i="108"/>
  <c r="G128" i="116"/>
  <c r="G128" i="125"/>
  <c r="G129" i="116"/>
  <c r="G129" i="108"/>
  <c r="G129" i="98"/>
  <c r="G129" i="107"/>
  <c r="G126" i="107"/>
  <c r="G126" i="98"/>
  <c r="G126" i="108"/>
  <c r="G126" i="116"/>
  <c r="G126" i="125"/>
  <c r="G127" i="107"/>
  <c r="G127" i="98"/>
  <c r="G127" i="108"/>
  <c r="G127" i="116"/>
  <c r="G124" i="107"/>
  <c r="G124" i="98"/>
  <c r="G124" i="108"/>
  <c r="G124" i="116"/>
  <c r="G123" i="107"/>
  <c r="G123" i="98"/>
  <c r="G123" i="108"/>
  <c r="G123" i="116"/>
  <c r="G122" i="107"/>
  <c r="G122" i="98"/>
  <c r="G122" i="108"/>
  <c r="G122" i="116"/>
  <c r="G121" i="107"/>
  <c r="G121" i="98"/>
  <c r="G121" i="108"/>
  <c r="G121" i="116"/>
  <c r="G120" i="107"/>
  <c r="G120" i="98"/>
  <c r="G120" i="108"/>
  <c r="G120" i="116"/>
  <c r="G119" i="107"/>
  <c r="G119" i="108"/>
  <c r="G119" i="116"/>
  <c r="G118" i="107"/>
  <c r="G118" i="108"/>
  <c r="G118" i="116"/>
  <c r="G117" i="107"/>
  <c r="G117" i="108"/>
  <c r="G117" i="116"/>
  <c r="G116" i="107"/>
  <c r="G116" i="108"/>
  <c r="G116" i="116"/>
  <c r="G115" i="107"/>
  <c r="G115" i="108"/>
  <c r="G115" i="116"/>
  <c r="G114" i="107"/>
  <c r="G114" i="108"/>
  <c r="G114" i="116"/>
  <c r="G112" i="107"/>
  <c r="G112" i="108"/>
  <c r="G112" i="116"/>
  <c r="G72" i="107"/>
  <c r="G72" i="108"/>
  <c r="G72" i="116"/>
  <c r="G70" i="107"/>
  <c r="G70" i="108"/>
  <c r="G70" i="116"/>
  <c r="G69" i="107"/>
  <c r="G69" i="108"/>
  <c r="G69" i="116"/>
  <c r="G68" i="107"/>
  <c r="G68" i="108"/>
  <c r="G68" i="116"/>
  <c r="G67" i="107"/>
  <c r="G67" i="108"/>
  <c r="G67" i="116"/>
  <c r="G65" i="107"/>
  <c r="G65" i="108"/>
  <c r="G65" i="116"/>
  <c r="G64" i="107"/>
  <c r="G64" i="108"/>
  <c r="G64" i="116"/>
  <c r="G63" i="107"/>
  <c r="G63" i="108"/>
  <c r="G63" i="116"/>
  <c r="G62" i="107"/>
  <c r="G62" i="108"/>
  <c r="G62" i="116"/>
  <c r="G61" i="107"/>
  <c r="G61" i="108"/>
  <c r="G61" i="116"/>
  <c r="G60" i="107"/>
  <c r="G60" i="108"/>
  <c r="G60" i="116"/>
  <c r="G59" i="107"/>
  <c r="G59" i="108"/>
  <c r="G59" i="116"/>
  <c r="G58" i="107"/>
  <c r="G58" i="108"/>
  <c r="G58" i="116"/>
  <c r="G57" i="107"/>
  <c r="G57" i="108"/>
  <c r="G57" i="116"/>
  <c r="G56" i="107"/>
  <c r="G56" i="108"/>
  <c r="G56" i="116"/>
  <c r="G55" i="107"/>
  <c r="G55" i="108"/>
  <c r="G55" i="116"/>
  <c r="G54" i="107"/>
  <c r="G54" i="108"/>
  <c r="G54" i="116"/>
  <c r="G53" i="107"/>
  <c r="G53" i="108"/>
  <c r="G53" i="116"/>
  <c r="G52" i="107"/>
  <c r="G52" i="108"/>
  <c r="G52" i="116"/>
  <c r="G51" i="107"/>
  <c r="G51" i="108"/>
  <c r="G51" i="116"/>
  <c r="G50" i="107"/>
  <c r="G50" i="108"/>
  <c r="G50" i="116"/>
  <c r="G49" i="107"/>
  <c r="G49" i="108"/>
  <c r="G49" i="116"/>
  <c r="G48" i="107"/>
  <c r="G48" i="108"/>
  <c r="G48" i="116"/>
  <c r="G47" i="107"/>
  <c r="G47" i="108"/>
  <c r="G47" i="116"/>
  <c r="G45" i="107"/>
  <c r="G45" i="108"/>
  <c r="G45" i="116"/>
  <c r="G23" i="107"/>
  <c r="G23" i="108"/>
  <c r="G23" i="116"/>
  <c r="G22" i="107"/>
  <c r="G22" i="108"/>
  <c r="G22" i="116"/>
  <c r="G21" i="107"/>
  <c r="G21" i="108"/>
  <c r="G21" i="116"/>
  <c r="G20" i="107"/>
  <c r="G20" i="108"/>
  <c r="G20" i="116"/>
  <c r="G19" i="107"/>
  <c r="G19" i="108"/>
  <c r="G19" i="116"/>
  <c r="G18" i="116" s="1"/>
  <c r="G16" i="97"/>
  <c r="G16" i="108"/>
  <c r="G16" i="116"/>
  <c r="G14" i="108"/>
  <c r="G14" i="116"/>
  <c r="G13" i="107"/>
  <c r="G13" i="108"/>
  <c r="G139" i="107"/>
  <c r="G139" i="98"/>
  <c r="G139" i="108"/>
  <c r="G139" i="116"/>
  <c r="G139" i="125"/>
  <c r="K158" i="107"/>
  <c r="K158" i="98"/>
  <c r="K158" i="108"/>
  <c r="K158" i="116"/>
  <c r="C34" i="127" l="1"/>
  <c r="C32" i="127"/>
  <c r="C31" i="127"/>
  <c r="C30" i="127"/>
  <c r="C15" i="127"/>
  <c r="C14" i="127"/>
  <c r="C13" i="127"/>
  <c r="F12" i="127"/>
  <c r="E12" i="127"/>
  <c r="D12" i="127"/>
  <c r="C97" i="126"/>
  <c r="C96" i="126"/>
  <c r="C95" i="126"/>
  <c r="C94" i="126"/>
  <c r="D93" i="126"/>
  <c r="C93" i="126" s="1"/>
  <c r="C92" i="126"/>
  <c r="C91" i="126"/>
  <c r="C89" i="126"/>
  <c r="C88" i="126"/>
  <c r="C87" i="126"/>
  <c r="E86" i="126"/>
  <c r="D86" i="126"/>
  <c r="C80" i="126"/>
  <c r="C79" i="126"/>
  <c r="F78" i="126"/>
  <c r="F77" i="126" s="1"/>
  <c r="F73" i="126" s="1"/>
  <c r="E78" i="126"/>
  <c r="C78" i="126" s="1"/>
  <c r="E77" i="126"/>
  <c r="C77" i="126" s="1"/>
  <c r="C76" i="126"/>
  <c r="C75" i="126"/>
  <c r="F74" i="126"/>
  <c r="E74" i="126"/>
  <c r="C74" i="126" s="1"/>
  <c r="D73" i="126"/>
  <c r="C72" i="126"/>
  <c r="C71" i="126"/>
  <c r="C70" i="126"/>
  <c r="C69" i="126"/>
  <c r="C68" i="126"/>
  <c r="C67" i="126"/>
  <c r="E65" i="126"/>
  <c r="C65" i="126" s="1"/>
  <c r="D64" i="126"/>
  <c r="C63" i="126"/>
  <c r="C62" i="126"/>
  <c r="C61" i="126"/>
  <c r="E60" i="126"/>
  <c r="D60" i="126"/>
  <c r="C60" i="126" s="1"/>
  <c r="C59" i="126"/>
  <c r="C58" i="126"/>
  <c r="C57" i="126"/>
  <c r="D56" i="126"/>
  <c r="C56" i="126" s="1"/>
  <c r="C55" i="126"/>
  <c r="C54" i="126"/>
  <c r="D51" i="126"/>
  <c r="C51" i="126" s="1"/>
  <c r="C50" i="126"/>
  <c r="C49" i="126"/>
  <c r="C48" i="126"/>
  <c r="D47" i="126"/>
  <c r="C47" i="126" s="1"/>
  <c r="C45" i="126"/>
  <c r="F44" i="126"/>
  <c r="C43" i="126"/>
  <c r="C42" i="126"/>
  <c r="C41" i="126"/>
  <c r="D40" i="126"/>
  <c r="C40" i="126"/>
  <c r="C39" i="126"/>
  <c r="C38" i="126"/>
  <c r="D37" i="126"/>
  <c r="C37" i="126"/>
  <c r="C36" i="126"/>
  <c r="C35" i="126"/>
  <c r="D34" i="126"/>
  <c r="C34" i="126"/>
  <c r="C33" i="126"/>
  <c r="C32" i="126"/>
  <c r="C31" i="126"/>
  <c r="C30" i="126"/>
  <c r="C29" i="126"/>
  <c r="C28" i="126"/>
  <c r="C27" i="126"/>
  <c r="C26" i="126"/>
  <c r="C25" i="126"/>
  <c r="C24" i="126"/>
  <c r="D23" i="126"/>
  <c r="D22" i="126" s="1"/>
  <c r="C22" i="126" s="1"/>
  <c r="C23" i="126"/>
  <c r="C19" i="126"/>
  <c r="C18" i="126"/>
  <c r="C17" i="126"/>
  <c r="C16" i="126"/>
  <c r="C15" i="126"/>
  <c r="C14" i="126"/>
  <c r="C13" i="126"/>
  <c r="D12" i="126"/>
  <c r="C12" i="126" s="1"/>
  <c r="F82" i="126" l="1"/>
  <c r="F98" i="126" s="1"/>
  <c r="E73" i="126"/>
  <c r="C73" i="126" s="1"/>
  <c r="D11" i="126"/>
  <c r="C11" i="126" s="1"/>
  <c r="E64" i="126"/>
  <c r="E44" i="126" s="1"/>
  <c r="C86" i="126"/>
  <c r="C12" i="127"/>
  <c r="D10" i="126"/>
  <c r="D44" i="126"/>
  <c r="C44" i="126" s="1"/>
  <c r="C64" i="126"/>
  <c r="D83" i="126"/>
  <c r="E82" i="126" l="1"/>
  <c r="E98" i="126" s="1"/>
  <c r="D82" i="126"/>
  <c r="C10" i="126"/>
  <c r="D98" i="126" l="1"/>
  <c r="C98" i="126" s="1"/>
  <c r="C82" i="126"/>
  <c r="H156" i="125" l="1"/>
  <c r="J152" i="125"/>
  <c r="J151" i="125" s="1"/>
  <c r="H155" i="125"/>
  <c r="P127" i="97"/>
  <c r="J127" i="97" s="1"/>
  <c r="P85" i="97"/>
  <c r="P79" i="97"/>
  <c r="P138" i="97"/>
  <c r="J138" i="97" s="1"/>
  <c r="P139" i="97"/>
  <c r="P142" i="97"/>
  <c r="P143" i="97"/>
  <c r="P144" i="97"/>
  <c r="J144" i="97" s="1"/>
  <c r="P145" i="97"/>
  <c r="J145" i="97" s="1"/>
  <c r="P148" i="97"/>
  <c r="J148" i="97" s="1"/>
  <c r="P149" i="97"/>
  <c r="P150" i="97"/>
  <c r="P153" i="97"/>
  <c r="J153" i="97" s="1"/>
  <c r="P154" i="97"/>
  <c r="P155" i="97"/>
  <c r="P158" i="97"/>
  <c r="J158" i="97" s="1"/>
  <c r="P159" i="97"/>
  <c r="J159" i="97" s="1"/>
  <c r="P160" i="97"/>
  <c r="P161" i="97"/>
  <c r="P114" i="97"/>
  <c r="J114" i="97" s="1"/>
  <c r="P115" i="97"/>
  <c r="J115" i="97" s="1"/>
  <c r="P116" i="97"/>
  <c r="P117" i="97"/>
  <c r="J117" i="97" s="1"/>
  <c r="P118" i="97"/>
  <c r="J118" i="97" s="1"/>
  <c r="P119" i="97"/>
  <c r="J119" i="97" s="1"/>
  <c r="P120" i="97"/>
  <c r="P121" i="97"/>
  <c r="J121" i="97" s="1"/>
  <c r="P122" i="97"/>
  <c r="J122" i="97" s="1"/>
  <c r="P123" i="97"/>
  <c r="J123" i="97" s="1"/>
  <c r="P124" i="97"/>
  <c r="P129" i="97"/>
  <c r="P132" i="97"/>
  <c r="J132" i="97" s="1"/>
  <c r="P133" i="97"/>
  <c r="J133" i="97" s="1"/>
  <c r="P134" i="97"/>
  <c r="P135" i="97"/>
  <c r="P89" i="97"/>
  <c r="J89" i="97" s="1"/>
  <c r="P90" i="97"/>
  <c r="J90" i="97" s="1"/>
  <c r="P91" i="97"/>
  <c r="P92" i="97"/>
  <c r="P93" i="97"/>
  <c r="J93" i="97" s="1"/>
  <c r="P94" i="97"/>
  <c r="J94" i="97" s="1"/>
  <c r="P95" i="97"/>
  <c r="P98" i="97"/>
  <c r="J98" i="97" s="1"/>
  <c r="P99" i="97"/>
  <c r="J99" i="97" s="1"/>
  <c r="P100" i="97"/>
  <c r="J100" i="97" s="1"/>
  <c r="P101" i="97"/>
  <c r="P102" i="97"/>
  <c r="J102" i="97" s="1"/>
  <c r="P103" i="97"/>
  <c r="P104" i="97"/>
  <c r="J104" i="97" s="1"/>
  <c r="P105" i="97"/>
  <c r="P106" i="97"/>
  <c r="J106" i="97" s="1"/>
  <c r="P107" i="97"/>
  <c r="J107" i="97" s="1"/>
  <c r="P108" i="97"/>
  <c r="J108" i="97" s="1"/>
  <c r="P109" i="97"/>
  <c r="P113" i="97"/>
  <c r="P72" i="97"/>
  <c r="J72" i="97" s="1"/>
  <c r="P73" i="97"/>
  <c r="J73" i="97" s="1"/>
  <c r="P74" i="97"/>
  <c r="P75" i="97"/>
  <c r="J75" i="97" s="1"/>
  <c r="P76" i="97"/>
  <c r="J76" i="97" s="1"/>
  <c r="P77" i="97"/>
  <c r="J77" i="97" s="1"/>
  <c r="P78" i="97"/>
  <c r="J79" i="97"/>
  <c r="P82" i="97"/>
  <c r="J82" i="97" s="1"/>
  <c r="P83" i="97"/>
  <c r="J83" i="97" s="1"/>
  <c r="P84" i="97"/>
  <c r="P51" i="97"/>
  <c r="J51" i="97" s="1"/>
  <c r="P52" i="97"/>
  <c r="J52" i="97" s="1"/>
  <c r="P53" i="97"/>
  <c r="J53" i="97" s="1"/>
  <c r="P54" i="97"/>
  <c r="J54" i="97" s="1"/>
  <c r="P55" i="97"/>
  <c r="J55" i="97" s="1"/>
  <c r="P56" i="97"/>
  <c r="J56" i="97" s="1"/>
  <c r="P57" i="97"/>
  <c r="J57" i="97" s="1"/>
  <c r="P58" i="97"/>
  <c r="J58" i="97" s="1"/>
  <c r="P59" i="97"/>
  <c r="P60" i="97"/>
  <c r="P61" i="97"/>
  <c r="J61" i="97" s="1"/>
  <c r="P62" i="97"/>
  <c r="J62" i="97" s="1"/>
  <c r="P63" i="97"/>
  <c r="J63" i="97" s="1"/>
  <c r="P64" i="97"/>
  <c r="J64" i="97" s="1"/>
  <c r="P65" i="97"/>
  <c r="J65" i="97" s="1"/>
  <c r="P66" i="97"/>
  <c r="J66" i="97" s="1"/>
  <c r="P67" i="97"/>
  <c r="J67" i="97" s="1"/>
  <c r="P68" i="97"/>
  <c r="J68" i="97" s="1"/>
  <c r="P69" i="97"/>
  <c r="J69" i="97" s="1"/>
  <c r="P70" i="97"/>
  <c r="J70" i="97" s="1"/>
  <c r="P71" i="97"/>
  <c r="J71" i="97" s="1"/>
  <c r="P37" i="97"/>
  <c r="P39" i="97"/>
  <c r="J39" i="97" s="1"/>
  <c r="P40" i="97"/>
  <c r="J40" i="97" s="1"/>
  <c r="P41" i="97"/>
  <c r="P42" i="97"/>
  <c r="J42" i="97" s="1"/>
  <c r="P43" i="97"/>
  <c r="J43" i="97" s="1"/>
  <c r="P44" i="97"/>
  <c r="J44" i="97" s="1"/>
  <c r="P47" i="97"/>
  <c r="P48" i="97"/>
  <c r="J48" i="97" s="1"/>
  <c r="P49" i="97"/>
  <c r="J49" i="97" s="1"/>
  <c r="P50" i="97"/>
  <c r="P14" i="97"/>
  <c r="J14" i="97" s="1"/>
  <c r="P15" i="97"/>
  <c r="J15" i="97" s="1"/>
  <c r="P16" i="97"/>
  <c r="J16" i="97" s="1"/>
  <c r="P17" i="97"/>
  <c r="P18" i="97"/>
  <c r="P20" i="97"/>
  <c r="J20" i="97" s="1"/>
  <c r="P21" i="97"/>
  <c r="J21" i="97" s="1"/>
  <c r="P26" i="97"/>
  <c r="J26" i="97" s="1"/>
  <c r="P28" i="97"/>
  <c r="P29" i="97"/>
  <c r="J29" i="97" s="1"/>
  <c r="P30" i="97"/>
  <c r="J30" i="97" s="1"/>
  <c r="P31" i="97"/>
  <c r="J31" i="97" s="1"/>
  <c r="P32" i="97"/>
  <c r="P35" i="97"/>
  <c r="J35" i="97" s="1"/>
  <c r="P36" i="97"/>
  <c r="J36" i="97" s="1"/>
  <c r="J91" i="97"/>
  <c r="J95" i="97"/>
  <c r="J135" i="97"/>
  <c r="J139" i="97"/>
  <c r="J50" i="97"/>
  <c r="J37" i="97"/>
  <c r="J41" i="97"/>
  <c r="J161" i="97"/>
  <c r="J160" i="97"/>
  <c r="J155" i="97"/>
  <c r="I154" i="125" s="1"/>
  <c r="J154" i="97"/>
  <c r="J150" i="97"/>
  <c r="J149" i="97"/>
  <c r="J143" i="97"/>
  <c r="J142" i="97"/>
  <c r="J134" i="97"/>
  <c r="J129" i="97"/>
  <c r="J101" i="97"/>
  <c r="J103" i="97"/>
  <c r="J105" i="97"/>
  <c r="J109" i="97"/>
  <c r="J113" i="97"/>
  <c r="J116" i="97"/>
  <c r="J120" i="97"/>
  <c r="J124" i="97"/>
  <c r="J92" i="97"/>
  <c r="J85" i="97"/>
  <c r="J84" i="97"/>
  <c r="J78" i="97"/>
  <c r="J74" i="97"/>
  <c r="J59" i="97"/>
  <c r="J60" i="97"/>
  <c r="J28" i="97"/>
  <c r="J32" i="97"/>
  <c r="J47" i="97"/>
  <c r="J18" i="97"/>
  <c r="J17" i="97"/>
  <c r="I153" i="125" l="1"/>
  <c r="I152" i="125" s="1"/>
  <c r="I151" i="125" s="1"/>
  <c r="J150" i="125"/>
  <c r="J149" i="125"/>
  <c r="H150" i="125"/>
  <c r="H138" i="125"/>
  <c r="H137" i="125" s="1"/>
  <c r="I138" i="125"/>
  <c r="I137" i="125" s="1"/>
  <c r="H133" i="125"/>
  <c r="H132" i="125" s="1"/>
  <c r="J148" i="125" l="1"/>
  <c r="J147" i="125" s="1"/>
  <c r="G138" i="125"/>
  <c r="G137" i="125" s="1"/>
  <c r="J139" i="125"/>
  <c r="J138" i="125" s="1"/>
  <c r="J137" i="125" s="1"/>
  <c r="I65" i="98" l="1"/>
  <c r="K126" i="97"/>
  <c r="P126" i="97" s="1"/>
  <c r="J126" i="97" s="1"/>
  <c r="I101" i="98"/>
  <c r="F141" i="97"/>
  <c r="G141" i="97"/>
  <c r="H141" i="97"/>
  <c r="I141" i="97"/>
  <c r="K141" i="97"/>
  <c r="L141" i="97"/>
  <c r="M141" i="97"/>
  <c r="N141" i="97"/>
  <c r="O141" i="97"/>
  <c r="H141" i="125"/>
  <c r="H140" i="125" s="1"/>
  <c r="I141" i="125"/>
  <c r="I140" i="125" s="1"/>
  <c r="J141" i="125"/>
  <c r="J140" i="125" s="1"/>
  <c r="M146" i="125"/>
  <c r="M145" i="125"/>
  <c r="M143" i="125"/>
  <c r="L143" i="125"/>
  <c r="G144" i="125"/>
  <c r="M142" i="125"/>
  <c r="G143" i="125"/>
  <c r="G145" i="125"/>
  <c r="G146" i="125"/>
  <c r="G142" i="125"/>
  <c r="L145" i="125"/>
  <c r="L146" i="125"/>
  <c r="L142" i="125"/>
  <c r="F112" i="97"/>
  <c r="H112" i="97"/>
  <c r="I112" i="97"/>
  <c r="L112" i="97"/>
  <c r="M112" i="97"/>
  <c r="N112" i="97"/>
  <c r="O112" i="97"/>
  <c r="E127" i="97"/>
  <c r="F46" i="97"/>
  <c r="L46" i="97"/>
  <c r="M46" i="97"/>
  <c r="N46" i="97"/>
  <c r="O46" i="97"/>
  <c r="E85" i="97"/>
  <c r="I16" i="125"/>
  <c r="J16" i="125"/>
  <c r="M16" i="125" s="1"/>
  <c r="G15" i="125"/>
  <c r="J14" i="125"/>
  <c r="M14" i="125" s="1"/>
  <c r="I7" i="98"/>
  <c r="I112" i="98"/>
  <c r="J157" i="125"/>
  <c r="J156" i="125" s="1"/>
  <c r="J155" i="125" s="1"/>
  <c r="J13" i="125"/>
  <c r="I13" i="97"/>
  <c r="K13" i="97"/>
  <c r="L13" i="97"/>
  <c r="M13" i="97"/>
  <c r="N13" i="97"/>
  <c r="O13" i="97"/>
  <c r="I14" i="125"/>
  <c r="L14" i="125" s="1"/>
  <c r="I13" i="125"/>
  <c r="E78" i="97"/>
  <c r="E148" i="97"/>
  <c r="E113" i="97"/>
  <c r="E158" i="97"/>
  <c r="I157" i="125"/>
  <c r="E138" i="97"/>
  <c r="E132" i="97"/>
  <c r="G38" i="125"/>
  <c r="G39" i="125"/>
  <c r="J121" i="125"/>
  <c r="J122" i="125"/>
  <c r="J118" i="125"/>
  <c r="J119" i="125"/>
  <c r="J120" i="125"/>
  <c r="J115" i="125"/>
  <c r="J116" i="125"/>
  <c r="J117" i="125"/>
  <c r="J114" i="125"/>
  <c r="J112" i="125"/>
  <c r="I131" i="125"/>
  <c r="G131" i="125" s="1"/>
  <c r="I130" i="125"/>
  <c r="G130" i="125" s="1"/>
  <c r="P141" i="97" l="1"/>
  <c r="P13" i="97"/>
  <c r="J13" i="97" s="1"/>
  <c r="G157" i="125"/>
  <c r="G156" i="125" s="1"/>
  <c r="G155" i="125" s="1"/>
  <c r="I156" i="125"/>
  <c r="I155" i="125" s="1"/>
  <c r="I111" i="98"/>
  <c r="G112" i="98"/>
  <c r="J141" i="97"/>
  <c r="M140" i="125"/>
  <c r="G141" i="125"/>
  <c r="G140" i="125" s="1"/>
  <c r="J129" i="125"/>
  <c r="J12" i="125"/>
  <c r="J11" i="125" s="1"/>
  <c r="Q127" i="97"/>
  <c r="R127" i="97" s="1"/>
  <c r="Q85" i="97"/>
  <c r="R85" i="97" s="1"/>
  <c r="I12" i="125"/>
  <c r="I11" i="125" s="1"/>
  <c r="L16" i="125"/>
  <c r="Q158" i="97"/>
  <c r="Q78" i="97"/>
  <c r="Q148" i="97"/>
  <c r="Q113" i="97"/>
  <c r="Q138" i="97"/>
  <c r="Q153" i="97"/>
  <c r="Q132" i="97"/>
  <c r="I122" i="125" l="1"/>
  <c r="E123" i="97"/>
  <c r="H122" i="125" s="1"/>
  <c r="G122" i="125" s="1"/>
  <c r="J123" i="125" l="1"/>
  <c r="J111" i="125" s="1"/>
  <c r="J110" i="125" s="1"/>
  <c r="Q123" i="97"/>
  <c r="I34" i="98"/>
  <c r="I30" i="98" s="1"/>
  <c r="K81" i="97"/>
  <c r="I28" i="98"/>
  <c r="K38" i="97"/>
  <c r="P38" i="97" s="1"/>
  <c r="J38" i="97" s="1"/>
  <c r="K46" i="97" l="1"/>
  <c r="P46" i="97" s="1"/>
  <c r="J46" i="97" s="1"/>
  <c r="P81" i="97"/>
  <c r="J81" i="97" s="1"/>
  <c r="E35" i="97"/>
  <c r="E47" i="97"/>
  <c r="H79" i="125"/>
  <c r="Q35" i="97" l="1"/>
  <c r="Q47" i="97"/>
  <c r="E122" i="97"/>
  <c r="H121" i="125" s="1"/>
  <c r="I121" i="125"/>
  <c r="I56" i="98"/>
  <c r="G121" i="125" l="1"/>
  <c r="Q122" i="97"/>
  <c r="H25" i="97" l="1"/>
  <c r="F25" i="97"/>
  <c r="J35" i="125"/>
  <c r="G36" i="125"/>
  <c r="J75" i="125"/>
  <c r="I75" i="125"/>
  <c r="I70" i="125"/>
  <c r="J70" i="125"/>
  <c r="I71" i="125"/>
  <c r="J71" i="125"/>
  <c r="I66" i="125"/>
  <c r="J66" i="125"/>
  <c r="I64" i="125"/>
  <c r="J64" i="125"/>
  <c r="I65" i="125"/>
  <c r="J65" i="125"/>
  <c r="I63" i="125"/>
  <c r="J63" i="125"/>
  <c r="I60" i="125"/>
  <c r="J60" i="125"/>
  <c r="I61" i="125"/>
  <c r="J61" i="125"/>
  <c r="I62" i="125"/>
  <c r="J62" i="125"/>
  <c r="I54" i="125"/>
  <c r="J54" i="125"/>
  <c r="I55" i="125"/>
  <c r="J55" i="125"/>
  <c r="I56" i="125"/>
  <c r="J56" i="125"/>
  <c r="I57" i="125"/>
  <c r="J57" i="125"/>
  <c r="I58" i="125"/>
  <c r="J58" i="125"/>
  <c r="I59" i="125"/>
  <c r="J59" i="125"/>
  <c r="J53" i="125"/>
  <c r="I53" i="125"/>
  <c r="I45" i="125"/>
  <c r="J45" i="125"/>
  <c r="I46" i="125"/>
  <c r="J46" i="125"/>
  <c r="I47" i="125"/>
  <c r="J47" i="125"/>
  <c r="J44" i="125"/>
  <c r="E84" i="97"/>
  <c r="J29" i="125"/>
  <c r="H29" i="125"/>
  <c r="J28" i="125"/>
  <c r="J27" i="125"/>
  <c r="J26" i="125"/>
  <c r="J25" i="125"/>
  <c r="J22" i="125"/>
  <c r="K25" i="97"/>
  <c r="P25" i="97" s="1"/>
  <c r="J25" i="97" s="1"/>
  <c r="K27" i="97"/>
  <c r="I29" i="125"/>
  <c r="I23" i="97"/>
  <c r="L23" i="97"/>
  <c r="M23" i="97"/>
  <c r="N23" i="97"/>
  <c r="O23" i="97"/>
  <c r="I17" i="98"/>
  <c r="I13" i="98"/>
  <c r="I12" i="98"/>
  <c r="K24" i="97"/>
  <c r="G105" i="97"/>
  <c r="F30" i="97"/>
  <c r="F131" i="97"/>
  <c r="G131" i="97"/>
  <c r="H131" i="97"/>
  <c r="I131" i="97"/>
  <c r="K131" i="97"/>
  <c r="L131" i="97"/>
  <c r="M131" i="97"/>
  <c r="N131" i="97"/>
  <c r="O131" i="97"/>
  <c r="O130" i="97" s="1"/>
  <c r="H29" i="97"/>
  <c r="H28" i="97"/>
  <c r="F27" i="97"/>
  <c r="F28" i="97"/>
  <c r="F29" i="97"/>
  <c r="F26" i="97"/>
  <c r="F24" i="97"/>
  <c r="H30" i="97"/>
  <c r="H27" i="97"/>
  <c r="H26" i="97"/>
  <c r="H24" i="97"/>
  <c r="J19" i="125" l="1"/>
  <c r="P24" i="97"/>
  <c r="J24" i="97" s="1"/>
  <c r="I19" i="125" s="1"/>
  <c r="J24" i="125"/>
  <c r="P27" i="97"/>
  <c r="J27" i="97" s="1"/>
  <c r="P130" i="97"/>
  <c r="P131" i="97"/>
  <c r="J131" i="97" s="1"/>
  <c r="I11" i="98"/>
  <c r="H23" i="97"/>
  <c r="F23" i="97"/>
  <c r="K23" i="97"/>
  <c r="P23" i="97" s="1"/>
  <c r="J23" i="97" s="1"/>
  <c r="J20" i="125"/>
  <c r="J18" i="125" s="1"/>
  <c r="J17" i="125" s="1"/>
  <c r="Q32" i="97"/>
  <c r="I20" i="125"/>
  <c r="I22" i="125"/>
  <c r="I25" i="125"/>
  <c r="I26" i="125"/>
  <c r="I27" i="125"/>
  <c r="I28" i="125"/>
  <c r="J41" i="125"/>
  <c r="J40" i="125"/>
  <c r="J37" i="125"/>
  <c r="J34" i="125"/>
  <c r="J33" i="125"/>
  <c r="J32" i="125"/>
  <c r="F101" i="97"/>
  <c r="J91" i="125"/>
  <c r="G92" i="125"/>
  <c r="J89" i="125"/>
  <c r="G90" i="125"/>
  <c r="K34" i="97"/>
  <c r="I32" i="125"/>
  <c r="F34" i="97"/>
  <c r="G34" i="97"/>
  <c r="H34" i="97"/>
  <c r="I34" i="97"/>
  <c r="L34" i="97"/>
  <c r="M34" i="97"/>
  <c r="N34" i="97"/>
  <c r="O34" i="97"/>
  <c r="I22" i="98"/>
  <c r="I33" i="125"/>
  <c r="I35" i="125"/>
  <c r="I37" i="125"/>
  <c r="I40" i="125"/>
  <c r="I41" i="125"/>
  <c r="P34" i="97" l="1"/>
  <c r="J34" i="97"/>
  <c r="I34" i="125"/>
  <c r="I31" i="125" s="1"/>
  <c r="I30" i="125" s="1"/>
  <c r="S23" i="97"/>
  <c r="I24" i="125"/>
  <c r="I18" i="125" s="1"/>
  <c r="I17" i="125" s="1"/>
  <c r="J31" i="125"/>
  <c r="J30" i="125" s="1"/>
  <c r="F157" i="97"/>
  <c r="G157" i="97"/>
  <c r="H157" i="97"/>
  <c r="I157" i="97"/>
  <c r="L157" i="97"/>
  <c r="M157" i="97"/>
  <c r="N157" i="97"/>
  <c r="O157" i="97"/>
  <c r="P157" i="97" s="1"/>
  <c r="J157" i="97" s="1"/>
  <c r="M17" i="125" l="1"/>
  <c r="S157" i="97"/>
  <c r="L17" i="125"/>
  <c r="M30" i="125"/>
  <c r="F152" i="97" l="1"/>
  <c r="G152" i="97"/>
  <c r="H152" i="97"/>
  <c r="I152" i="97"/>
  <c r="K152" i="97"/>
  <c r="L152" i="97"/>
  <c r="M152" i="97"/>
  <c r="N152" i="97"/>
  <c r="O152" i="97"/>
  <c r="E155" i="97"/>
  <c r="H154" i="125" s="1"/>
  <c r="G154" i="125" s="1"/>
  <c r="E154" i="97"/>
  <c r="H153" i="125" s="1"/>
  <c r="F147" i="97"/>
  <c r="G147" i="97"/>
  <c r="H147" i="97"/>
  <c r="I147" i="97"/>
  <c r="K147" i="97"/>
  <c r="L147" i="97"/>
  <c r="M147" i="97"/>
  <c r="N147" i="97"/>
  <c r="O147" i="97"/>
  <c r="I149" i="125"/>
  <c r="E149" i="97"/>
  <c r="F137" i="97"/>
  <c r="G137" i="97"/>
  <c r="H137" i="97"/>
  <c r="I137" i="97"/>
  <c r="K137" i="97"/>
  <c r="L137" i="97"/>
  <c r="M137" i="97"/>
  <c r="N137" i="97"/>
  <c r="O137" i="97"/>
  <c r="E139" i="97"/>
  <c r="E137" i="97" s="1"/>
  <c r="G153" i="125" l="1"/>
  <c r="G152" i="125" s="1"/>
  <c r="H152" i="125"/>
  <c r="H151" i="125" s="1"/>
  <c r="P147" i="97"/>
  <c r="J147" i="97" s="1"/>
  <c r="P137" i="97"/>
  <c r="J137" i="97" s="1"/>
  <c r="P152" i="97"/>
  <c r="J152" i="97" s="1"/>
  <c r="Q150" i="97"/>
  <c r="I150" i="125"/>
  <c r="G150" i="125" s="1"/>
  <c r="E147" i="97"/>
  <c r="H149" i="125"/>
  <c r="E152" i="97"/>
  <c r="Q149" i="97"/>
  <c r="Q155" i="97"/>
  <c r="Q154" i="97"/>
  <c r="Q139" i="97"/>
  <c r="I148" i="125" l="1"/>
  <c r="I147" i="125" s="1"/>
  <c r="H148" i="125"/>
  <c r="H147" i="125" s="1"/>
  <c r="G149" i="125"/>
  <c r="G148" i="125" s="1"/>
  <c r="G147" i="125" s="1"/>
  <c r="I64" i="98"/>
  <c r="E119" i="97"/>
  <c r="H118" i="125" s="1"/>
  <c r="I118" i="125"/>
  <c r="I114" i="125"/>
  <c r="I115" i="125"/>
  <c r="I116" i="125"/>
  <c r="I117" i="125"/>
  <c r="I119" i="125"/>
  <c r="I120" i="125"/>
  <c r="I123" i="125"/>
  <c r="I129" i="125"/>
  <c r="G112" i="97"/>
  <c r="E129" i="97"/>
  <c r="E126" i="97"/>
  <c r="H129" i="125" s="1"/>
  <c r="K125" i="97"/>
  <c r="E125" i="97"/>
  <c r="H124" i="125" s="1"/>
  <c r="G124" i="125" s="1"/>
  <c r="E124" i="97"/>
  <c r="H123" i="125" s="1"/>
  <c r="E121" i="97"/>
  <c r="H120" i="125" s="1"/>
  <c r="E120" i="97"/>
  <c r="H119" i="125" s="1"/>
  <c r="E118" i="97"/>
  <c r="H117" i="125" s="1"/>
  <c r="G117" i="125" s="1"/>
  <c r="E117" i="97"/>
  <c r="H116" i="125" s="1"/>
  <c r="E116" i="97"/>
  <c r="H115" i="125" s="1"/>
  <c r="E115" i="97"/>
  <c r="H114" i="125" s="1"/>
  <c r="E114" i="97"/>
  <c r="G115" i="125" l="1"/>
  <c r="G120" i="125"/>
  <c r="G129" i="125"/>
  <c r="G114" i="125"/>
  <c r="G119" i="125"/>
  <c r="G118" i="125"/>
  <c r="I51" i="98"/>
  <c r="G116" i="125"/>
  <c r="G123" i="125"/>
  <c r="K112" i="97"/>
  <c r="P112" i="97" s="1"/>
  <c r="J112" i="97" s="1"/>
  <c r="P125" i="97"/>
  <c r="J125" i="97" s="1"/>
  <c r="I112" i="125"/>
  <c r="I111" i="125" s="1"/>
  <c r="I110" i="125" s="1"/>
  <c r="E112" i="97"/>
  <c r="H112" i="125"/>
  <c r="Q126" i="97"/>
  <c r="Q116" i="97"/>
  <c r="Q115" i="97"/>
  <c r="Q120" i="97"/>
  <c r="Q129" i="97"/>
  <c r="Q119" i="97"/>
  <c r="Q124" i="97"/>
  <c r="Q117" i="97"/>
  <c r="Q121" i="97"/>
  <c r="Q114" i="97"/>
  <c r="Q118" i="97"/>
  <c r="S112" i="97" l="1"/>
  <c r="H111" i="125"/>
  <c r="H110" i="125" s="1"/>
  <c r="G112" i="125"/>
  <c r="G111" i="125"/>
  <c r="G110" i="125" s="1"/>
  <c r="Q112" i="97"/>
  <c r="Q125" i="97"/>
  <c r="J80" i="125"/>
  <c r="J108" i="125"/>
  <c r="I108" i="125"/>
  <c r="H108" i="125"/>
  <c r="J107" i="125"/>
  <c r="J106" i="125"/>
  <c r="J105" i="125"/>
  <c r="J104" i="125"/>
  <c r="J103" i="125"/>
  <c r="J102" i="125"/>
  <c r="J101" i="125"/>
  <c r="J100" i="125"/>
  <c r="J99" i="125"/>
  <c r="J98" i="125"/>
  <c r="J97" i="125"/>
  <c r="J96" i="125"/>
  <c r="I47" i="98"/>
  <c r="I97" i="125"/>
  <c r="I98" i="125"/>
  <c r="I99" i="125"/>
  <c r="I100" i="125"/>
  <c r="I101" i="125"/>
  <c r="I102" i="125"/>
  <c r="I103" i="125"/>
  <c r="I104" i="125"/>
  <c r="I105" i="125"/>
  <c r="I106" i="125"/>
  <c r="I107" i="125"/>
  <c r="I96" i="125"/>
  <c r="F97" i="97"/>
  <c r="G97" i="97"/>
  <c r="H97" i="97"/>
  <c r="I97" i="97"/>
  <c r="K97" i="97"/>
  <c r="L97" i="97"/>
  <c r="M97" i="97"/>
  <c r="N97" i="97"/>
  <c r="O97" i="97"/>
  <c r="J81" i="125"/>
  <c r="H81" i="125"/>
  <c r="J72" i="125"/>
  <c r="I72" i="125"/>
  <c r="G73" i="125"/>
  <c r="J69" i="125"/>
  <c r="I69" i="125"/>
  <c r="J48" i="125"/>
  <c r="J49" i="125"/>
  <c r="I49" i="125"/>
  <c r="J51" i="125"/>
  <c r="I51" i="125"/>
  <c r="J50" i="125"/>
  <c r="I50" i="125"/>
  <c r="J52" i="125"/>
  <c r="I52" i="125"/>
  <c r="I74" i="125"/>
  <c r="J74" i="125"/>
  <c r="J78" i="125"/>
  <c r="G79" i="125"/>
  <c r="J77" i="125"/>
  <c r="J68" i="125"/>
  <c r="I68" i="125"/>
  <c r="J67" i="125"/>
  <c r="O45" i="97"/>
  <c r="I48" i="125"/>
  <c r="I80" i="125"/>
  <c r="I81" i="125"/>
  <c r="I67" i="125"/>
  <c r="I77" i="125"/>
  <c r="I44" i="125"/>
  <c r="P11" i="107"/>
  <c r="P10" i="107" s="1"/>
  <c r="P14" i="107" s="1"/>
  <c r="K11" i="107"/>
  <c r="K10" i="107" s="1"/>
  <c r="L11" i="107"/>
  <c r="L10" i="107" s="1"/>
  <c r="J11" i="107"/>
  <c r="J10" i="107" s="1"/>
  <c r="G11" i="107"/>
  <c r="G10" i="107" s="1"/>
  <c r="H11" i="107"/>
  <c r="H10" i="107" s="1"/>
  <c r="F11" i="107"/>
  <c r="O13" i="107"/>
  <c r="O12" i="107"/>
  <c r="N12" i="107"/>
  <c r="M12" i="107"/>
  <c r="I12" i="107"/>
  <c r="I11" i="107" s="1"/>
  <c r="G93" i="125"/>
  <c r="J85" i="125"/>
  <c r="J86" i="125"/>
  <c r="J87" i="125"/>
  <c r="J88" i="125"/>
  <c r="J84" i="125"/>
  <c r="I91" i="125"/>
  <c r="K88" i="97"/>
  <c r="L88" i="97"/>
  <c r="M88" i="97"/>
  <c r="N88" i="97"/>
  <c r="O88" i="97"/>
  <c r="I40" i="98"/>
  <c r="I85" i="125"/>
  <c r="I86" i="125"/>
  <c r="I87" i="125"/>
  <c r="I88" i="125"/>
  <c r="I89" i="125"/>
  <c r="I84" i="125"/>
  <c r="G88" i="97"/>
  <c r="H88" i="97"/>
  <c r="F88" i="97"/>
  <c r="E88" i="97" s="1"/>
  <c r="P97" i="97" l="1"/>
  <c r="P88" i="97"/>
  <c r="J88" i="97" s="1"/>
  <c r="P45" i="97"/>
  <c r="J97" i="97"/>
  <c r="O11" i="107"/>
  <c r="O10" i="107" s="1"/>
  <c r="O14" i="107" s="1"/>
  <c r="K162" i="97"/>
  <c r="I10" i="107"/>
  <c r="Q12" i="107"/>
  <c r="R112" i="97"/>
  <c r="I78" i="125"/>
  <c r="I43" i="125" s="1"/>
  <c r="I42" i="125" s="1"/>
  <c r="L42" i="125" s="1"/>
  <c r="I95" i="125"/>
  <c r="I94" i="125" s="1"/>
  <c r="L94" i="125" s="1"/>
  <c r="J95" i="125"/>
  <c r="J94" i="125" s="1"/>
  <c r="M94" i="125" s="1"/>
  <c r="Q84" i="97"/>
  <c r="G108" i="125"/>
  <c r="J43" i="125"/>
  <c r="J42" i="125" s="1"/>
  <c r="M42" i="125" s="1"/>
  <c r="S97" i="97"/>
  <c r="S46" i="97"/>
  <c r="G81" i="125"/>
  <c r="S88" i="97"/>
  <c r="J83" i="125"/>
  <c r="J82" i="125" s="1"/>
  <c r="M82" i="125" s="1"/>
  <c r="I83" i="125"/>
  <c r="I82" i="125" s="1"/>
  <c r="I136" i="125"/>
  <c r="I135" i="125"/>
  <c r="I134" i="125"/>
  <c r="K171" i="97" l="1"/>
  <c r="Q88" i="97"/>
  <c r="I133" i="125"/>
  <c r="I132" i="125" s="1"/>
  <c r="G134" i="125"/>
  <c r="J135" i="125"/>
  <c r="G135" i="125"/>
  <c r="J136" i="125"/>
  <c r="G136" i="125"/>
  <c r="L82" i="125"/>
  <c r="J134" i="125"/>
  <c r="J133" i="125" l="1"/>
  <c r="J132" i="125" s="1"/>
  <c r="G133" i="125"/>
  <c r="G132" i="125" s="1"/>
  <c r="J86" i="98"/>
  <c r="J88" i="98" l="1"/>
  <c r="J80" i="98"/>
  <c r="J79" i="98"/>
  <c r="I77" i="98" l="1"/>
  <c r="H81" i="98"/>
  <c r="J81" i="98" s="1"/>
  <c r="H87" i="98" l="1"/>
  <c r="J87" i="98" s="1"/>
  <c r="H85" i="98"/>
  <c r="J85" i="98" s="1"/>
  <c r="H84" i="98"/>
  <c r="J84" i="98" s="1"/>
  <c r="H83" i="98"/>
  <c r="J83" i="98" s="1"/>
  <c r="H82" i="98"/>
  <c r="J82" i="98" s="1"/>
  <c r="I6" i="98"/>
  <c r="S13" i="97" s="1"/>
  <c r="I104" i="98"/>
  <c r="I103" i="98" s="1"/>
  <c r="S152" i="97" s="1"/>
  <c r="I99" i="98"/>
  <c r="I96" i="98"/>
  <c r="I76" i="98"/>
  <c r="S131" i="97" s="1"/>
  <c r="I46" i="98"/>
  <c r="I39" i="98"/>
  <c r="I10" i="98"/>
  <c r="S34" i="97" l="1"/>
  <c r="I100" i="98"/>
  <c r="S137" i="97" s="1"/>
  <c r="S141" i="97"/>
  <c r="I95" i="98"/>
  <c r="I94" i="98" s="1"/>
  <c r="I158" i="125"/>
  <c r="I29" i="98"/>
  <c r="I50" i="98"/>
  <c r="I114" i="98" l="1"/>
  <c r="R162" i="97" l="1"/>
  <c r="K114" i="98"/>
  <c r="J158" i="125"/>
  <c r="F110" i="97" l="1"/>
  <c r="O110" i="97" l="1"/>
  <c r="P110" i="97" s="1"/>
  <c r="J110" i="97" s="1"/>
  <c r="E110" i="97"/>
  <c r="Q110" i="97" l="1"/>
  <c r="E66" i="97" l="1"/>
  <c r="H62" i="125" s="1"/>
  <c r="G62" i="125" s="1"/>
  <c r="E83" i="97"/>
  <c r="H80" i="125" s="1"/>
  <c r="G80" i="125" s="1"/>
  <c r="Q66" i="97" l="1"/>
  <c r="Q83" i="97" l="1"/>
  <c r="E42" i="97" l="1"/>
  <c r="E41" i="97"/>
  <c r="E101" i="97" l="1"/>
  <c r="H99" i="125" s="1"/>
  <c r="G99" i="125" s="1"/>
  <c r="Q41" i="97" l="1"/>
  <c r="Q42" i="97"/>
  <c r="Q101" i="97"/>
  <c r="E76" i="97" l="1"/>
  <c r="H72" i="125" s="1"/>
  <c r="G72" i="125" s="1"/>
  <c r="E68" i="97" l="1"/>
  <c r="H64" i="125" s="1"/>
  <c r="G64" i="125" s="1"/>
  <c r="E65" i="97"/>
  <c r="H61" i="125" s="1"/>
  <c r="G61" i="125" s="1"/>
  <c r="E69" i="97"/>
  <c r="H65" i="125" s="1"/>
  <c r="G65" i="125" s="1"/>
  <c r="E67" i="97" l="1"/>
  <c r="H63" i="125" s="1"/>
  <c r="G63" i="125" s="1"/>
  <c r="Q69" i="97"/>
  <c r="Q68" i="97"/>
  <c r="Q65" i="97" l="1"/>
  <c r="Q67" i="97"/>
  <c r="E109" i="97" l="1"/>
  <c r="H107" i="125" s="1"/>
  <c r="G107" i="125" s="1"/>
  <c r="Q109" i="97" l="1"/>
  <c r="E31" i="97" l="1"/>
  <c r="H28" i="125" s="1"/>
  <c r="E95" i="97"/>
  <c r="E94" i="97"/>
  <c r="E82" i="97"/>
  <c r="H78" i="125" s="1"/>
  <c r="G78" i="125" s="1"/>
  <c r="E81" i="97"/>
  <c r="H77" i="125" s="1"/>
  <c r="G77" i="125" s="1"/>
  <c r="E44" i="97"/>
  <c r="H41" i="125" s="1"/>
  <c r="G41" i="125" s="1"/>
  <c r="E30" i="97"/>
  <c r="H27" i="125" s="1"/>
  <c r="H89" i="125" l="1"/>
  <c r="G89" i="125" s="1"/>
  <c r="H91" i="125"/>
  <c r="G91" i="125" s="1"/>
  <c r="E43" i="97"/>
  <c r="H40" i="125" s="1"/>
  <c r="G40" i="125" s="1"/>
  <c r="Q31" i="97"/>
  <c r="Q94" i="97" l="1"/>
  <c r="Q81" i="97"/>
  <c r="Q95" i="97"/>
  <c r="Q44" i="97"/>
  <c r="Q43" i="97"/>
  <c r="Q82" i="97"/>
  <c r="Q30" i="97"/>
  <c r="F13" i="116" l="1"/>
  <c r="E135" i="97" l="1"/>
  <c r="E134" i="97"/>
  <c r="E133" i="97"/>
  <c r="E131" i="97" l="1"/>
  <c r="Q134" i="97" l="1"/>
  <c r="Q135" i="97"/>
  <c r="Q133" i="97"/>
  <c r="E17" i="97"/>
  <c r="Q17" i="97" l="1"/>
  <c r="E143" i="97" l="1"/>
  <c r="K143" i="125" s="1"/>
  <c r="E144" i="97"/>
  <c r="K145" i="125" s="1"/>
  <c r="E145" i="97"/>
  <c r="K146" i="125" s="1"/>
  <c r="Q145" i="97" l="1"/>
  <c r="Q144" i="97"/>
  <c r="Q143" i="97"/>
  <c r="E18" i="97" l="1"/>
  <c r="Q18" i="97" l="1"/>
  <c r="R18" i="97" s="1"/>
  <c r="G29" i="108" s="1"/>
  <c r="G18" i="108" s="1"/>
  <c r="E40" i="97" l="1"/>
  <c r="H37" i="125" s="1"/>
  <c r="G37" i="125" s="1"/>
  <c r="Q40" i="97" l="1"/>
  <c r="E159" i="97" l="1"/>
  <c r="E99" i="97" l="1"/>
  <c r="H97" i="125" s="1"/>
  <c r="G97" i="125" s="1"/>
  <c r="E79" i="97"/>
  <c r="H75" i="125" s="1"/>
  <c r="G75" i="125" s="1"/>
  <c r="E142" i="97" l="1"/>
  <c r="E141" i="97" l="1"/>
  <c r="K140" i="125" s="1"/>
  <c r="K142" i="125"/>
  <c r="Q142" i="97"/>
  <c r="N13" i="107" l="1"/>
  <c r="E39" i="97" l="1"/>
  <c r="H35" i="125" l="1"/>
  <c r="G35" i="125" s="1"/>
  <c r="N11" i="107"/>
  <c r="N10" i="107" s="1"/>
  <c r="N14" i="107" s="1"/>
  <c r="F10" i="107"/>
  <c r="F14" i="107" s="1"/>
  <c r="E92" i="97" l="1"/>
  <c r="H87" i="125" s="1"/>
  <c r="G87" i="125" s="1"/>
  <c r="E29" i="108"/>
  <c r="E15" i="108"/>
  <c r="E17" i="108" s="1"/>
  <c r="F29" i="108" s="1"/>
  <c r="L14" i="107"/>
  <c r="J14" i="107"/>
  <c r="H14" i="107"/>
  <c r="E15" i="97"/>
  <c r="E14" i="97"/>
  <c r="E24" i="97"/>
  <c r="E29" i="97"/>
  <c r="H26" i="125" s="1"/>
  <c r="E26" i="97"/>
  <c r="H22" i="125" s="1"/>
  <c r="E27" i="97"/>
  <c r="H24" i="125" s="1"/>
  <c r="E77" i="97"/>
  <c r="H74" i="125" s="1"/>
  <c r="G74" i="125" s="1"/>
  <c r="E38" i="97"/>
  <c r="H34" i="125" s="1"/>
  <c r="G34" i="125" s="1"/>
  <c r="E37" i="97"/>
  <c r="E36" i="97"/>
  <c r="E107" i="97"/>
  <c r="H105" i="125" s="1"/>
  <c r="G105" i="125" s="1"/>
  <c r="E106" i="97"/>
  <c r="H104" i="125" s="1"/>
  <c r="G104" i="125" s="1"/>
  <c r="E104" i="97"/>
  <c r="H102" i="125" s="1"/>
  <c r="G102" i="125" s="1"/>
  <c r="E103" i="97"/>
  <c r="H101" i="125" s="1"/>
  <c r="G101" i="125" s="1"/>
  <c r="E102" i="97"/>
  <c r="H100" i="125" s="1"/>
  <c r="G100" i="125" s="1"/>
  <c r="E100" i="97"/>
  <c r="H98" i="125" s="1"/>
  <c r="G98" i="125" s="1"/>
  <c r="E21" i="97"/>
  <c r="E49" i="97"/>
  <c r="H45" i="125" s="1"/>
  <c r="G45" i="125" s="1"/>
  <c r="E48" i="97"/>
  <c r="E59" i="97"/>
  <c r="E28" i="97"/>
  <c r="H25" i="125" s="1"/>
  <c r="O156" i="97"/>
  <c r="P156" i="97" s="1"/>
  <c r="E56" i="97"/>
  <c r="H52" i="125" s="1"/>
  <c r="G52" i="125" s="1"/>
  <c r="E50" i="97"/>
  <c r="H46" i="125" s="1"/>
  <c r="G46" i="125" s="1"/>
  <c r="E54" i="97"/>
  <c r="H50" i="125" s="1"/>
  <c r="G50" i="125" s="1"/>
  <c r="E53" i="97"/>
  <c r="H49" i="125" s="1"/>
  <c r="G49" i="125" s="1"/>
  <c r="E52" i="97"/>
  <c r="H48" i="125" s="1"/>
  <c r="G48" i="125" s="1"/>
  <c r="E57" i="97"/>
  <c r="H53" i="125" s="1"/>
  <c r="G53" i="125" s="1"/>
  <c r="E63" i="97"/>
  <c r="H59" i="125" s="1"/>
  <c r="G59" i="125" s="1"/>
  <c r="E58" i="97"/>
  <c r="H54" i="125" s="1"/>
  <c r="G54" i="125" s="1"/>
  <c r="E62" i="97"/>
  <c r="H58" i="125" s="1"/>
  <c r="G58" i="125" s="1"/>
  <c r="E61" i="97"/>
  <c r="H57" i="125" s="1"/>
  <c r="G57" i="125" s="1"/>
  <c r="E60" i="97"/>
  <c r="H56" i="125" s="1"/>
  <c r="G56" i="125" s="1"/>
  <c r="E71" i="97"/>
  <c r="H67" i="125" s="1"/>
  <c r="G67" i="125" s="1"/>
  <c r="E51" i="97"/>
  <c r="H47" i="125" s="1"/>
  <c r="G47" i="125" s="1"/>
  <c r="E98" i="97"/>
  <c r="H96" i="125" s="1"/>
  <c r="E72" i="97"/>
  <c r="H68" i="125" s="1"/>
  <c r="G68" i="125" s="1"/>
  <c r="H55" i="125" l="1"/>
  <c r="G55" i="125" s="1"/>
  <c r="H44" i="125"/>
  <c r="G44" i="125" s="1"/>
  <c r="H33" i="125"/>
  <c r="G33" i="125" s="1"/>
  <c r="E34" i="97"/>
  <c r="Q34" i="97" s="1"/>
  <c r="H19" i="125"/>
  <c r="H32" i="125"/>
  <c r="G96" i="125"/>
  <c r="E91" i="97"/>
  <c r="H86" i="125" s="1"/>
  <c r="G86" i="125" s="1"/>
  <c r="E161" i="97"/>
  <c r="E70" i="97"/>
  <c r="H66" i="125" s="1"/>
  <c r="G66" i="125" s="1"/>
  <c r="E75" i="97"/>
  <c r="H71" i="125" s="1"/>
  <c r="G71" i="125" s="1"/>
  <c r="E89" i="97"/>
  <c r="H84" i="125" s="1"/>
  <c r="E64" i="97"/>
  <c r="H60" i="125" s="1"/>
  <c r="G60" i="125" s="1"/>
  <c r="E74" i="97"/>
  <c r="H70" i="125" s="1"/>
  <c r="G70" i="125" s="1"/>
  <c r="E93" i="97"/>
  <c r="H88" i="125" s="1"/>
  <c r="G88" i="125" s="1"/>
  <c r="M13" i="107"/>
  <c r="K14" i="107"/>
  <c r="E160" i="97"/>
  <c r="E16" i="97"/>
  <c r="H14" i="125" s="1"/>
  <c r="Q21" i="97"/>
  <c r="E20" i="97"/>
  <c r="H16" i="125" s="1"/>
  <c r="E108" i="97"/>
  <c r="H106" i="125" s="1"/>
  <c r="G106" i="125" s="1"/>
  <c r="E105" i="97"/>
  <c r="E90" i="97"/>
  <c r="H85" i="125" s="1"/>
  <c r="G85" i="125" s="1"/>
  <c r="G13" i="97"/>
  <c r="E55" i="97"/>
  <c r="H51" i="125" s="1"/>
  <c r="G51" i="125" s="1"/>
  <c r="E25" i="97"/>
  <c r="H20" i="125" s="1"/>
  <c r="G18" i="125" l="1"/>
  <c r="E157" i="97"/>
  <c r="Q13" i="107"/>
  <c r="M11" i="107"/>
  <c r="E13" i="97"/>
  <c r="K16" i="125"/>
  <c r="K14" i="125"/>
  <c r="H12" i="125"/>
  <c r="H18" i="125"/>
  <c r="H17" i="125" s="1"/>
  <c r="E23" i="97"/>
  <c r="Q23" i="97" s="1"/>
  <c r="H31" i="125"/>
  <c r="H30" i="125" s="1"/>
  <c r="G32" i="125"/>
  <c r="G30" i="125" s="1"/>
  <c r="E97" i="97"/>
  <c r="Q97" i="97" s="1"/>
  <c r="H103" i="125"/>
  <c r="H83" i="125"/>
  <c r="G84" i="125"/>
  <c r="G83" i="125" s="1"/>
  <c r="Q49" i="97"/>
  <c r="Q14" i="97"/>
  <c r="O12" i="97"/>
  <c r="P12" i="97" s="1"/>
  <c r="Q106" i="97"/>
  <c r="Q50" i="97"/>
  <c r="O22" i="97"/>
  <c r="Q52" i="97"/>
  <c r="Q48" i="97"/>
  <c r="E73" i="97"/>
  <c r="H69" i="125" s="1"/>
  <c r="O33" i="97"/>
  <c r="P33" i="97" s="1"/>
  <c r="Q51" i="97"/>
  <c r="Q79" i="97"/>
  <c r="Q161" i="97"/>
  <c r="Q56" i="97"/>
  <c r="O111" i="97"/>
  <c r="P111" i="97" s="1"/>
  <c r="Q72" i="97"/>
  <c r="Q53" i="97"/>
  <c r="Q54" i="97"/>
  <c r="Q36" i="97"/>
  <c r="Q159" i="97"/>
  <c r="Q38" i="97"/>
  <c r="Q60" i="97"/>
  <c r="Q92" i="97"/>
  <c r="Q15" i="97"/>
  <c r="Q57" i="97"/>
  <c r="Q63" i="97"/>
  <c r="O136" i="97"/>
  <c r="P136" i="97" s="1"/>
  <c r="Q102" i="97"/>
  <c r="Q26" i="97"/>
  <c r="Q100" i="97"/>
  <c r="Q59" i="97"/>
  <c r="Q77" i="97"/>
  <c r="Q108" i="97"/>
  <c r="Q99" i="97"/>
  <c r="Q28" i="97"/>
  <c r="Q27" i="97"/>
  <c r="Q70" i="97"/>
  <c r="Q62" i="97"/>
  <c r="Q37" i="97"/>
  <c r="Q58" i="97"/>
  <c r="Q75" i="97"/>
  <c r="Q98" i="97"/>
  <c r="Q64" i="97"/>
  <c r="Q61" i="97"/>
  <c r="Q74" i="97"/>
  <c r="Q160" i="97"/>
  <c r="Q107" i="97"/>
  <c r="Q103" i="97"/>
  <c r="Q29" i="97"/>
  <c r="Q55" i="97"/>
  <c r="I162" i="97"/>
  <c r="I171" i="97" s="1"/>
  <c r="Q24" i="97"/>
  <c r="Q71" i="97"/>
  <c r="Q90" i="97"/>
  <c r="O151" i="97"/>
  <c r="P151" i="97" s="1"/>
  <c r="N162" i="97"/>
  <c r="Q25" i="97"/>
  <c r="M162" i="97"/>
  <c r="O146" i="97"/>
  <c r="P146" i="97" s="1"/>
  <c r="H162" i="97"/>
  <c r="H11" i="125" l="1"/>
  <c r="G69" i="125"/>
  <c r="K30" i="125"/>
  <c r="Q13" i="97"/>
  <c r="E46" i="97"/>
  <c r="E162" i="97" s="1"/>
  <c r="M10" i="107"/>
  <c r="M14" i="107" s="1"/>
  <c r="Q11" i="107"/>
  <c r="Q10" i="107" s="1"/>
  <c r="Q14" i="107" s="1"/>
  <c r="G12" i="125"/>
  <c r="G11" i="125" s="1"/>
  <c r="Q46" i="97"/>
  <c r="K17" i="125"/>
  <c r="R23" i="97"/>
  <c r="H171" i="97"/>
  <c r="M171" i="97"/>
  <c r="N171" i="97"/>
  <c r="G103" i="125"/>
  <c r="G95" i="125" s="1"/>
  <c r="G94" i="125" s="1"/>
  <c r="H95" i="125"/>
  <c r="H94" i="125" s="1"/>
  <c r="K94" i="125" s="1"/>
  <c r="H43" i="125"/>
  <c r="H42" i="125" s="1"/>
  <c r="K42" i="125" s="1"/>
  <c r="G82" i="125"/>
  <c r="H82" i="125"/>
  <c r="K82" i="125" s="1"/>
  <c r="Q16" i="97"/>
  <c r="G162" i="97"/>
  <c r="Q73" i="97"/>
  <c r="L30" i="125"/>
  <c r="Q39" i="97"/>
  <c r="O87" i="97"/>
  <c r="P87" i="97" s="1"/>
  <c r="Q89" i="97"/>
  <c r="Q93" i="97"/>
  <c r="Q20" i="97"/>
  <c r="O140" i="97"/>
  <c r="P140" i="97" s="1"/>
  <c r="Q104" i="97"/>
  <c r="Q105" i="97"/>
  <c r="Q91" i="97"/>
  <c r="L162" i="97"/>
  <c r="L171" i="97" s="1"/>
  <c r="H158" i="125" l="1"/>
  <c r="G171" i="97"/>
  <c r="R97" i="97"/>
  <c r="R88" i="97"/>
  <c r="O96" i="97"/>
  <c r="P96" i="97" s="1"/>
  <c r="Q87" i="97"/>
  <c r="Q76" i="97"/>
  <c r="R46" i="97" s="1"/>
  <c r="R34" i="97"/>
  <c r="O162" i="97"/>
  <c r="I14" i="107"/>
  <c r="G14" i="107" s="1"/>
  <c r="O171" i="97" l="1"/>
  <c r="P162" i="97"/>
  <c r="Q33" i="97"/>
  <c r="Q45" i="97"/>
  <c r="Q22" i="97"/>
  <c r="Q12" i="97"/>
  <c r="Q111" i="97"/>
  <c r="Q96" i="97" l="1"/>
  <c r="F162" i="97" l="1"/>
  <c r="F171" i="97" s="1"/>
  <c r="E171" i="97"/>
  <c r="E174" i="97" l="1"/>
  <c r="Q157" i="97"/>
  <c r="Q156" i="97" s="1"/>
  <c r="Q152" i="97"/>
  <c r="Q151" i="97" l="1"/>
  <c r="R152" i="97"/>
  <c r="R157" i="97"/>
  <c r="Q147" i="97" l="1"/>
  <c r="S147" i="97"/>
  <c r="Q146" i="97" l="1"/>
  <c r="R147" i="97"/>
  <c r="L140" i="125"/>
  <c r="Q141" i="97"/>
  <c r="Q140" i="97" l="1"/>
  <c r="R141" i="97"/>
  <c r="Q137" i="97"/>
  <c r="J162" i="97" l="1"/>
  <c r="Q131" i="97"/>
  <c r="Q136" i="97"/>
  <c r="R137" i="97"/>
  <c r="Q162" i="97" l="1"/>
  <c r="Q172" i="97" s="1"/>
  <c r="R131" i="97"/>
  <c r="Q130" i="97"/>
  <c r="J171" i="97"/>
  <c r="Q171" i="97" l="1"/>
  <c r="F174" i="97"/>
  <c r="G158" i="125" l="1"/>
  <c r="K158" i="125" s="1"/>
  <c r="G151" i="125"/>
</calcChain>
</file>

<file path=xl/sharedStrings.xml><?xml version="1.0" encoding="utf-8"?>
<sst xmlns="http://schemas.openxmlformats.org/spreadsheetml/2006/main" count="2162" uniqueCount="830">
  <si>
    <t>Департамент освіти та науки Хмельницької міської ради (головний розпорядник)</t>
  </si>
  <si>
    <t>Департамент освіти та науки Хмельницької міської ради (відповідальний виконавець)</t>
  </si>
  <si>
    <t>Будівництво 2-ї черги водогону від с.Чернелівка Красилівського району до м.Хмельницький</t>
  </si>
  <si>
    <t>Реконструкція з надбудовою приміщень навчально-виховного комплексу №10 по вул. Водопровідній, 9А в м.Хмельницькому</t>
  </si>
  <si>
    <t>1</t>
  </si>
  <si>
    <t>2</t>
  </si>
  <si>
    <t>Проведення навчально-тренувальних зборів і змагань з неолімпійських видів спорту</t>
  </si>
  <si>
    <t>4</t>
  </si>
  <si>
    <t>Надання субсидій населенню для відшкодування витрат на оплату житлово-комунальних послуг</t>
  </si>
  <si>
    <t>Пільгове медичне обслуговування осіб, які постраждали внаслідок Чорнобильської катастрофи</t>
  </si>
  <si>
    <t>Надання допомоги у зв'язку з вагітністю і пологами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</si>
  <si>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</si>
  <si>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</si>
  <si>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</si>
  <si>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</si>
  <si>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державної соціальної допомоги малозабезпеченим сім'ям</t>
  </si>
  <si>
    <t>Надання пільг окремим категоріям громадян з оплати послуг зв'язку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</si>
  <si>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</si>
  <si>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</si>
  <si>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</si>
  <si>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Програма розвитку міста Хмельницького у сфері культури на період до 2020 року "50 кроків, що змінять місто"</t>
  </si>
  <si>
    <t>Компенсаційні виплати на пільговий проїзд електротранспортом окремим категоріям громадян</t>
  </si>
  <si>
    <t>Здійснення заходів та реалізація проектів на виконання Державної цільової соціальної програми «Молодь України»</t>
  </si>
  <si>
    <t>Утримання клубів для підлітків за місцем проживання</t>
  </si>
  <si>
    <t>Разом</t>
  </si>
  <si>
    <t>Загальний фонд</t>
  </si>
  <si>
    <t>з них</t>
  </si>
  <si>
    <t>3</t>
  </si>
  <si>
    <t>комунальні послуги та енергоносії</t>
  </si>
  <si>
    <t>Код програмної класифікації видатків та кредитування місцевих бюджетів</t>
  </si>
  <si>
    <t>Код ФКВКБ</t>
  </si>
  <si>
    <t>Реконструкція існуючої будівлі краєзнавчого музею під музейний комплекс історії та культури по вул.Свободи,22 в м.Хмельницькому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</si>
  <si>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</si>
  <si>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Надання позашкільної освіти позашкільними закладами освіти, заходи із позашкільної роботи з дітьми</t>
  </si>
  <si>
    <t>1011100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</si>
  <si>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</si>
  <si>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Управління охорони здоров'я Хмельницької міської ради (головний розпорядник)</t>
  </si>
  <si>
    <t>Багатопрофільна стаціонарна медична допомога населенню</t>
  </si>
  <si>
    <t>Код ТПКВКМБ /
ТКВКБМС</t>
  </si>
  <si>
    <t>1110000</t>
  </si>
  <si>
    <t>1100000</t>
  </si>
  <si>
    <t>Управління молоді та спорту Хмельницької міської ради (головний розпорядник)</t>
  </si>
  <si>
    <t>Управління житлово-комунального господарства Хмельницької міської ради (головний розпорядник)</t>
  </si>
  <si>
    <t>Управління культури і туризму Хмельницької міської ради (головний розпорядник)</t>
  </si>
  <si>
    <t>1500000</t>
  </si>
  <si>
    <t>1510000</t>
  </si>
  <si>
    <t>Управління архітектури та містобудування департаменту архітектури, містобудування та земельних ресурсів (головний розпорядник)</t>
  </si>
  <si>
    <t xml:space="preserve">Управління з питань екології та контролю за благоустроєм міста (головний розпорядник) </t>
  </si>
  <si>
    <t>Фінансове управління Хмельницької міської ради (головний розпорядник)</t>
  </si>
  <si>
    <t>1115031</t>
  </si>
  <si>
    <t>1115032</t>
  </si>
  <si>
    <t>1115061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</si>
  <si>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</si>
  <si>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</si>
  <si>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Забезпечення діяльності централізованої бухгалтерії</t>
  </si>
  <si>
    <t>Проведення інформаційних заходів з організації проведення аукціонів</t>
  </si>
  <si>
    <t>Виготовлення документації із землеустрою</t>
  </si>
  <si>
    <t>Внески до статутного капіталу суб’єктів господарювання</t>
  </si>
  <si>
    <t>Управління молоді та спорту Хмельницької міської ради (відповідальний виконавець)</t>
  </si>
  <si>
    <t>Управління охорони здоров'я Хмельницької міської ради (відповідальний виконавець)</t>
  </si>
  <si>
    <t>Управління праці та соціального захисту населення Хмельницької міської ради (головний розпорядник)</t>
  </si>
  <si>
    <t>Управління праці та соціального захисту населення Хмельницької міської ради (відповідальний виконавець)</t>
  </si>
  <si>
    <t>Управління культури і туризму Хмельницької міської ради (відповідальний виконавець)</t>
  </si>
  <si>
    <t>Управління житлово-комунального господарства Хмельницької міської ради (відповідальний виконавець)</t>
  </si>
  <si>
    <t>Управління архітектури та містобудування департаменту архітектури, містобудування та земельних ресурсів (відповідальний виконавець)</t>
  </si>
  <si>
    <t xml:space="preserve">Управління з питань екології та контролю за благоустроєм міста (відповідальний виконавець) </t>
  </si>
  <si>
    <t>Фінансове управління Хмельницької міської ради (відповідальний виконавець)</t>
  </si>
  <si>
    <t>Заходи з енергозбереження</t>
  </si>
  <si>
    <t>Резервний фонд</t>
  </si>
  <si>
    <t xml:space="preserve"> Реверсна дотація</t>
  </si>
  <si>
    <t>0133</t>
  </si>
  <si>
    <t>0180</t>
  </si>
  <si>
    <t>1113131</t>
  </si>
  <si>
    <t>1115011</t>
  </si>
  <si>
    <t>Проведення навчально-тренувальних зборів і змагань з олімпійських видів спорту</t>
  </si>
  <si>
    <t>1115012</t>
  </si>
  <si>
    <t>1115022</t>
  </si>
  <si>
    <t>Утримання та навчально-тренувальна робота комунальних дитячо-юнацьких спортивних шкіл</t>
  </si>
  <si>
    <t>Фінансова підтримка дитячо-юнацьких спортивних шкіл фізкультурно-спортивних товариств</t>
  </si>
  <si>
    <t>1060</t>
  </si>
  <si>
    <t>Всього, в т.ч.:</t>
  </si>
  <si>
    <t>0511</t>
  </si>
  <si>
    <t>Охорона та раціональне використання природних ресурсів</t>
  </si>
  <si>
    <t>0540</t>
  </si>
  <si>
    <t>Спеціальний фонд</t>
  </si>
  <si>
    <t>видатки споживання</t>
  </si>
  <si>
    <t>оплата праці</t>
  </si>
  <si>
    <t>видатки розвитку</t>
  </si>
  <si>
    <t>Розподіл</t>
  </si>
  <si>
    <t>Додаток №3</t>
  </si>
  <si>
    <t>Капітальні видатки</t>
  </si>
  <si>
    <t xml:space="preserve">Реконструкція покрівель житлових будинків </t>
  </si>
  <si>
    <t>Додаток 1</t>
  </si>
  <si>
    <t>( грн.)</t>
  </si>
  <si>
    <t>Код</t>
  </si>
  <si>
    <t>Найменування згідно
 з класифікацією доходів бюджету</t>
  </si>
  <si>
    <t>Податкові надходження</t>
  </si>
  <si>
    <t>Податки на доходи, податки на прибуток, податки на збільшення ринкової вартості</t>
  </si>
  <si>
    <t xml:space="preserve">Податок на доходи фізичних осіб </t>
  </si>
  <si>
    <t xml:space="preserve">Податок на  доходи фізичних осіб, що сплачуються податковими агентами, із доходів платника податку у вигляді заробітної плати </t>
  </si>
  <si>
    <t xml:space="preserve">Податок на  доходи 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 </t>
  </si>
  <si>
    <t xml:space="preserve">Податок на доходи фізичних осіб, що сплачується податковими агентами, із доходів платника податку інших ніж заробітна плата </t>
  </si>
  <si>
    <t xml:space="preserve">Податок на доходи доходів фізичних осіб, що сплачуються фізичними особами за результатами річного декларування </t>
  </si>
  <si>
    <t>Податок на прибуток підприємств</t>
  </si>
  <si>
    <t xml:space="preserve"> Податок на прибуток підприємств та фінансових установ комунальної власності </t>
  </si>
  <si>
    <t xml:space="preserve">Акцизний податок з реалізації суб"єктами господарювання роздрібної торгівлі підакцизних товарів </t>
  </si>
  <si>
    <t>Місцеві  податки і збори</t>
  </si>
  <si>
    <t>Податок на майно</t>
  </si>
  <si>
    <t xml:space="preserve">Податок на нерухоме майно, відмінне від земельної ділянки, сплачений юридичними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</si>
  <si>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</si>
  <si>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нежитлової нерухомості   </t>
  </si>
  <si>
    <t xml:space="preserve">Податок на нерухоме майно, відмінне від земельної ділянки, сплачений юридичними особами, які є власниками об"єктів нежитлової нерухомості   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</si>
  <si>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</si>
  <si>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</si>
  <si>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</si>
  <si>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</si>
  <si>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 осіб</t>
  </si>
  <si>
    <t>Транспортний податок з юридичних осіб</t>
  </si>
  <si>
    <t xml:space="preserve">Туристичний збір </t>
  </si>
  <si>
    <t xml:space="preserve">Туристичний збір, сплачений юридичними особами  </t>
  </si>
  <si>
    <t xml:space="preserve">Туристичний збір, сплачений фізичними особами  </t>
  </si>
  <si>
    <t xml:space="preserve">Єдиний податок  </t>
  </si>
  <si>
    <t xml:space="preserve">Єдиний податок  з юридичних осіб
</t>
  </si>
  <si>
    <t>Єдиний податок  з фізичних осіб</t>
  </si>
  <si>
    <t xml:space="preserve">Екологічний податок </t>
  </si>
  <si>
    <t xml:space="preserve">Надходження  від викидів забруднюючих речовин в атмосферне повітря стаціонарними джерелами забруднення </t>
  </si>
  <si>
    <t>Надходження від скидів забруднюючих речовин безпосередньо у водні об"єкти</t>
  </si>
  <si>
    <t xml:space="preserve">Надходження від розміщення відходів у спеціально відведених місцях чи на об"єктах, крім розміщення окремих видів відходів як вторинної сировини </t>
  </si>
  <si>
    <t>Неподаткові надходження</t>
  </si>
  <si>
    <t>Частина чистого прибутку (доходу)  комунальних унітарних підприємств та їх об"єднань, що вилучається до відповідного місцевого бюджету</t>
  </si>
  <si>
    <t xml:space="preserve">Плата за розміщення тимчасово вільних коштів </t>
  </si>
  <si>
    <t xml:space="preserve">Надходження від штрафів та фінансових санкцій </t>
  </si>
  <si>
    <t>Адміністративні штрафи та інші санкції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</si>
  <si>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</si>
  <si>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</t>
  </si>
  <si>
    <t xml:space="preserve">Адміністративний збір за державну реєстрацію речових прав на нерухоме майно та їх обтяжень </t>
  </si>
  <si>
    <t xml:space="preserve">Плата за надання інших адміністративних послуг </t>
  </si>
  <si>
    <t xml:space="preserve">Надходження від орендної плати за користування цілісним майновим комплексом та іншим майном, що перебуває в комунальній власності 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</si>
  <si>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</si>
  <si>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</si>
  <si>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 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</si>
  <si>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</si>
  <si>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</si>
  <si>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 xml:space="preserve">Інші надходження </t>
  </si>
  <si>
    <t xml:space="preserve">Надходження коштів пайової участі у розвитку інфраструктури населеного пункту 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</si>
  <si>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</si>
  <si>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</si>
  <si>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</si>
  <si>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 діяльності</t>
  </si>
  <si>
    <t>Плата за оренду майна бюджетних установ</t>
  </si>
  <si>
    <t>Надходження  бюджетних установ від реалізації в установленому порядку майна (крім нерухомого майна)</t>
  </si>
  <si>
    <r>
      <t>Інші джерела власних надходжень бюджетних установ</t>
    </r>
    <r>
      <rPr>
        <sz val="12"/>
        <rFont val="Times New Roman"/>
        <family val="1"/>
        <charset val="204"/>
      </rPr>
      <t xml:space="preserve">  </t>
    </r>
  </si>
  <si>
    <t xml:space="preserve">Благодійні внески, гранти та дарунки </t>
  </si>
  <si>
    <t xml:space="preserve"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</t>
  </si>
  <si>
    <t>Доходи від операцій з капіталом</t>
  </si>
  <si>
    <t>Надходження від продажу основного капіталу</t>
  </si>
  <si>
    <t xml:space="preserve">Кошти від реалізації безхазяйного майна,знахідок,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</t>
  </si>
  <si>
    <t xml:space="preserve">Кошти  від відчуження майна, яке належить  Автономній Республіці Крим та майна, що знаходиться у комунальній власності </t>
  </si>
  <si>
    <t>Надходження від продажу землі і нематеріальних активів</t>
  </si>
  <si>
    <t xml:space="preserve">Кошти від продажу землі </t>
  </si>
  <si>
    <t>Кошти від продажу прав на земельні ділянки несільськогосподарського призначення, що перебувають у державній або комунальній власності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</si>
  <si>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</si>
  <si>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 xml:space="preserve">Субвенції  </t>
  </si>
  <si>
    <t xml:space="preserve">Освітня субвенція з державного бюджету місцевим бюджетам </t>
  </si>
  <si>
    <t xml:space="preserve">Медична субвенція з державного бюджету місцевим бюджетам </t>
  </si>
  <si>
    <t xml:space="preserve"> - на пільгове медичне обслуговування громадян, які постраждали внаслідок Чорнобильської катастрофи</t>
  </si>
  <si>
    <t xml:space="preserve"> -  на компенсаційні виплати інвалідам на бензин, ремонт, техобслуговування автотранспорту та транспортне обслуговування</t>
  </si>
  <si>
    <t xml:space="preserve"> - на компенсаційні виплати на встановлення телефонів інвалідам 1-ї та 2-ї груп </t>
  </si>
  <si>
    <t xml:space="preserve">  - на поховання учасників бойових дій та інвалідів війни</t>
  </si>
  <si>
    <t>Всього доходів</t>
  </si>
  <si>
    <t>Начальник фінансового управління</t>
  </si>
  <si>
    <t>С. Ямчук</t>
  </si>
  <si>
    <t>Додаток 2</t>
  </si>
  <si>
    <t>до рішення</t>
  </si>
  <si>
    <t>від                 №</t>
  </si>
  <si>
    <t>200000</t>
  </si>
  <si>
    <t>Внутрішнє фінансування</t>
  </si>
  <si>
    <t>208100</t>
  </si>
  <si>
    <t>На початок періоду</t>
  </si>
  <si>
    <t>На кінець періоду</t>
  </si>
  <si>
    <t>Передача коштів із загального до бюджету розвитку (спеціального фонду)</t>
  </si>
  <si>
    <t xml:space="preserve">Фінансування за борговими операціями </t>
  </si>
  <si>
    <t xml:space="preserve">Запозичення </t>
  </si>
  <si>
    <t>600000</t>
  </si>
  <si>
    <t>Фінансування за активними операціями</t>
  </si>
  <si>
    <t>Зміни обсягів готівкових коштів на початок періоду</t>
  </si>
  <si>
    <t>Зміни обсягів готівкових коштів на кінець періоду</t>
  </si>
  <si>
    <t>Надання кредитів</t>
  </si>
  <si>
    <t>Повернення кредитів</t>
  </si>
  <si>
    <t>0,0</t>
  </si>
  <si>
    <t>Додаток №6</t>
  </si>
  <si>
    <t xml:space="preserve">до рішення №      від  </t>
  </si>
  <si>
    <t>Кошторис доходів та видатків цільового фонду</t>
  </si>
  <si>
    <t>Хмельницької міської ради</t>
  </si>
  <si>
    <t xml:space="preserve">Пункти Положення </t>
  </si>
  <si>
    <t>Джерела доходів</t>
  </si>
  <si>
    <t>2.1.1.</t>
  </si>
  <si>
    <t>Кошти за надлишки загальної житлової площі при приватизації державного житлового фонду</t>
  </si>
  <si>
    <t>2.1.2.</t>
  </si>
  <si>
    <t>Кошти за тимчасове користування місцями для розміщення зовнішньої реклами</t>
  </si>
  <si>
    <t>2.1.3.</t>
  </si>
  <si>
    <t>Надходження коштів від забудовників, які без відповідного дозволу здійснили або здійснюють роботи по будівництву, реконструкції, реставрації, капітальному ремонту об"єктів містобудування</t>
  </si>
  <si>
    <t>2.1.4.</t>
  </si>
  <si>
    <t xml:space="preserve">Надходження коштів, що мають вноситися заявниками, у розмірі 10 відсотків початкової вартості продажу об"єкта малої приватизації, за участь у аукціоні, конкурсі </t>
  </si>
  <si>
    <t>2.1.5.</t>
  </si>
  <si>
    <t xml:space="preserve">Надходження плати за виготовлення бланків і видачу свідоцтв про право власності на житлове (житлові) приміщення у гуртожитку </t>
  </si>
  <si>
    <t xml:space="preserve">Всього по джерелах доходів : </t>
  </si>
  <si>
    <t>Разом:</t>
  </si>
  <si>
    <t>Видатки</t>
  </si>
  <si>
    <t>3.2.1.</t>
  </si>
  <si>
    <t>Фінансове забезпечення проведення міських заходів виконавчим комітетом Хмельницької міської ради та управліннями і відділами міської ради</t>
  </si>
  <si>
    <t>3.2.3.</t>
  </si>
  <si>
    <t>Матеріальне забезпечення проведення сесій міської ради, депутатських днів та інших організаційних заходів з діяльності депутатів міської ради</t>
  </si>
  <si>
    <t>3.2.4.</t>
  </si>
  <si>
    <t>3.2.5.</t>
  </si>
  <si>
    <t>3.2.6.</t>
  </si>
  <si>
    <t>Виплата винагороди головам квартальних комітетів</t>
  </si>
  <si>
    <t>3.2.7.</t>
  </si>
  <si>
    <t>Оплата подарунків до ювілеїв, річниць, пам’ятних дат, професійних свят підприємств, організацій, установ та фізичних осіб</t>
  </si>
  <si>
    <t>3.2.8.</t>
  </si>
  <si>
    <t xml:space="preserve">Спрямування коштів на житлове будівництво, реконструкцію та на ремонт житла всіх форм власності, в т.ч. будинків житлово-будівельних кооперативів (ТОВ "ЖЕО"), об'є́днань співвла́сників багатокварти́рних буди́нків, Будинкоуправління №2  КЕВ м. Хмельницький та будівель і споруд  комунальної власності </t>
  </si>
  <si>
    <t>3.2.11.</t>
  </si>
  <si>
    <t>Здійснення заходів з приватизації, відчуження та передачі в оренду майна комунальної власності</t>
  </si>
  <si>
    <t>3.2.12.</t>
  </si>
  <si>
    <t>Повернення коштів, внесених заявниками за участь у аукціоні, конкурсі з продажу об'єктів малої приватизації у випадках, передбачених Законом України "Про приватизацію невеликих державних підприємств (малу приватизацію)"</t>
  </si>
  <si>
    <t>3.2.16.</t>
  </si>
  <si>
    <t>Інші видатки, що здійснюються згідно розпоряджень міського голови, рішень міської ради та її виконавчого комітету.</t>
  </si>
  <si>
    <t xml:space="preserve">Начальник фінансового управління                                                                                        </t>
  </si>
  <si>
    <t xml:space="preserve">   С.Ямчук</t>
  </si>
  <si>
    <t>Пальне (вироблене в Україні)</t>
  </si>
  <si>
    <t>Пальне  (ввезене на митну територію  України)</t>
  </si>
  <si>
    <t>Начальник фінансового управління                                                                                                                                                            С. Ямчук</t>
  </si>
  <si>
    <t xml:space="preserve">до рішення   №        від    </t>
  </si>
  <si>
    <t xml:space="preserve">Будівництво центру поводження з тваринами  КП “Надія” по вул. Заводській, 165 в м. Хмельницькому </t>
  </si>
  <si>
    <t>Адміністративний збір з проведення державної реєстрації юридичних осіб, фізичних осіб - підприємців та громадських формувань</t>
  </si>
  <si>
    <t>0200000</t>
  </si>
  <si>
    <t>0210000</t>
  </si>
  <si>
    <t>Виконавчий комітет Хмельницької міської ради (головний розпорядник)</t>
  </si>
  <si>
    <t>Виконавчий комітет Хмельницької міської ради  (відповідальний виконавець)</t>
  </si>
  <si>
    <t>0600000</t>
  </si>
  <si>
    <t>0610000</t>
  </si>
  <si>
    <t>0700000</t>
  </si>
  <si>
    <t>0710000</t>
  </si>
  <si>
    <t>0800000</t>
  </si>
  <si>
    <t>0810000</t>
  </si>
  <si>
    <t>1200000</t>
  </si>
  <si>
    <t>1210000</t>
  </si>
  <si>
    <t>1600000</t>
  </si>
  <si>
    <t>1610000</t>
  </si>
  <si>
    <t>3600000</t>
  </si>
  <si>
    <t>3610000</t>
  </si>
  <si>
    <t>2800000</t>
  </si>
  <si>
    <t>2810000</t>
  </si>
  <si>
    <t>2700000</t>
  </si>
  <si>
    <t>2710000</t>
  </si>
  <si>
    <t>3700000</t>
  </si>
  <si>
    <t>3710000</t>
  </si>
  <si>
    <t>0490</t>
  </si>
  <si>
    <t>1014010</t>
  </si>
  <si>
    <t>4010</t>
  </si>
  <si>
    <t>4060</t>
  </si>
  <si>
    <t>3131</t>
  </si>
  <si>
    <t>0821</t>
  </si>
  <si>
    <t>Фінансова підтримка театрів</t>
  </si>
  <si>
    <t>1014030</t>
  </si>
  <si>
    <t>4030</t>
  </si>
  <si>
    <t>0824</t>
  </si>
  <si>
    <t>Забезпечення діяльності бібліотек</t>
  </si>
  <si>
    <t>1014040</t>
  </si>
  <si>
    <t>4040</t>
  </si>
  <si>
    <t xml:space="preserve"> Забезпечення діяльності музеїв i виставок</t>
  </si>
  <si>
    <t>1014060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</si>
  <si>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</si>
  <si>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</si>
  <si>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</si>
  <si>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1100</t>
  </si>
  <si>
    <t>0960</t>
  </si>
  <si>
    <t>0829</t>
  </si>
  <si>
    <t>1113121</t>
  </si>
  <si>
    <t>3121</t>
  </si>
  <si>
    <t>1040</t>
  </si>
  <si>
    <t>Утримання та забезпечення діяльності центрів соціальних служб для сім’ї, дітей та молоді</t>
  </si>
  <si>
    <t>5011</t>
  </si>
  <si>
    <t>5012</t>
  </si>
  <si>
    <t>5022</t>
  </si>
  <si>
    <t>1113132</t>
  </si>
  <si>
    <t>3132</t>
  </si>
  <si>
    <t>3230</t>
  </si>
  <si>
    <t>1090</t>
  </si>
  <si>
    <t>5031</t>
  </si>
  <si>
    <t>5032</t>
  </si>
  <si>
    <t>5061</t>
  </si>
  <si>
    <t>0810</t>
  </si>
  <si>
    <t>5063</t>
  </si>
  <si>
    <t>7670</t>
  </si>
  <si>
    <t>Надання кредиту</t>
  </si>
  <si>
    <t>Повернення кредиту</t>
  </si>
  <si>
    <t>0611010</t>
  </si>
  <si>
    <t>1010</t>
  </si>
  <si>
    <t>1020</t>
  </si>
  <si>
    <t>0910</t>
  </si>
  <si>
    <t>Надання дошкільної освіти</t>
  </si>
  <si>
    <t>Надання загальної середньої освіти загальноосвітніми навчальними закладами ( в т. ч. школою-дитячим садком, інтернатом при школі), спеціалізованими школами, ліцеями, гімназіями, колегіумами</t>
  </si>
  <si>
    <t>0611020</t>
  </si>
  <si>
    <t>0921</t>
  </si>
  <si>
    <t>1030</t>
  </si>
  <si>
    <t>1070</t>
  </si>
  <si>
    <t>0611070</t>
  </si>
  <si>
    <t>0922</t>
  </si>
  <si>
    <t>0611090</t>
  </si>
  <si>
    <t>0611110</t>
  </si>
  <si>
    <t>1110</t>
  </si>
  <si>
    <t>0930</t>
  </si>
  <si>
    <t>Підготовка кадрів професійно-технічними закладами та іншими закладами освіти</t>
  </si>
  <si>
    <t>Методичне забезпечення діяльності навчальних закладів</t>
  </si>
  <si>
    <t>0611150</t>
  </si>
  <si>
    <t>1150</t>
  </si>
  <si>
    <t>0990</t>
  </si>
  <si>
    <t>2010</t>
  </si>
  <si>
    <t>0617640</t>
  </si>
  <si>
    <t>7640</t>
  </si>
  <si>
    <t>0470</t>
  </si>
  <si>
    <t>0712010</t>
  </si>
  <si>
    <t>0731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</si>
  <si>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</si>
  <si>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</si>
  <si>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</si>
  <si>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</si>
  <si>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0712080</t>
  </si>
  <si>
    <t>2080</t>
  </si>
  <si>
    <t>0721</t>
  </si>
  <si>
    <t>0712100</t>
  </si>
  <si>
    <t>2100</t>
  </si>
  <si>
    <t>0722</t>
  </si>
  <si>
    <t>Стоматологічна допомога населенню</t>
  </si>
  <si>
    <t>0712111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</si>
  <si>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</si>
  <si>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</si>
  <si>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0763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</si>
  <si>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</si>
  <si>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0210150</t>
  </si>
  <si>
    <t>0150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</si>
  <si>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</si>
  <si>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</si>
  <si>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</si>
  <si>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Реалізація Національної програми інформатизації</t>
  </si>
  <si>
    <t>0217520</t>
  </si>
  <si>
    <t>7520</t>
  </si>
  <si>
    <t>0460</t>
  </si>
  <si>
    <t>0218410</t>
  </si>
  <si>
    <t>8410</t>
  </si>
  <si>
    <t>0830</t>
  </si>
  <si>
    <t>Фінансова підтримка засобів масової інформації</t>
  </si>
  <si>
    <t>0219710</t>
  </si>
  <si>
    <t>9710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</si>
  <si>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</si>
  <si>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0210180</t>
  </si>
  <si>
    <t>Інша діяльність у сфері державного управління</t>
  </si>
  <si>
    <t>Надання пільг на оплату житлово-комунальних послуг окремим категоріям громадян відповідно до законодавства</t>
  </si>
  <si>
    <t>0813011</t>
  </si>
  <si>
    <t>3011</t>
  </si>
  <si>
    <t>3041</t>
  </si>
  <si>
    <t>3042</t>
  </si>
  <si>
    <t>3043</t>
  </si>
  <si>
    <t>3044</t>
  </si>
  <si>
    <t>3045</t>
  </si>
  <si>
    <t>3046</t>
  </si>
  <si>
    <t>3047</t>
  </si>
  <si>
    <t>Надання допомоги при усиновленні дитини</t>
  </si>
  <si>
    <t>0813041</t>
  </si>
  <si>
    <t>0813042</t>
  </si>
  <si>
    <t>0813043</t>
  </si>
  <si>
    <t>0813044</t>
  </si>
  <si>
    <t>0813045</t>
  </si>
  <si>
    <t>0813046</t>
  </si>
  <si>
    <t>0813047</t>
  </si>
  <si>
    <t>3050</t>
  </si>
  <si>
    <t>3090</t>
  </si>
  <si>
    <t>0813012</t>
  </si>
  <si>
    <t>3012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</si>
  <si>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</si>
  <si>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</si>
  <si>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3021</t>
  </si>
  <si>
    <t>0813022</t>
  </si>
  <si>
    <t>3022</t>
  </si>
  <si>
    <t>0813050</t>
  </si>
  <si>
    <t>0813090</t>
  </si>
  <si>
    <t>Заходи з організації рятування на водах</t>
  </si>
  <si>
    <t>1218120</t>
  </si>
  <si>
    <t>8120</t>
  </si>
  <si>
    <t>0320</t>
  </si>
  <si>
    <t>2717630</t>
  </si>
  <si>
    <t>Реалізація програм і заходів в галузі зовнішньоекономічної діяльності</t>
  </si>
  <si>
    <t>7630</t>
  </si>
  <si>
    <t>Інші заходи, пов'язані з економічною діяльністю</t>
  </si>
  <si>
    <t>2717693</t>
  </si>
  <si>
    <t>7693</t>
  </si>
  <si>
    <t>Сприяння розвитку малого та середнього підприємництва</t>
  </si>
  <si>
    <t>0411</t>
  </si>
  <si>
    <t>2717610</t>
  </si>
  <si>
    <t>7610</t>
  </si>
  <si>
    <t>Реалізація інших заходів щодо соціально-економічного розвитку територій</t>
  </si>
  <si>
    <t>0813230</t>
  </si>
  <si>
    <t>0813160</t>
  </si>
  <si>
    <t>3160</t>
  </si>
  <si>
    <t>3104</t>
  </si>
  <si>
    <t>3105</t>
  </si>
  <si>
    <t>0813104</t>
  </si>
  <si>
    <t>0813105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</si>
  <si>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</si>
  <si>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</si>
  <si>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</si>
  <si>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</si>
  <si>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</si>
  <si>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3035</t>
  </si>
  <si>
    <t>0813033</t>
  </si>
  <si>
    <t>3033</t>
  </si>
  <si>
    <t>0813035</t>
  </si>
  <si>
    <t>0813036</t>
  </si>
  <si>
    <t>3036</t>
  </si>
  <si>
    <t>1216011</t>
  </si>
  <si>
    <t>6011</t>
  </si>
  <si>
    <t>Експлуатація та технічне обслуговування житлового фонду</t>
  </si>
  <si>
    <t>0620</t>
  </si>
  <si>
    <t>1216017</t>
  </si>
  <si>
    <t>6017</t>
  </si>
  <si>
    <t xml:space="preserve">Інша діяльність, пов’язана з експлуатацією об’єктів житлово-комунального господарства </t>
  </si>
  <si>
    <t>1216013</t>
  </si>
  <si>
    <t>6013</t>
  </si>
  <si>
    <t>Забезпечення діяльності водопровідно-каналізаційного господарства</t>
  </si>
  <si>
    <t>1216030</t>
  </si>
  <si>
    <t>6030</t>
  </si>
  <si>
    <t>Організація благоустрою населених пунктів</t>
  </si>
  <si>
    <t>1217426</t>
  </si>
  <si>
    <t>7426</t>
  </si>
  <si>
    <t>Інші заходи у сфері електротранспорту</t>
  </si>
  <si>
    <t>0453</t>
  </si>
  <si>
    <t>1217461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</si>
  <si>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</si>
  <si>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</si>
  <si>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0456</t>
  </si>
  <si>
    <t>1217640</t>
  </si>
  <si>
    <t>1218110</t>
  </si>
  <si>
    <t>8110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</si>
  <si>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</si>
  <si>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</si>
  <si>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</si>
  <si>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Членські внески до асоціацій органів місцевого самоврядування</t>
  </si>
  <si>
    <t>0217680</t>
  </si>
  <si>
    <t>7680</t>
  </si>
  <si>
    <t>1216015</t>
  </si>
  <si>
    <t>6015</t>
  </si>
  <si>
    <t>Забезпечення надійної та безперебійної експлуатації ліфтів</t>
  </si>
  <si>
    <t>0443</t>
  </si>
  <si>
    <t>1217310</t>
  </si>
  <si>
    <t>7310</t>
  </si>
  <si>
    <r>
      <t>Будівництвоˈ об'єктів житлово-комунального господарства</t>
    </r>
    <r>
      <rPr>
        <sz val="36"/>
        <rFont val="Calibri"/>
        <family val="2"/>
        <charset val="204"/>
      </rPr>
      <t>ˈ</t>
    </r>
  </si>
  <si>
    <r>
      <t xml:space="preserve">1 </t>
    </r>
    <r>
      <rPr>
        <sz val="20"/>
        <rFont val="Times New Roman"/>
        <family val="1"/>
        <charset val="204"/>
      </rPr>
      <t>Будівни́цтво — спорудження нового об'єкта, реконструкція, розширення, добудова, реставрація об'єктів, виконання монтажних робіт за рахунок власних коштів місцевих бюджетів.</t>
    </r>
  </si>
  <si>
    <t>1217670</t>
  </si>
  <si>
    <t>Здійснення  заходів із землеустрою</t>
  </si>
  <si>
    <t>3617130</t>
  </si>
  <si>
    <t>7130</t>
  </si>
  <si>
    <t>0421</t>
  </si>
  <si>
    <t>1617350</t>
  </si>
  <si>
    <t>7350</t>
  </si>
  <si>
    <t>Розроблення схем планування та забудови територій (містобудівної документації)</t>
  </si>
  <si>
    <t>2818311</t>
  </si>
  <si>
    <t>8311</t>
  </si>
  <si>
    <t>2818330</t>
  </si>
  <si>
    <t>8330</t>
  </si>
  <si>
    <t xml:space="preserve">Інша діяльність у сфері екології та охорони природних ресурсів </t>
  </si>
  <si>
    <t>Будівництвоˈ  освітніх установ та закладів</t>
  </si>
  <si>
    <t>1517321</t>
  </si>
  <si>
    <t>7321</t>
  </si>
  <si>
    <t>1517325</t>
  </si>
  <si>
    <t>7325</t>
  </si>
  <si>
    <t>Будівництвоˈ споруд, установ та закладів фізичної культури і спорту</t>
  </si>
  <si>
    <t>Будівництвоˈ інших об'єктів соціальної та виробничої інфраструктури комунальної власності</t>
  </si>
  <si>
    <t>1517330</t>
  </si>
  <si>
    <t>7330</t>
  </si>
  <si>
    <t>Додаток  № 7</t>
  </si>
  <si>
    <t xml:space="preserve">до рішення № </t>
  </si>
  <si>
    <t xml:space="preserve">від    </t>
  </si>
  <si>
    <t>Перелік природоохоронних заходів,</t>
  </si>
  <si>
    <t>які будуть фінансуватися з міського фонду охорони</t>
  </si>
  <si>
    <t>№ п/п</t>
  </si>
  <si>
    <t>Код КПКВ</t>
  </si>
  <si>
    <t>Заходи, на які виділяються кошти</t>
  </si>
  <si>
    <t>ВСЬОГО</t>
  </si>
  <si>
    <t xml:space="preserve">С. Ямчук </t>
  </si>
  <si>
    <t>Будівництвоˈ об'єктів житлово-комунального господарства</t>
  </si>
  <si>
    <t>Реконструкція прв. Перемоги з улаштуванням виїзду на вул.Свободи</t>
  </si>
  <si>
    <t xml:space="preserve">Будівництво внутрішньоквартального проїзду від вул.Залізняка до будинку 16/2 по вул.Лісогринівецькій </t>
  </si>
  <si>
    <t>Розробка проектно-кошторисної документації на реконструкцію парку культури та відпочинку ім. М.Чекмана</t>
  </si>
  <si>
    <t>План зонування території міста Хмельницького (зонінг)</t>
  </si>
  <si>
    <t>Виготовлення актів добору земельної ділянки, яка або право на яку виставляються на земельні торги</t>
  </si>
  <si>
    <t>Проведення експертної грошової оцінки земельної ділянки несільськогосподарського призначення</t>
  </si>
  <si>
    <r>
      <t xml:space="preserve">1 </t>
    </r>
    <r>
      <rPr>
        <sz val="10"/>
        <rFont val="Times New Roman"/>
        <family val="1"/>
        <charset val="204"/>
      </rPr>
      <t>Будівни́цтво — спорудження нового об'єкта, реконструкція, розширення, добудова, реставрація об'єктів, виконання монтажних робіт за рахунок власних коштів місцевих бюджетів.</t>
    </r>
  </si>
  <si>
    <t>Реконструкція каналізаційно-насосної станції з мережами водопроводу та каналізації в мікрорайоні "Лезнево" м.Хмельницький</t>
  </si>
  <si>
    <t>0217670</t>
  </si>
  <si>
    <t>%</t>
  </si>
  <si>
    <t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 </t>
  </si>
  <si>
    <t xml:space="preserve"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</si>
  <si>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</si>
  <si>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 за рахунок відповідної субвенції з державного бюджету</t>
  </si>
  <si>
    <t>Забезпечення діяльності інших закладів у сфері освіти</t>
  </si>
  <si>
    <t>0611161</t>
  </si>
  <si>
    <t>1161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</si>
  <si>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</si>
  <si>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</si>
  <si>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0712151</t>
  </si>
  <si>
    <t>0712152</t>
  </si>
  <si>
    <t>2151</t>
  </si>
  <si>
    <t>2152</t>
  </si>
  <si>
    <t>Надання допомоги по догляду за особами з інвалідністю I чи II групи внаслідок психічного розладу</t>
  </si>
  <si>
    <t>Видатки на поховання учасників бойових дій та осіб з інвалідністю внаслідок війни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</si>
  <si>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</si>
  <si>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</si>
  <si>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</si>
  <si>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</si>
  <si>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0813172</t>
  </si>
  <si>
    <t>3172</t>
  </si>
  <si>
    <t>0813192</t>
  </si>
  <si>
    <t>3192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</si>
  <si>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</t>
  </si>
  <si>
    <t>сімейного типу та прийомних сім'ях за принципом "гроші ходять за дитиною" та оплату послуг із здійснення патронату над дитиною та виплата соціальної допомоги на утримання дитини в сім’ї патронатного вихователя</t>
  </si>
  <si>
    <t>0813241</t>
  </si>
  <si>
    <t>0813242</t>
  </si>
  <si>
    <t>3241</t>
  </si>
  <si>
    <t>3242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</si>
  <si>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</si>
  <si>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</si>
  <si>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 xml:space="preserve">Забезпечення діяльності інших закладів в галузі культури і мистецтва </t>
  </si>
  <si>
    <t>1014081</t>
  </si>
  <si>
    <t>4081</t>
  </si>
  <si>
    <t>1014082</t>
  </si>
  <si>
    <t>4082</t>
  </si>
  <si>
    <t>Інші заходи в галузі культури і мистецтва</t>
  </si>
  <si>
    <t>Інші програми та заходи у сфері освіти</t>
  </si>
  <si>
    <t>0611162</t>
  </si>
  <si>
    <t>1162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</si>
  <si>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</si>
  <si>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</si>
  <si>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</si>
  <si>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Витрати, пов’язані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</si>
  <si>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0610</t>
  </si>
  <si>
    <t>6084</t>
  </si>
  <si>
    <t>1116084</t>
  </si>
  <si>
    <t xml:space="preserve">Кошти від продажу земельних ділянок  несільськогосподарського призначення, що перебувають у державній або комунальній власності </t>
  </si>
  <si>
    <t xml:space="preserve">Інші субвенції з місцевого  бюджету, в тому числі: </t>
  </si>
  <si>
    <t xml:space="preserve">Дотація з місцевого бюджету на здійснення  переданих з державного бюджету видатків з утримання закладів освіти та охорони здоров"я за рахунок відповідної дотації з державного бюджету </t>
  </si>
  <si>
    <t xml:space="preserve">Дотації з місцевих бюджетів іншим місцевим бюджетам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</si>
  <si>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фонди, утворені Верховною Радою Автономної Республіки Крим, органами</t>
  </si>
  <si>
    <t xml:space="preserve">  місцевого самоврядування і місцевими органами виконавчої влади</t>
  </si>
  <si>
    <t>Амбулаторно-поліклінічна допомога населенню, крім первинної медичної допомоги</t>
  </si>
  <si>
    <t>0726</t>
  </si>
  <si>
    <t>0813083</t>
  </si>
  <si>
    <t>3083</t>
  </si>
  <si>
    <t>Надання державної соціальної допомоги особам з інвалідністю з дитинства та дітям з інвалідністю</t>
  </si>
  <si>
    <t>0813081</t>
  </si>
  <si>
    <t>3081</t>
  </si>
  <si>
    <t>0813085</t>
  </si>
  <si>
    <t>3085</t>
  </si>
  <si>
    <t>0813084</t>
  </si>
  <si>
    <t>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</si>
  <si>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</si>
  <si>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</si>
  <si>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</si>
  <si>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Встановлення телефонів особам з інвалідністю I і II груп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</si>
  <si>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 </t>
  </si>
  <si>
    <t>3180</t>
  </si>
  <si>
    <t>0813180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</si>
  <si>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</si>
  <si>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Проведення навчально-тренувальних зборів і змагань та заходів зі спорту осіб з інвалідністю</t>
  </si>
  <si>
    <t>2717370</t>
  </si>
  <si>
    <t>7370</t>
  </si>
  <si>
    <t>Будівництво на кладовищі надгробків на могилах загиблих учасників АТО</t>
  </si>
  <si>
    <t>1113133</t>
  </si>
  <si>
    <t>3133</t>
  </si>
  <si>
    <t>Інші заходи та заклади молодіжної політики</t>
  </si>
  <si>
    <t>Управління економіки Хмельницької міської ради (головний розпорядник)</t>
  </si>
  <si>
    <t>Управління економіки Хмельницької міської ради (відповідальний виконавець)</t>
  </si>
  <si>
    <t>Управління земельних ресурсів та земельної реформи департаменту архітектури, містобудування та земельних ресурсів (головний розпорядник)</t>
  </si>
  <si>
    <t>Управління земельних ресурсів та земельної реформи департаменту архітектури, містобудування та земельних ресурсів (відповідальний розпорядник)</t>
  </si>
  <si>
    <t xml:space="preserve">Зовнішнє фінансування </t>
  </si>
  <si>
    <t xml:space="preserve">Позики, надані міжнародними організаціями </t>
  </si>
  <si>
    <t>Одержано позик</t>
  </si>
  <si>
    <t xml:space="preserve">Погашено позик </t>
  </si>
  <si>
    <t>Зовнішні запозичення</t>
  </si>
  <si>
    <t xml:space="preserve">Середньострокові зобов"язання </t>
  </si>
  <si>
    <t xml:space="preserve">Погашення </t>
  </si>
  <si>
    <t>Зовнішні зобов"язання</t>
  </si>
  <si>
    <t>0170</t>
  </si>
  <si>
    <t>Обслуговування місцевого боргу</t>
  </si>
  <si>
    <t>0712144</t>
  </si>
  <si>
    <t>2144</t>
  </si>
  <si>
    <t>Централізовані заходи з лікування хворих на цукровий та
нецукровий діабет</t>
  </si>
  <si>
    <t>Відшкодування вартості лікарських засобів для лікування
окремих захворювань</t>
  </si>
  <si>
    <t>2146</t>
  </si>
  <si>
    <t>0712146</t>
  </si>
  <si>
    <t>1118841</t>
  </si>
  <si>
    <t>1118842</t>
  </si>
  <si>
    <t>8841</t>
  </si>
  <si>
    <t>8842</t>
  </si>
  <si>
    <t>9770</t>
  </si>
  <si>
    <t>Інші субвенції з місцевого бюджету</t>
  </si>
  <si>
    <t xml:space="preserve">Виготовлення проектно-кошторисної документації на будівництво багаторівневого паркінгу з вбудованими громадськими приміщеннями на вул. Проскурівського підпілля, 34 в м.Хмельницькому </t>
  </si>
  <si>
    <t>Програма створення та розвитку індустріального парку "Хмельницький"</t>
  </si>
  <si>
    <t>Виготовлення робочого проекту на спорудження пам'ятника "Скіфський курган - історія наших предків" по вул.Проспект Миру, 102 в м.Хмельницькому</t>
  </si>
  <si>
    <t>Програма підтримки книговидання місцевих авторів та популяризації української книги у м.Хмельницькому на 2018-2020 роки "Читай українською"</t>
  </si>
  <si>
    <t>6082</t>
  </si>
  <si>
    <t>Придбання житла для окремих категорій населення відповідно до законодавства</t>
  </si>
  <si>
    <t>0816082</t>
  </si>
  <si>
    <t>Створення цифрових інженерно-топографічних планів масштабу 1:2000 з цифровою точністю 1:500 та створення 3D будівель міста</t>
  </si>
  <si>
    <t>3617650</t>
  </si>
  <si>
    <t>7650</t>
  </si>
  <si>
    <t>Проведення експертної грошової оцінки земельної ділянки чи права на неї</t>
  </si>
  <si>
    <t>Проведення аерофототопографічної зйомки території міста Хмельницького</t>
  </si>
  <si>
    <t>Заходи з озеленення міста</t>
  </si>
  <si>
    <t>0813082</t>
  </si>
  <si>
    <t>3082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</si>
  <si>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</si>
  <si>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Будівництво дошкільного навчального закладу на 120 місць по провулку Шостаковича, 28-А в м. Хмельницькому</t>
  </si>
  <si>
    <t>Реконструкція приміщень НВО №1 по вул. Старокостянтинівське шосе, 3Б в м. Хмельницькому (в тому числі коригування проектно-кошторисної документації)</t>
  </si>
  <si>
    <t xml:space="preserve">Будівництво Палацу спорту по вул.Прибузькій, 5/1А в м.Хмельницькому, в т.ч. виготовлення проектно-кошторисної документації </t>
  </si>
  <si>
    <t>Будівництво магістральної дороги на вул. Січових стрільців в м. Хмельницькому</t>
  </si>
  <si>
    <t>Реконструкція  вбудовано-прибудованої аптеки під адміністративне приміщення управління адміністративних послуг Хмельницької міської ради  по вул. Кам"янецькій, 38 в м. Хмельницькому</t>
  </si>
  <si>
    <t>Внески до статутного капіталу ХКП "Спецкомунтранс" (придбання контейнерів)</t>
  </si>
  <si>
    <t>Будівництво свердловини для господарсько-питного водопостачання ПНЗ ДЮОК "Чайка"</t>
  </si>
  <si>
    <t xml:space="preserve">до рішення  №        від         2018 року </t>
  </si>
  <si>
    <t>Будівництво навчально-виховного комплексу на вул. Залізняка, 32 в м.Хмельницькому</t>
  </si>
  <si>
    <t>Будівництво самопливного і напірного колекторів та каналізаційної насосної станції продуктивністю 1500 куб.м/добу на житловому масиві "Лезнево 1,2" в м.Хмельницькому</t>
  </si>
  <si>
    <t>Виготовлення проектно-кошторисної документації  на будівництво переходу через залізницю в продовження Старокостянтинівського шосе в м.Хмельницькому</t>
  </si>
  <si>
    <t>Надання загальної середньої освіти загальноосвітніми навчальними закладами (в т. ч. школою-дитячим садком, інтернатом при школі), спеціалізованими школами, ліцеями, гімназіями, колегіумами</t>
  </si>
  <si>
    <t>Додаток № 4
до рішення  №          від                     2018 року</t>
  </si>
  <si>
    <t xml:space="preserve">Додаток № 5
до рішення №              від                 2018 року
</t>
  </si>
  <si>
    <t>Виготовлення проектно-кошторисної документації на будівництво  вулиці від вулиці Степана Бандери до вулиці Західно-Окружної в м. Хмельницькому</t>
  </si>
  <si>
    <t>Виготовлення проектно-кошторисної документації на будівництво вулиці  Лісогринівецької (від вул. С.Бандери до Старокостянтинівського шосе) в м. Хмельницькому</t>
  </si>
  <si>
    <t>Організація та проведення громадських робіт</t>
  </si>
  <si>
    <t>0213210</t>
  </si>
  <si>
    <t>3210</t>
  </si>
  <si>
    <t>1050</t>
  </si>
  <si>
    <t>Управління капітального будівництва Департаменту архітектури, містобудування та земельних ресурсів Хмельницької міської ради (відповідальний виконавець)</t>
  </si>
  <si>
    <t>Управління капітального будівництва Департаменту архітектури, містобудування та земельних ресурсів Хмельницької міської ради (головний розпорядник)</t>
  </si>
  <si>
    <t xml:space="preserve">Реконструкція з добудовою їдальні до існуючого приміщення спеціалізованої загальноосвітньої школи І-ІІІ ступенів №8 по вул. Я.Гальчевського, 34 в м.Хмельницькому </t>
  </si>
  <si>
    <t xml:space="preserve">Плата за встановлення земельного сервітуту 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</si>
  <si>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 </t>
  </si>
  <si>
    <t>1119770</t>
  </si>
  <si>
    <t xml:space="preserve"> Реконструкція з добудовою приміщень Хмельницького ліцею №17 під спортивну залу на вул.Героїв Майдану, 5 в м.Хмельницькому (в т.ч. виготовлення проектно-кошторисної документації)</t>
  </si>
  <si>
    <t>1216012</t>
  </si>
  <si>
    <t>6012</t>
  </si>
  <si>
    <t>Забезпечення діяльності з виробництва, транспортування, постачання теплової енергії</t>
  </si>
  <si>
    <t>Програма «Здоров’я хмельничан» на 2017-2021 роки</t>
  </si>
  <si>
    <t>Керуючий справами виконавчого комітету</t>
  </si>
  <si>
    <t xml:space="preserve">   Ю. Сабій </t>
  </si>
  <si>
    <t>Ю. Сабій</t>
  </si>
  <si>
    <t xml:space="preserve">Керуючий справами виконавчого комітету                                                                                                                                               Ю.Сабій </t>
  </si>
  <si>
    <t xml:space="preserve">Керуючий справами виконавчого комітету  </t>
  </si>
  <si>
    <t xml:space="preserve">     Начальник фінансового управління</t>
  </si>
  <si>
    <t>Доходи  бюджету м. Хмельницького на 2019 рік</t>
  </si>
  <si>
    <t>на 2019 рік</t>
  </si>
  <si>
    <t>Залишок коштів на 01.01.2019 року</t>
  </si>
  <si>
    <t>Найменування згідно з Класифікацією фінансування бюджету</t>
  </si>
  <si>
    <t xml:space="preserve">Фінансування за типом кредитора </t>
  </si>
  <si>
    <t>Загальне фінансування</t>
  </si>
  <si>
    <t>Х</t>
  </si>
  <si>
    <t xml:space="preserve">Фінансування за типом боргового зобов'язання </t>
  </si>
  <si>
    <t>Усього</t>
  </si>
  <si>
    <t>усього</t>
  </si>
  <si>
    <t>у тому числі бюджет розвитку</t>
  </si>
  <si>
    <t xml:space="preserve">Фінансування бюджету міста Хмельницького на 2019 рік </t>
  </si>
  <si>
    <t>видатків бюджету міста Хмельницького на 2019 рік</t>
  </si>
  <si>
    <t>(грн.)</t>
  </si>
  <si>
    <t>С.Ямчук</t>
  </si>
  <si>
    <t xml:space="preserve">                      Начальник фінансового управління                                                 </t>
  </si>
  <si>
    <t>Код Типової програмної класифікації видатків та кредитування місцевих бюджетів</t>
  </si>
  <si>
    <t>Найменування головного розпорядника коштів бюджету міста Хмельницького 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</si>
  <si>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Кредитування бюджету міста Хмельницького у 2019 році</t>
  </si>
  <si>
    <t>загальний фонд</t>
  </si>
  <si>
    <t>спеціальний фонд</t>
  </si>
  <si>
    <t>разом</t>
  </si>
  <si>
    <t>Кредитування, усього</t>
  </si>
  <si>
    <t>Код Функціональної класифікації видатків та кредитування бюджету</t>
  </si>
  <si>
    <t>УСЬОГО</t>
  </si>
  <si>
    <t>Розподіл коштів бюджету розвитку за об'єктами у 2019 році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</si>
  <si>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</si>
  <si>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</si>
  <si>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</si>
  <si>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</si>
  <si>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</si>
  <si>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</si>
  <si>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</si>
  <si>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</si>
  <si>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</si>
  <si>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</si>
  <si>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</si>
  <si>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</si>
  <si>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Найменування об’єкта відповідно  до проектно-кошторисної документації</t>
  </si>
  <si>
    <t>Строк реалізації об'єкта (рік початку і завершення)</t>
  </si>
  <si>
    <t>Загальна вартість об'єкта, гривень</t>
  </si>
  <si>
    <t>Обсяг видатків бюджету розвитку, гривень</t>
  </si>
  <si>
    <t>Рівень будівельної готовності об'єкта на кінець бюджетного періоду, %</t>
  </si>
  <si>
    <t>навколишнього природного середовища у 2019 році</t>
  </si>
  <si>
    <t>Розподіл витрат бюджету міста Хмельницького на реалізацію місцевих/регіональних програм у 2019 році</t>
  </si>
  <si>
    <t>(грн)</t>
  </si>
  <si>
    <t>Сума, грн</t>
  </si>
  <si>
    <t xml:space="preserve">Відшкодування витрат, понесених комунальним підприємством "Чайка", на надання  лазневих послуг на пільгових умовах учасникам  бойових дій та інвалідам війни, які зареєстровані у м.Хмельницькому </t>
  </si>
  <si>
    <t>Найменування місцевої/регіональної програми</t>
  </si>
  <si>
    <t>Додаток №8</t>
  </si>
  <si>
    <t>Дата та номер документа, яким затверджено місцеву/регіональну програму</t>
  </si>
  <si>
    <t>2016-2019</t>
  </si>
  <si>
    <t>2018-2019</t>
  </si>
  <si>
    <t>2012-2019</t>
  </si>
  <si>
    <t>2018-2020</t>
  </si>
  <si>
    <t>2015-2019</t>
  </si>
  <si>
    <t>Виготовлення проектно-кошторисної документації на будівництво міжквартального проїзду між вулицями Зарічанською та Прибузькою (повз стадіону Політехнічного коледжу) у м.Хмельницькому</t>
  </si>
  <si>
    <t>2013-2020</t>
  </si>
  <si>
    <t>Наукові дослідження, проектні та проектно-конструкторські розроблення (виготовлення проекту на установлення обладнання для очищення газопилового потоку від забруднюючих речовин, що викидається в атмосферне повітря)</t>
  </si>
  <si>
    <t>Заходи щодо відновлення і підтримання сприятливого гідрологічного режиму та санітарного стану водойм міста - капітальний ремонт гідроспоруди на річці Південний Буг в районі вул.Трудової з розробкою проектно-кошторисної документації</t>
  </si>
  <si>
    <t>Придбання систем, приладів для здійснення контролю за якістю поверхневих та підземних вод на території міста (придбання муфельної печі ФНОЛ7.2/1100 для лабораторних досліджень питної води)</t>
  </si>
  <si>
    <t>Проведення науково-технічних конференцій і семінарів, організація виставок, фестивалів та інших заходів щодо пропаганди охорони навколишнього природного середовища, видання поліграфічної продукції з екологічної тематики тощо</t>
  </si>
  <si>
    <t>Розроблення проекту землеустрою щодо встановлення меж міста Хмельницького</t>
  </si>
  <si>
    <t xml:space="preserve">Створення цифрових інженерно-топографічних планів масштабу 1:2000 з цифровою точністю 1:500 території міста Хмельницький та створення 3D моделей будівель міста </t>
  </si>
  <si>
    <t>2017 - 2020 роки</t>
  </si>
  <si>
    <t>Рішення 6-ї сесії Хмельницької міської ради від 18.05.2016 року №16</t>
  </si>
  <si>
    <t xml:space="preserve">Програма
підтримки обдарованих дітей м.Хмельницького 
</t>
  </si>
  <si>
    <t>Рішення 19-ї сесії Хмельницької міської ради від 21.02.2001 року №6</t>
  </si>
  <si>
    <t>Будівництво пандусу на території стадіону Рекреаційного центру "Берег надії" за адресою вул. Підлісна 4/1, с. Головчинці Летичівського району Хмельницької області (в т.ч. виготовлення ПКД)</t>
  </si>
  <si>
    <t>0817323</t>
  </si>
  <si>
    <t>7323</t>
  </si>
  <si>
    <t>Будівництвоˈ установ та закладів соціальної сфери</t>
  </si>
  <si>
    <t>Будівництво приміщення відділення тимчасового цілодобового перебування Хмельницького міського територіального центру соціального обслуговування (надання соціальних послуг) по вул. Перемоги, 7-А в м.Хмельницькому</t>
  </si>
  <si>
    <t>Рішення 11-ї сесії Хмельницької міської ради від 25.01.2017 року №20</t>
  </si>
  <si>
    <t>Рішення 20-ї сесії Хмельницької міської ради від 31.01.2018 року №82</t>
  </si>
  <si>
    <t>Рішення позачергової 10-ї сесії Хмельницької міської ради від 29.12.2016 року №1</t>
  </si>
  <si>
    <t>Внески до статутного капіталу комунального підприємства по будівництву, ремонту та експлуатації доріг (Придбання вакуумногодорожньо-прибирального причіпу)</t>
  </si>
  <si>
    <t>Внески до статутного капіталуХМКП "Муніципальна дружина" (Придбання нагрудних відеореєстраторів)</t>
  </si>
  <si>
    <t>Внески до статутного капіталу МКП "Хмельницькводоканал" (на виготовлення проектно-кошторисної документації з будівництва сучасних каналізаційних очисних споруд господарсько-побутових стоків м. Хмельницький, вул. Вінницьке шосе, 135)</t>
  </si>
  <si>
    <t>Оформлення передплати на газети організаціям інвалідів, ветеранів війни і праці, окремим категоріям громадян</t>
  </si>
  <si>
    <t>Робочий проект на реконструкцію приміщень відділення хірургії та неврології Хмельницької  дитячої лікарні за адресою: м.Хмельницький, вул.С. Разіна,1</t>
  </si>
  <si>
    <t>Робочий проект реконструкції покрівлі з влаштуванням шатрового даху корпусу №2 Хмельницької міської лікарні по пр. Проскурівський, 1 в м. Хмельницькому</t>
  </si>
  <si>
    <t>Робочиий проект на реконструкцію приміщень Хмельницької дитячої лікарні під відділення невідкладної допомоги та реанімації за адресою: м.Хмельницький, вул. С.Разіна,1</t>
  </si>
  <si>
    <t>Рішення позачергової 10-ї сесії Хмельницької міської ради від 29.12.2016 року №4</t>
  </si>
  <si>
    <t>Рішення 19-ї сесії Хмельницької міської ради від 27.12.2017 року №25</t>
  </si>
  <si>
    <t>Будівництво мережі каналізації ЗОШ №19 м.р. Ружична м.Хмельницький</t>
  </si>
  <si>
    <t>Спортивний майданчик на території СЗОШ І-ІІІ ступенів №6 по провулку Володимирський, 12,  м.Хмельницький - будівництво</t>
  </si>
  <si>
    <t>Рішення позачергової 10-ї сесії Хмельницької міської ради від 29.12.2016 року №2</t>
  </si>
  <si>
    <t>Проект програми економічного та соціального розвитку міста Хмельницького на 2019 рік</t>
  </si>
  <si>
    <t>1217413</t>
  </si>
  <si>
    <t>7413</t>
  </si>
  <si>
    <t>0451</t>
  </si>
  <si>
    <t>Інші заходи у сфері автотранспорту</t>
  </si>
  <si>
    <t>0810160</t>
  </si>
  <si>
    <t>0710160</t>
  </si>
  <si>
    <t>Програма утримання та розвитку житлово-комунального господарства та благоустрою м.Хмельницького на 2017-2020 роки</t>
  </si>
  <si>
    <t>Програма співфінансування робіт з капітального ремонту багатоквартирних житлових будинків міста Хмельницького на 2017-2022 роки</t>
  </si>
  <si>
    <t>Програма розвитку міського електротранспорту м. Хмельницького на 2016-2020 роки</t>
  </si>
  <si>
    <t>рішення позачергової десятої сесії Хмельницької міської ради від 29.12.2016 року № 6                    рішення двадцятої сесії Хмельницької міської ради від 31.01.2018 р. № 19</t>
  </si>
  <si>
    <t>Програма утримання та розвитку житлово-комунального господарства та благоустрою м.Хмельницького на 2017-2020 роки                      Програма сприяння впровадження відновлювальних джерел енергії власниками приватних житлових будинків м. Хмельницького на 2018-2029 роки</t>
  </si>
  <si>
    <t>рішення позачергової десятої сесії Хмельницької міської ради від 29.12.2016 року № 6                     рішення дев’ятнадцятої сесії Хмельницької міської ради від 27.12.2017 р. № 39</t>
  </si>
  <si>
    <t>Попередження виникнення надзвичайних ситуацій та забезпечення  пожежної і техногенної безпеки (об"єктів усіх форм власності,розвитку інфраструктури пожежно-рятувальних підрозділів у м.Хмельницькому на 2016-2020 роки</t>
  </si>
  <si>
    <t>Рішення позачергової 10-ї сесії Хмельницької міської ради від 29.12.2016 року № 6</t>
  </si>
  <si>
    <t>Рішення шістнадцятої сесії Хмельницької міської ради від 12.07.2017 року № 6</t>
  </si>
  <si>
    <t>Програми часткового відшкодування відсоткових ставок за залученими кредитами, що надаються фізичним особам, об’єднанням співвласників багатоквартирних будинків та житлово-будівельним кооперативам на заходи з підвищення енергоефективності на 2018-2021 роки</t>
  </si>
  <si>
    <t>Рішення 6-ї сесії Хмельницької міської ради від 18.05.2016 року № 37</t>
  </si>
  <si>
    <t>Рішення 19-ї сесії Хмельницької міської ради від 27.12.2017 р. № 40</t>
  </si>
  <si>
    <t>Програма відшкодування частини кредитів, отриманих ОСБб, ЖБК на впровадження відновлювальних джерел енергії та заходів з енергозбереження, термомодернізації багатоквартирних житлових будинків у м. Хмельницькому на 2018-2022 роки</t>
  </si>
  <si>
    <t>Рішення 4-ї сесії Хмельницької міськї ради від 27.01.2016 року №57</t>
  </si>
  <si>
    <t>1510160</t>
  </si>
  <si>
    <t>3610160</t>
  </si>
  <si>
    <t>1610160</t>
  </si>
  <si>
    <t>3710160</t>
  </si>
  <si>
    <t>1210160</t>
  </si>
  <si>
    <t>2810160</t>
  </si>
  <si>
    <t>Рішення 48-ї сесії Хмельницької міської ради від 04.03.2015 року №80</t>
  </si>
  <si>
    <t>Програма впровадження електронного урядування у Хмельницькій  міській раді на 2015-2020 роки (із змінами і доповненнями)</t>
  </si>
  <si>
    <t>Рішення 19-ї сесії Хмельницької міської ради від 27.12.2017 року №48</t>
  </si>
  <si>
    <t>Програма розвитку міського комунального підприємства "Муніципальна телерадіокомпанія "Місто"" на 2017-2020 роки (із змінами і доповненнями)</t>
  </si>
  <si>
    <t>0817691</t>
  </si>
  <si>
    <t>1217691</t>
  </si>
  <si>
    <t>Рішення 8-ї сесії Хмельницької міської ради від 21.09.2016 року №3</t>
  </si>
  <si>
    <t>Програма бюджетування за участі громадськості (Бюджет участі) міста Хмельницького на 2017-2019 роки (із змінами і доповненнями)</t>
  </si>
  <si>
    <t>Проект програми розвитку підприємництва м.Хмельницького</t>
  </si>
  <si>
    <t>Рішення 21-ї сесії Хмельницької міської ради від 11.04.2018 року №11</t>
  </si>
  <si>
    <t>Програма міжнародного співробітництва та промоції міста Хмельницького на 2016-2020 роки (із змінами і доповненнями)</t>
  </si>
  <si>
    <t>Рішення 7-ї сесії Хмельницької міської ради від 20.07.2016 року №76</t>
  </si>
  <si>
    <t>Проект програми фінансової підтримки комунальної установи Хмельницької міської ради "Агенція розвитку Хмельницького" на 2019-2021 роки</t>
  </si>
  <si>
    <t>Внески до статутного капіталуХМКП "Муніципальна дружина" (Придбання автомобіля)</t>
  </si>
  <si>
    <t>Внески до статутного капіталу ХКП "Спецкомунтранс" (придбання обладнання)</t>
  </si>
  <si>
    <t>Програма розвитку освіти міста Хмельницького на 2017-2021 роки (із змінами і доповненнями)</t>
  </si>
  <si>
    <t>Комплексна програма «Піклування» в м.Хмельницькому на 2017 - 2021 роки (із змінами і доповненнями)</t>
  </si>
  <si>
    <t>Програми соціальної підтримки учасників АТО, учасників Революції Гідності, бійців-добровольців АТО у м. Хмельницькому та членів їх сімей на 2018 - 2020 рр. (із змінами і доповненнями)</t>
  </si>
  <si>
    <t>Програми соціальної підтримки учасників АТО, учасників Революції Гідності, бійців-добровольців АТО у м. Хмельницькому та членів їх сімей на 2018 - 2020 рр.  (із змінами і доповненнями)</t>
  </si>
  <si>
    <t>Програма реалізації молодіжної політики та розвитку фізичної культури і спорту у м.Хмельницькому на 2017 - 2021 роки (із змінами і доповненнями)</t>
  </si>
  <si>
    <t>Програма охорони довкілля міста Хмельницького на 2016-2020 роки</t>
  </si>
  <si>
    <t>Рішення 5-ї сесії Хмельницької міської ради від 16.0.2016 року №31  (із змінами і доповненнями)</t>
  </si>
  <si>
    <t>у тому числі  бюджет розвитку</t>
  </si>
  <si>
    <t xml:space="preserve">Усього доходів </t>
  </si>
  <si>
    <t>Офіційні трансферти</t>
  </si>
  <si>
    <t xml:space="preserve">Секретар міської ради </t>
  </si>
  <si>
    <t>М. Кривак</t>
  </si>
  <si>
    <t>Внески до статутного капіталу МКП "Хмельницькводоканал" (на реконструкцію системи знезараження питної води ВНС-9 по проспекту Миру,36/2а у м Хмельницький)</t>
  </si>
  <si>
    <t xml:space="preserve">Внески до статутного капіталу МКП "Хмельницькводоканал" (на виготовлення проектно-кошторисної документації з реконструкції ГКНС з переоснащенням системи вентиляції, опалення, будівельних конструкцій і комунікацій </t>
  </si>
  <si>
    <t>Внески до статутного капіталу МКП "Хмельницькводоканал" (на виготовлення проектно-кошторисної документації на будівництво мереж каналізації від прв. Гавришка, 29/1 до вул. Вигодовського, 41 м-н Ружична м. Хмельницький</t>
  </si>
  <si>
    <t>План зонування території міста Хмельницький (зонінг)</t>
  </si>
  <si>
    <t>2019 рік</t>
  </si>
  <si>
    <t>Додаток 9 до рішення  </t>
  </si>
  <si>
    <t>ПЕРЕЛІК </t>
  </si>
  <si>
    <t>кредитів (позик), що залучаються Хмельницькою міською радою до спеціального фонду місцевого бюджету у 2019 році від міжнародних фінансових організацій для реалізації інвестиційних проектів</t>
  </si>
  <si>
    <t>Код Програмної класифікації видатків та кредитування місцевих бюджетів</t>
  </si>
  <si>
    <t>Код Типової програмної класифікації видатків та кредитування місцевих бюджетів</t>
  </si>
  <si>
    <t>Код Функціональної класифікації видатків та кредитування бюджету</t>
  </si>
  <si>
    <t>Найменування 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</si>
  <si>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кредитора</t>
  </si>
  <si>
    <t>Найменування інвестиційного проекту, що реалізується за рахунок кредиту (позики)</t>
  </si>
  <si>
    <t>Номер та дата договору</t>
  </si>
  <si>
    <t>Термін кредитування</t>
  </si>
  <si>
    <t>Загальний обсяг кредиту (позики)</t>
  </si>
  <si>
    <t>Обсяг залучення кредиту (позики) у плановому році, тис. гривень</t>
  </si>
  <si>
    <t>назва валюти, в якій залучається кредит (позика) </t>
  </si>
  <si>
    <t>загальний обсяг кредиту (позики), тис. одиниць </t>
  </si>
  <si>
    <t>загальний обсяг залучення кредиту (позики), тис. гривень </t>
  </si>
  <si>
    <t>Департамент освіти та науки ХМР</t>
  </si>
  <si>
    <t xml:space="preserve">НЕФКО </t>
  </si>
  <si>
    <t>Підвищення енергетичної ефективності закладів бюджетної сфери міста Хмельницького</t>
  </si>
  <si>
    <t xml:space="preserve"> № ESC 2/16 27.12.2016 р.</t>
  </si>
  <si>
    <t>5 років</t>
  </si>
  <si>
    <t>гривня</t>
  </si>
  <si>
    <t>×</t>
  </si>
  <si>
    <t>Секретар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</si>
</sst>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0.000"/>
  </numFmts>
  <fonts count="125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Arial Cyr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11"/>
      <color indexed="19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i/>
      <sz val="36"/>
      <name val="Times New Roman"/>
      <family val="1"/>
      <charset val="204"/>
    </font>
    <font>
      <sz val="36"/>
      <name val="Times New Roman"/>
      <family val="1"/>
      <charset val="204"/>
    </font>
    <font>
      <b/>
      <i/>
      <sz val="36"/>
      <name val="Times New Roman"/>
      <family val="1"/>
      <charset val="204"/>
    </font>
    <font>
      <b/>
      <sz val="37"/>
      <name val="Times New Roman"/>
      <family val="1"/>
      <charset val="204"/>
    </font>
    <font>
      <i/>
      <sz val="37"/>
      <name val="Times New Roman"/>
      <family val="1"/>
      <charset val="204"/>
    </font>
    <font>
      <sz val="37"/>
      <name val="Times New Roman"/>
      <family val="1"/>
      <charset val="204"/>
    </font>
    <font>
      <b/>
      <i/>
      <sz val="37"/>
      <name val="Times New Roman"/>
      <family val="1"/>
      <charset val="204"/>
    </font>
    <font>
      <sz val="36"/>
      <name val="Arial Cyr"/>
      <charset val="204"/>
    </font>
    <font>
      <b/>
      <sz val="1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Arial Cyr"/>
      <charset val="204"/>
    </font>
    <font>
      <sz val="11"/>
      <name val="Times New Roman Cyr"/>
      <charset val="204"/>
    </font>
    <font>
      <i/>
      <sz val="11"/>
      <color indexed="8"/>
      <name val="Times New Roman"/>
      <family val="1"/>
      <charset val="204"/>
    </font>
    <font>
      <i/>
      <sz val="10"/>
      <name val="Arial Cyr"/>
      <charset val="204"/>
    </font>
    <font>
      <sz val="11"/>
      <name val="Arial Cyr"/>
      <charset val="204"/>
    </font>
    <font>
      <b/>
      <sz val="28"/>
      <name val="Times New Roman Cyr"/>
      <family val="1"/>
      <charset val="204"/>
    </font>
    <font>
      <b/>
      <sz val="36"/>
      <name val="Times New Roman Cyr"/>
      <family val="1"/>
      <charset val="204"/>
    </font>
    <font>
      <sz val="20"/>
      <name val="Times New Roman Cyr"/>
      <family val="1"/>
      <charset val="204"/>
    </font>
    <font>
      <b/>
      <sz val="26"/>
      <name val="Times New Roman Cyr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8"/>
      <name val="Bookman Old Style"/>
      <family val="1"/>
      <charset val="204"/>
    </font>
    <font>
      <sz val="8"/>
      <name val="Bookman Old Style"/>
      <family val="1"/>
      <charset val="204"/>
    </font>
    <font>
      <b/>
      <i/>
      <sz val="9"/>
      <color indexed="62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 CYR"/>
      <charset val="204"/>
    </font>
    <font>
      <sz val="9"/>
      <name val="Times New Roman CYR"/>
      <charset val="204"/>
    </font>
    <font>
      <b/>
      <sz val="12.5"/>
      <name val="Times New Roman"/>
      <family val="1"/>
      <charset val="204"/>
    </font>
    <font>
      <sz val="12"/>
      <name val="Arial Cyr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b/>
      <i/>
      <sz val="10"/>
      <name val="Arial"/>
      <family val="2"/>
      <charset val="204"/>
    </font>
    <font>
      <b/>
      <sz val="36"/>
      <name val="Arial Cyr"/>
      <charset val="204"/>
    </font>
    <font>
      <sz val="28"/>
      <name val="Arial Cyr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22"/>
      <name val="Times New Roman Cyr"/>
      <family val="1"/>
      <charset val="204"/>
    </font>
    <font>
      <sz val="10"/>
      <color theme="9"/>
      <name val="Arial"/>
      <family val="2"/>
      <charset val="204"/>
    </font>
    <font>
      <b/>
      <sz val="48"/>
      <name val="Times New Roman Cyr"/>
      <family val="1"/>
      <charset val="204"/>
    </font>
    <font>
      <sz val="48"/>
      <name val="Arial Cyr"/>
      <charset val="204"/>
    </font>
    <font>
      <sz val="36"/>
      <name val="Calibri"/>
      <family val="2"/>
      <charset val="204"/>
    </font>
    <font>
      <vertAlign val="superscript"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name val="Times New Roman Cyr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family val="2"/>
      <charset val="204"/>
    </font>
    <font>
      <sz val="36"/>
      <name val="Times New Roman Cyr"/>
      <family val="1"/>
      <charset val="204"/>
    </font>
    <font>
      <i/>
      <sz val="10"/>
      <name val="Times New Roman"/>
      <family val="1"/>
      <charset val="204"/>
    </font>
    <font>
      <sz val="50"/>
      <name val="Arial Cyr"/>
      <charset val="204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i/>
      <sz val="11"/>
      <name val="Times New Roman Cyr"/>
      <family val="1"/>
      <charset val="204"/>
    </font>
    <font>
      <b/>
      <sz val="10"/>
      <name val="Times New Roman CYR"/>
      <charset val="204"/>
    </font>
    <font>
      <b/>
      <i/>
      <sz val="37"/>
      <name val="Arial Cyr"/>
      <charset val="204"/>
    </font>
    <font>
      <sz val="22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34"/>
      <name val="Times New Roman"/>
      <family val="1"/>
      <charset val="204"/>
    </font>
    <font>
      <sz val="14"/>
      <name val="Arial"/>
      <family val="2"/>
      <charset val="204"/>
    </font>
    <font>
      <sz val="32"/>
      <color indexed="8"/>
      <name val="Times New Roman"/>
      <family val="1"/>
      <charset val="204"/>
    </font>
    <font>
      <sz val="72"/>
      <name val="Arial Cyr"/>
      <charset val="204"/>
    </font>
    <font>
      <i/>
      <sz val="36"/>
      <name val="Arial Cyr"/>
      <charset val="204"/>
    </font>
    <font>
      <sz val="4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Arial Unicode MS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0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9" tint="0.80001220740379042"/>
        </stop>
      </gradientFill>
    </fill>
    <fill>
      <gradientFill type="path" left="0.5" right="0.5" top="0.5" bottom="0.5">
        <stop position="0">
          <color theme="0"/>
        </stop>
        <stop position="1">
          <color rgb="FFFFFFCC"/>
        </stop>
      </gradientFill>
    </fill>
    <fill>
      <patternFill patternType="solid">
        <fgColor rgb="FFCCFFFF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CCFFFF"/>
        </stop>
      </gradientFill>
    </fill>
    <fill>
      <patternFill patternType="solid">
        <fgColor rgb="FF66FFFF"/>
        <bgColor auto="1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">
    <xf numFmtId="0" fontId="0" fillId="0" borderId="0"/>
    <xf numFmtId="0" fontId="2" fillId="0" borderId="0"/>
    <xf numFmtId="0" fontId="16" fillId="2" borderId="1" applyNumberFormat="0" applyAlignment="0" applyProtection="0"/>
    <xf numFmtId="0" fontId="24" fillId="3" borderId="0" applyNumberFormat="0" applyBorder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50" fillId="0" borderId="0"/>
    <xf numFmtId="0" fontId="26" fillId="0" borderId="0"/>
    <xf numFmtId="0" fontId="2" fillId="0" borderId="0"/>
    <xf numFmtId="0" fontId="50" fillId="0" borderId="0"/>
    <xf numFmtId="0" fontId="2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7" fillId="0" borderId="0">
      <alignment vertical="top"/>
    </xf>
    <xf numFmtId="0" fontId="20" fillId="5" borderId="5" applyNumberFormat="0" applyAlignment="0" applyProtection="0"/>
    <xf numFmtId="0" fontId="21" fillId="0" borderId="0" applyNumberFormat="0" applyFill="0" applyBorder="0" applyAlignment="0" applyProtection="0"/>
    <xf numFmtId="0" fontId="2" fillId="0" borderId="0"/>
    <xf numFmtId="0" fontId="50" fillId="0" borderId="0"/>
    <xf numFmtId="0" fontId="4" fillId="0" borderId="0"/>
    <xf numFmtId="0" fontId="68" fillId="0" borderId="0" applyNumberFormat="0" applyFont="0" applyFill="0" applyBorder="0" applyAlignment="0" applyProtection="0">
      <alignment vertical="top"/>
    </xf>
    <xf numFmtId="0" fontId="25" fillId="0" borderId="0"/>
    <xf numFmtId="0" fontId="3" fillId="0" borderId="0" applyNumberFormat="0" applyFont="0" applyFill="0" applyBorder="0" applyAlignment="0" applyProtection="0">
      <alignment vertical="top"/>
    </xf>
    <xf numFmtId="0" fontId="4" fillId="0" borderId="0"/>
    <xf numFmtId="0" fontId="25" fillId="0" borderId="0"/>
    <xf numFmtId="0" fontId="50" fillId="0" borderId="0"/>
    <xf numFmtId="0" fontId="22" fillId="0" borderId="6" applyNumberFormat="0" applyFill="0" applyAlignment="0" applyProtection="0"/>
    <xf numFmtId="0" fontId="27" fillId="4" borderId="0" applyNumberFormat="0" applyBorder="0" applyAlignment="0" applyProtection="0"/>
    <xf numFmtId="0" fontId="25" fillId="0" borderId="0"/>
    <xf numFmtId="0" fontId="23" fillId="0" borderId="0" applyNumberFormat="0" applyFill="0" applyBorder="0" applyAlignment="0" applyProtection="0"/>
    <xf numFmtId="0" fontId="2" fillId="0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3" borderId="0" applyNumberFormat="0" applyBorder="0" applyAlignment="0" applyProtection="0"/>
    <xf numFmtId="0" fontId="81" fillId="2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81" fillId="13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4" borderId="0" applyNumberFormat="0" applyBorder="0" applyAlignment="0" applyProtection="0"/>
    <xf numFmtId="0" fontId="82" fillId="15" borderId="0" applyNumberFormat="0" applyBorder="0" applyAlignment="0" applyProtection="0"/>
    <xf numFmtId="0" fontId="82" fillId="12" borderId="0" applyNumberFormat="0" applyBorder="0" applyAlignment="0" applyProtection="0"/>
    <xf numFmtId="0" fontId="82" fillId="13" borderId="0" applyNumberFormat="0" applyBorder="0" applyAlignment="0" applyProtection="0"/>
    <xf numFmtId="0" fontId="82" fillId="16" borderId="0" applyNumberFormat="0" applyBorder="0" applyAlignment="0" applyProtection="0"/>
    <xf numFmtId="0" fontId="82" fillId="17" borderId="0" applyNumberFormat="0" applyBorder="0" applyAlignment="0" applyProtection="0"/>
    <xf numFmtId="0" fontId="82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16" borderId="0" applyNumberFormat="0" applyBorder="0" applyAlignment="0" applyProtection="0"/>
    <xf numFmtId="0" fontId="82" fillId="17" borderId="0" applyNumberFormat="0" applyBorder="0" applyAlignment="0" applyProtection="0"/>
    <xf numFmtId="0" fontId="82" fillId="22" borderId="0" applyNumberFormat="0" applyBorder="0" applyAlignment="0" applyProtection="0"/>
    <xf numFmtId="0" fontId="16" fillId="2" borderId="1" applyNumberFormat="0" applyAlignment="0" applyProtection="0"/>
    <xf numFmtId="0" fontId="83" fillId="23" borderId="19" applyNumberFormat="0" applyAlignment="0" applyProtection="0"/>
    <xf numFmtId="0" fontId="84" fillId="23" borderId="1" applyNumberFormat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85" fillId="0" borderId="20" applyNumberFormat="0" applyFill="0" applyAlignment="0" applyProtection="0"/>
    <xf numFmtId="0" fontId="20" fillId="5" borderId="5" applyNumberFormat="0" applyAlignment="0" applyProtection="0"/>
    <xf numFmtId="0" fontId="21" fillId="0" borderId="0" applyNumberFormat="0" applyFill="0" applyBorder="0" applyAlignment="0" applyProtection="0"/>
    <xf numFmtId="0" fontId="86" fillId="4" borderId="0" applyNumberFormat="0" applyBorder="0" applyAlignment="0" applyProtection="0"/>
    <xf numFmtId="0" fontId="87" fillId="8" borderId="0" applyNumberFormat="0" applyBorder="0" applyAlignment="0" applyProtection="0"/>
    <xf numFmtId="0" fontId="88" fillId="0" borderId="0" applyNumberFormat="0" applyFill="0" applyBorder="0" applyAlignment="0" applyProtection="0"/>
    <xf numFmtId="0" fontId="81" fillId="24" borderId="21" applyNumberFormat="0" applyFont="0" applyAlignment="0" applyProtection="0"/>
    <xf numFmtId="0" fontId="22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9" borderId="0" applyNumberFormat="0" applyBorder="0" applyAlignment="0" applyProtection="0"/>
    <xf numFmtId="0" fontId="101" fillId="0" borderId="0"/>
    <xf numFmtId="0" fontId="2" fillId="0" borderId="0"/>
    <xf numFmtId="0" fontId="1" fillId="0" borderId="0"/>
  </cellStyleXfs>
  <cellXfs count="532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/>
    <xf numFmtId="0" fontId="0" fillId="0" borderId="0" xfId="0" applyFill="1"/>
    <xf numFmtId="4" fontId="5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Border="1" applyAlignment="1">
      <alignment horizontal="right" vertical="center" wrapText="1"/>
    </xf>
    <xf numFmtId="0" fontId="39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Border="1" applyAlignment="1">
      <alignment horizontal="right" vertical="center"/>
    </xf>
    <xf numFmtId="49" fontId="37" fillId="0" borderId="7" xfId="0" applyNumberFormat="1" applyFont="1" applyBorder="1" applyAlignment="1">
      <alignment horizontal="center" vertical="center" wrapText="1"/>
    </xf>
    <xf numFmtId="4" fontId="39" fillId="0" borderId="0" xfId="0" applyNumberFormat="1" applyFont="1" applyAlignment="1">
      <alignment horizontal="center" vertical="center"/>
    </xf>
    <xf numFmtId="0" fontId="45" fillId="0" borderId="0" xfId="0" applyFont="1"/>
    <xf numFmtId="4" fontId="45" fillId="0" borderId="0" xfId="0" applyNumberFormat="1" applyFont="1"/>
    <xf numFmtId="0" fontId="8" fillId="0" borderId="0" xfId="35" applyNumberFormat="1" applyFont="1" applyFill="1" applyAlignment="1" applyProtection="1"/>
    <xf numFmtId="0" fontId="8" fillId="0" borderId="0" xfId="35" applyFont="1" applyFill="1"/>
    <xf numFmtId="0" fontId="4" fillId="0" borderId="0" xfId="35" applyNumberFormat="1" applyFont="1" applyFill="1" applyAlignment="1" applyProtection="1"/>
    <xf numFmtId="0" fontId="4" fillId="0" borderId="0" xfId="35" applyFont="1" applyFill="1"/>
    <xf numFmtId="0" fontId="4" fillId="0" borderId="0" xfId="35" applyNumberFormat="1" applyFont="1" applyFill="1" applyBorder="1" applyAlignment="1" applyProtection="1"/>
    <xf numFmtId="0" fontId="12" fillId="0" borderId="7" xfId="35" applyNumberFormat="1" applyFont="1" applyFill="1" applyBorder="1" applyAlignment="1" applyProtection="1">
      <alignment horizontal="center" vertical="center" wrapText="1"/>
    </xf>
    <xf numFmtId="0" fontId="29" fillId="0" borderId="7" xfId="35" applyFont="1" applyBorder="1" applyAlignment="1">
      <alignment horizontal="center" vertical="center" wrapText="1"/>
    </xf>
    <xf numFmtId="4" fontId="55" fillId="0" borderId="0" xfId="0" applyNumberFormat="1" applyFont="1" applyAlignment="1">
      <alignment vertical="center"/>
    </xf>
    <xf numFmtId="0" fontId="4" fillId="6" borderId="0" xfId="35" applyNumberFormat="1" applyFont="1" applyFill="1" applyAlignment="1" applyProtection="1"/>
    <xf numFmtId="4" fontId="56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4" fontId="58" fillId="0" borderId="0" xfId="0" applyNumberFormat="1" applyFont="1" applyAlignment="1">
      <alignment vertical="center"/>
    </xf>
    <xf numFmtId="0" fontId="4" fillId="0" borderId="0" xfId="39" applyNumberFormat="1" applyFont="1" applyFill="1" applyAlignment="1" applyProtection="1"/>
    <xf numFmtId="0" fontId="4" fillId="0" borderId="0" xfId="39" applyFont="1" applyFill="1"/>
    <xf numFmtId="0" fontId="28" fillId="0" borderId="0" xfId="39" applyNumberFormat="1" applyFont="1" applyFill="1" applyAlignment="1" applyProtection="1">
      <alignment horizontal="center" vertical="center"/>
    </xf>
    <xf numFmtId="0" fontId="4" fillId="0" borderId="0" xfId="39" applyNumberFormat="1" applyFont="1" applyFill="1" applyBorder="1" applyAlignment="1" applyProtection="1"/>
    <xf numFmtId="0" fontId="13" fillId="0" borderId="11" xfId="39" applyNumberFormat="1" applyFont="1" applyFill="1" applyBorder="1" applyAlignment="1" applyProtection="1">
      <alignment vertical="center"/>
    </xf>
    <xf numFmtId="0" fontId="4" fillId="0" borderId="0" xfId="39" applyNumberFormat="1" applyFont="1" applyFill="1" applyBorder="1" applyAlignment="1" applyProtection="1">
      <alignment vertical="center" wrapText="1"/>
    </xf>
    <xf numFmtId="0" fontId="4" fillId="0" borderId="0" xfId="39" applyNumberFormat="1" applyFont="1" applyFill="1" applyAlignment="1" applyProtection="1">
      <alignment vertical="center" wrapText="1"/>
    </xf>
    <xf numFmtId="0" fontId="4" fillId="0" borderId="0" xfId="39" applyFont="1" applyFill="1" applyAlignment="1">
      <alignment vertical="center" wrapText="1"/>
    </xf>
    <xf numFmtId="0" fontId="12" fillId="0" borderId="7" xfId="39" applyNumberFormat="1" applyFont="1" applyFill="1" applyBorder="1" applyAlignment="1" applyProtection="1">
      <alignment horizontal="center" vertical="center" wrapText="1"/>
    </xf>
    <xf numFmtId="0" fontId="28" fillId="0" borderId="0" xfId="39" applyNumberFormat="1" applyFont="1" applyFill="1" applyBorder="1" applyAlignment="1" applyProtection="1">
      <alignment wrapText="1"/>
    </xf>
    <xf numFmtId="0" fontId="28" fillId="0" borderId="0" xfId="39" applyNumberFormat="1" applyFont="1" applyFill="1" applyAlignment="1" applyProtection="1">
      <alignment wrapText="1"/>
    </xf>
    <xf numFmtId="0" fontId="28" fillId="0" borderId="0" xfId="39" applyFont="1" applyFill="1" applyAlignment="1">
      <alignment wrapText="1"/>
    </xf>
    <xf numFmtId="0" fontId="29" fillId="0" borderId="7" xfId="39" applyNumberFormat="1" applyFont="1" applyFill="1" applyBorder="1" applyAlignment="1" applyProtection="1">
      <alignment horizontal="center" vertical="center" wrapText="1"/>
    </xf>
    <xf numFmtId="0" fontId="29" fillId="0" borderId="7" xfId="39" applyNumberFormat="1" applyFont="1" applyFill="1" applyBorder="1" applyAlignment="1" applyProtection="1">
      <alignment horizontal="left" vertical="center" wrapText="1"/>
    </xf>
    <xf numFmtId="4" fontId="30" fillId="0" borderId="7" xfId="39" applyNumberFormat="1" applyFont="1" applyFill="1" applyBorder="1" applyAlignment="1">
      <alignment vertical="center" wrapText="1"/>
    </xf>
    <xf numFmtId="0" fontId="29" fillId="0" borderId="0" xfId="39" applyNumberFormat="1" applyFont="1" applyFill="1" applyBorder="1" applyAlignment="1" applyProtection="1">
      <alignment wrapText="1"/>
    </xf>
    <xf numFmtId="0" fontId="29" fillId="0" borderId="0" xfId="39" applyNumberFormat="1" applyFont="1" applyFill="1" applyAlignment="1" applyProtection="1">
      <alignment wrapText="1"/>
    </xf>
    <xf numFmtId="0" fontId="29" fillId="0" borderId="0" xfId="39" applyFont="1" applyFill="1" applyAlignment="1">
      <alignment wrapText="1"/>
    </xf>
    <xf numFmtId="0" fontId="28" fillId="0" borderId="7" xfId="39" applyNumberFormat="1" applyFont="1" applyFill="1" applyBorder="1" applyAlignment="1" applyProtection="1">
      <alignment horizontal="center" vertical="center" wrapText="1"/>
    </xf>
    <xf numFmtId="0" fontId="12" fillId="0" borderId="7" xfId="39" applyNumberFormat="1" applyFont="1" applyFill="1" applyBorder="1" applyAlignment="1" applyProtection="1">
      <alignment vertical="center" wrapText="1"/>
    </xf>
    <xf numFmtId="4" fontId="14" fillId="0" borderId="7" xfId="39" applyNumberFormat="1" applyFont="1" applyFill="1" applyBorder="1" applyAlignment="1">
      <alignment vertical="center" wrapText="1"/>
    </xf>
    <xf numFmtId="4" fontId="31" fillId="0" borderId="7" xfId="39" applyNumberFormat="1" applyFont="1" applyFill="1" applyBorder="1" applyAlignment="1">
      <alignment vertical="center" wrapText="1"/>
    </xf>
    <xf numFmtId="0" fontId="60" fillId="0" borderId="0" xfId="39" applyNumberFormat="1" applyFont="1" applyFill="1" applyBorder="1" applyAlignment="1" applyProtection="1">
      <alignment wrapText="1"/>
    </xf>
    <xf numFmtId="0" fontId="60" fillId="0" borderId="0" xfId="39" applyNumberFormat="1" applyFont="1" applyFill="1" applyAlignment="1" applyProtection="1">
      <alignment wrapText="1"/>
    </xf>
    <xf numFmtId="0" fontId="60" fillId="0" borderId="0" xfId="39" applyFont="1" applyFill="1" applyAlignment="1">
      <alignment wrapText="1"/>
    </xf>
    <xf numFmtId="0" fontId="34" fillId="0" borderId="7" xfId="39" applyNumberFormat="1" applyFont="1" applyFill="1" applyBorder="1" applyAlignment="1" applyProtection="1">
      <alignment vertical="center" wrapText="1"/>
    </xf>
    <xf numFmtId="4" fontId="35" fillId="0" borderId="7" xfId="39" applyNumberFormat="1" applyFont="1" applyFill="1" applyBorder="1" applyAlignment="1">
      <alignment vertical="center" wrapText="1"/>
    </xf>
    <xf numFmtId="0" fontId="60" fillId="0" borderId="7" xfId="39" applyNumberFormat="1" applyFont="1" applyFill="1" applyBorder="1" applyAlignment="1" applyProtection="1">
      <alignment horizontal="center" vertical="center" wrapText="1"/>
    </xf>
    <xf numFmtId="0" fontId="60" fillId="0" borderId="7" xfId="39" applyNumberFormat="1" applyFont="1" applyFill="1" applyBorder="1" applyAlignment="1" applyProtection="1">
      <alignment vertical="center" wrapText="1"/>
    </xf>
    <xf numFmtId="4" fontId="33" fillId="0" borderId="7" xfId="39" applyNumberFormat="1" applyFont="1" applyFill="1" applyBorder="1" applyAlignment="1">
      <alignment vertical="center" wrapText="1"/>
    </xf>
    <xf numFmtId="4" fontId="29" fillId="0" borderId="7" xfId="39" applyNumberFormat="1" applyFont="1" applyFill="1" applyBorder="1" applyAlignment="1" applyProtection="1">
      <alignment horizontal="right" vertical="center" wrapText="1"/>
    </xf>
    <xf numFmtId="4" fontId="28" fillId="0" borderId="7" xfId="39" applyNumberFormat="1" applyFont="1" applyFill="1" applyBorder="1" applyAlignment="1" applyProtection="1">
      <alignment horizontal="right" vertical="center" wrapText="1"/>
    </xf>
    <xf numFmtId="0" fontId="60" fillId="0" borderId="7" xfId="37" applyFont="1" applyFill="1" applyBorder="1" applyAlignment="1">
      <alignment horizontal="justify" vertical="top" wrapText="1"/>
    </xf>
    <xf numFmtId="4" fontId="28" fillId="0" borderId="7" xfId="39" applyNumberFormat="1" applyFont="1" applyFill="1" applyBorder="1" applyAlignment="1" applyProtection="1">
      <alignment vertical="center" wrapText="1"/>
    </xf>
    <xf numFmtId="4" fontId="36" fillId="0" borderId="7" xfId="39" applyNumberFormat="1" applyFont="1" applyFill="1" applyBorder="1" applyAlignment="1">
      <alignment vertical="center" wrapText="1"/>
    </xf>
    <xf numFmtId="0" fontId="4" fillId="0" borderId="0" xfId="39" applyNumberFormat="1" applyFont="1" applyFill="1" applyBorder="1" applyAlignment="1" applyProtection="1">
      <alignment wrapText="1"/>
    </xf>
    <xf numFmtId="0" fontId="4" fillId="0" borderId="0" xfId="39" applyNumberFormat="1" applyFont="1" applyFill="1" applyAlignment="1" applyProtection="1">
      <alignment wrapText="1"/>
    </xf>
    <xf numFmtId="0" fontId="4" fillId="0" borderId="0" xfId="39" applyFont="1" applyFill="1" applyAlignment="1">
      <alignment wrapText="1"/>
    </xf>
    <xf numFmtId="0" fontId="29" fillId="0" borderId="7" xfId="39" applyNumberFormat="1" applyFont="1" applyFill="1" applyBorder="1" applyAlignment="1" applyProtection="1">
      <alignment vertical="center" wrapText="1"/>
    </xf>
    <xf numFmtId="0" fontId="30" fillId="0" borderId="7" xfId="37" applyFont="1" applyFill="1" applyBorder="1" applyAlignment="1">
      <alignment horizontal="justify" vertical="top" wrapText="1"/>
    </xf>
    <xf numFmtId="4" fontId="32" fillId="0" borderId="7" xfId="39" applyNumberFormat="1" applyFont="1" applyFill="1" applyBorder="1" applyAlignment="1">
      <alignment vertical="center" wrapText="1"/>
    </xf>
    <xf numFmtId="0" fontId="33" fillId="0" borderId="7" xfId="37" applyFont="1" applyFill="1" applyBorder="1" applyAlignment="1">
      <alignment horizontal="justify" vertical="top" wrapText="1"/>
    </xf>
    <xf numFmtId="0" fontId="60" fillId="0" borderId="13" xfId="37" applyFont="1" applyFill="1" applyBorder="1" applyAlignment="1">
      <alignment horizontal="justify" vertical="top" wrapText="1"/>
    </xf>
    <xf numFmtId="0" fontId="61" fillId="0" borderId="7" xfId="37" applyFont="1" applyFill="1" applyBorder="1" applyAlignment="1">
      <alignment horizontal="justify" vertical="top" wrapText="1"/>
    </xf>
    <xf numFmtId="0" fontId="62" fillId="0" borderId="7" xfId="37" applyFont="1" applyFill="1" applyBorder="1" applyAlignment="1">
      <alignment horizontal="justify" vertical="top" wrapText="1"/>
    </xf>
    <xf numFmtId="0" fontId="34" fillId="0" borderId="7" xfId="39" applyNumberFormat="1" applyFont="1" applyFill="1" applyBorder="1" applyAlignment="1" applyProtection="1">
      <alignment horizontal="center" vertical="center" wrapText="1"/>
    </xf>
    <xf numFmtId="0" fontId="35" fillId="0" borderId="7" xfId="37" applyFont="1" applyFill="1" applyBorder="1" applyAlignment="1">
      <alignment horizontal="justify" vertical="top" wrapText="1"/>
    </xf>
    <xf numFmtId="0" fontId="33" fillId="0" borderId="7" xfId="37" applyFont="1" applyFill="1" applyBorder="1" applyAlignment="1">
      <alignment vertical="top" wrapText="1"/>
    </xf>
    <xf numFmtId="0" fontId="4" fillId="0" borderId="7" xfId="39" applyNumberFormat="1" applyFont="1" applyFill="1" applyBorder="1" applyAlignment="1" applyProtection="1">
      <alignment vertical="center" wrapText="1"/>
    </xf>
    <xf numFmtId="0" fontId="63" fillId="0" borderId="0" xfId="39" applyNumberFormat="1" applyFont="1" applyFill="1" applyBorder="1" applyAlignment="1" applyProtection="1">
      <alignment wrapText="1"/>
    </xf>
    <xf numFmtId="0" fontId="63" fillId="0" borderId="0" xfId="39" applyNumberFormat="1" applyFont="1" applyFill="1" applyAlignment="1" applyProtection="1">
      <alignment wrapText="1"/>
    </xf>
    <xf numFmtId="0" fontId="63" fillId="0" borderId="0" xfId="39" applyFont="1" applyFill="1" applyAlignment="1">
      <alignment wrapText="1"/>
    </xf>
    <xf numFmtId="0" fontId="62" fillId="0" borderId="7" xfId="39" applyNumberFormat="1" applyFont="1" applyFill="1" applyBorder="1" applyAlignment="1" applyProtection="1">
      <alignment horizontal="center" vertical="center" wrapText="1"/>
    </xf>
    <xf numFmtId="0" fontId="61" fillId="0" borderId="7" xfId="37" applyFont="1" applyFill="1" applyBorder="1" applyAlignment="1">
      <alignment vertical="top" wrapText="1"/>
    </xf>
    <xf numFmtId="4" fontId="61" fillId="0" borderId="7" xfId="39" applyNumberFormat="1" applyFont="1" applyFill="1" applyBorder="1" applyAlignment="1">
      <alignment vertical="center" wrapText="1"/>
    </xf>
    <xf numFmtId="4" fontId="64" fillId="0" borderId="7" xfId="39" applyNumberFormat="1" applyFont="1" applyFill="1" applyBorder="1" applyAlignment="1">
      <alignment vertical="center" wrapText="1"/>
    </xf>
    <xf numFmtId="0" fontId="65" fillId="0" borderId="7" xfId="37" applyFont="1" applyFill="1" applyBorder="1" applyAlignment="1">
      <alignment horizontal="justify" vertical="top" wrapText="1"/>
    </xf>
    <xf numFmtId="0" fontId="66" fillId="0" borderId="7" xfId="37" applyFont="1" applyFill="1" applyBorder="1" applyAlignment="1">
      <alignment horizontal="justify" vertical="top" wrapText="1"/>
    </xf>
    <xf numFmtId="0" fontId="28" fillId="0" borderId="7" xfId="39" applyNumberFormat="1" applyFont="1" applyFill="1" applyBorder="1" applyAlignment="1" applyProtection="1">
      <alignment vertical="center" wrapText="1"/>
    </xf>
    <xf numFmtId="0" fontId="67" fillId="0" borderId="7" xfId="37" applyFont="1" applyFill="1" applyBorder="1" applyAlignment="1">
      <alignment horizontal="justify" vertical="top" wrapText="1"/>
    </xf>
    <xf numFmtId="0" fontId="12" fillId="0" borderId="7" xfId="37" applyFont="1" applyFill="1" applyBorder="1" applyAlignment="1">
      <alignment horizontal="justify" vertical="top" wrapText="1"/>
    </xf>
    <xf numFmtId="0" fontId="10" fillId="0" borderId="7" xfId="37" applyFont="1" applyFill="1" applyBorder="1" applyAlignment="1">
      <alignment horizontal="justify" vertical="top" wrapText="1"/>
    </xf>
    <xf numFmtId="0" fontId="62" fillId="0" borderId="7" xfId="0" applyNumberFormat="1" applyFont="1" applyFill="1" applyBorder="1" applyAlignment="1" applyProtection="1">
      <alignment horizontal="left" vertical="center" wrapText="1"/>
    </xf>
    <xf numFmtId="0" fontId="60" fillId="0" borderId="7" xfId="0" applyNumberFormat="1" applyFont="1" applyFill="1" applyBorder="1" applyAlignment="1" applyProtection="1">
      <alignment horizontal="left" vertical="center" wrapText="1"/>
    </xf>
    <xf numFmtId="0" fontId="4" fillId="0" borderId="7" xfId="39" applyNumberFormat="1" applyFont="1" applyFill="1" applyBorder="1" applyAlignment="1" applyProtection="1">
      <alignment horizontal="center" vertical="center" wrapText="1"/>
    </xf>
    <xf numFmtId="0" fontId="59" fillId="0" borderId="7" xfId="39" applyFont="1" applyFill="1" applyBorder="1" applyAlignment="1">
      <alignment vertical="center" wrapText="1"/>
    </xf>
    <xf numFmtId="0" fontId="9" fillId="0" borderId="0" xfId="39" applyNumberFormat="1" applyFont="1" applyFill="1" applyBorder="1" applyAlignment="1" applyProtection="1"/>
    <xf numFmtId="0" fontId="9" fillId="0" borderId="0" xfId="39" applyNumberFormat="1" applyFont="1" applyFill="1" applyAlignment="1" applyProtection="1"/>
    <xf numFmtId="0" fontId="9" fillId="0" borderId="0" xfId="39" applyFont="1" applyFill="1"/>
    <xf numFmtId="2" fontId="4" fillId="0" borderId="0" xfId="39" applyNumberFormat="1" applyFont="1" applyFill="1" applyBorder="1" applyAlignment="1" applyProtection="1"/>
    <xf numFmtId="4" fontId="4" fillId="0" borderId="0" xfId="39" applyNumberFormat="1" applyFont="1" applyFill="1" applyBorder="1" applyAlignment="1" applyProtection="1"/>
    <xf numFmtId="0" fontId="14" fillId="0" borderId="0" xfId="0" applyFont="1" applyFill="1" applyAlignment="1"/>
    <xf numFmtId="0" fontId="13" fillId="0" borderId="7" xfId="0" applyFont="1" applyFill="1" applyBorder="1" applyAlignment="1">
      <alignment horizontal="center" vertical="top" wrapText="1"/>
    </xf>
    <xf numFmtId="0" fontId="70" fillId="0" borderId="7" xfId="0" applyFont="1" applyFill="1" applyBorder="1" applyAlignment="1">
      <alignment horizontal="center" vertical="top" wrapText="1"/>
    </xf>
    <xf numFmtId="4" fontId="12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71" fillId="0" borderId="0" xfId="35" applyNumberFormat="1" applyFont="1" applyFill="1" applyAlignment="1" applyProtection="1"/>
    <xf numFmtId="0" fontId="71" fillId="0" borderId="0" xfId="35" applyFont="1" applyFill="1"/>
    <xf numFmtId="0" fontId="10" fillId="0" borderId="0" xfId="35" applyNumberFormat="1" applyFont="1" applyFill="1" applyAlignment="1" applyProtection="1">
      <alignment horizontal="center" vertical="center" wrapText="1"/>
    </xf>
    <xf numFmtId="0" fontId="13" fillId="0" borderId="0" xfId="35" applyNumberFormat="1" applyFont="1" applyFill="1" applyAlignment="1" applyProtection="1">
      <alignment horizontal="center" vertical="center" wrapText="1"/>
    </xf>
    <xf numFmtId="0" fontId="10" fillId="0" borderId="0" xfId="35" applyNumberFormat="1" applyFont="1" applyFill="1" applyAlignment="1" applyProtection="1">
      <alignment horizontal="center"/>
    </xf>
    <xf numFmtId="0" fontId="71" fillId="0" borderId="0" xfId="35" applyFont="1" applyFill="1" applyAlignment="1">
      <alignment horizontal="center"/>
    </xf>
    <xf numFmtId="0" fontId="13" fillId="0" borderId="0" xfId="35" applyFont="1" applyFill="1" applyAlignment="1">
      <alignment horizontal="right"/>
    </xf>
    <xf numFmtId="0" fontId="71" fillId="0" borderId="15" xfId="35" applyNumberFormat="1" applyFont="1" applyFill="1" applyBorder="1" applyAlignment="1" applyProtection="1"/>
    <xf numFmtId="0" fontId="71" fillId="0" borderId="16" xfId="35" applyNumberFormat="1" applyFont="1" applyFill="1" applyBorder="1" applyAlignment="1" applyProtection="1"/>
    <xf numFmtId="0" fontId="71" fillId="0" borderId="0" xfId="35" applyNumberFormat="1" applyFont="1" applyFill="1" applyBorder="1" applyAlignment="1" applyProtection="1"/>
    <xf numFmtId="0" fontId="60" fillId="0" borderId="0" xfId="35" applyNumberFormat="1" applyFont="1" applyFill="1" applyAlignment="1" applyProtection="1"/>
    <xf numFmtId="0" fontId="72" fillId="0" borderId="0" xfId="35" applyFont="1" applyFill="1"/>
    <xf numFmtId="0" fontId="73" fillId="0" borderId="0" xfId="36" applyNumberFormat="1" applyFont="1" applyFill="1" applyBorder="1" applyAlignment="1" applyProtection="1">
      <alignment vertical="top"/>
    </xf>
    <xf numFmtId="0" fontId="68" fillId="0" borderId="0" xfId="36" applyNumberFormat="1" applyFont="1" applyFill="1" applyBorder="1" applyAlignment="1" applyProtection="1">
      <alignment vertical="top"/>
    </xf>
    <xf numFmtId="0" fontId="73" fillId="0" borderId="0" xfId="36" applyNumberFormat="1" applyFont="1" applyFill="1" applyBorder="1" applyAlignment="1" applyProtection="1">
      <alignment horizontal="center" vertical="top"/>
    </xf>
    <xf numFmtId="0" fontId="9" fillId="0" borderId="0" xfId="36" applyNumberFormat="1" applyFont="1" applyFill="1" applyBorder="1" applyAlignment="1" applyProtection="1">
      <alignment horizontal="center" vertical="top"/>
    </xf>
    <xf numFmtId="2" fontId="68" fillId="0" borderId="0" xfId="36" applyNumberFormat="1" applyFont="1" applyFill="1" applyBorder="1" applyAlignment="1" applyProtection="1">
      <alignment horizontal="center" vertical="top"/>
    </xf>
    <xf numFmtId="2" fontId="73" fillId="0" borderId="7" xfId="36" applyNumberFormat="1" applyFont="1" applyFill="1" applyBorder="1" applyAlignment="1" applyProtection="1">
      <alignment horizontal="center" vertical="center"/>
    </xf>
    <xf numFmtId="2" fontId="9" fillId="0" borderId="0" xfId="36" applyNumberFormat="1" applyFont="1" applyFill="1" applyBorder="1" applyAlignment="1" applyProtection="1">
      <alignment horizontal="center" vertical="top"/>
    </xf>
    <xf numFmtId="2" fontId="8" fillId="0" borderId="7" xfId="36" applyNumberFormat="1" applyFont="1" applyFill="1" applyBorder="1" applyAlignment="1" applyProtection="1">
      <alignment horizontal="center" vertical="center" wrapText="1"/>
    </xf>
    <xf numFmtId="4" fontId="8" fillId="0" borderId="7" xfId="36" applyNumberFormat="1" applyFont="1" applyFill="1" applyBorder="1" applyAlignment="1" applyProtection="1">
      <alignment horizontal="center" vertical="center"/>
    </xf>
    <xf numFmtId="4" fontId="76" fillId="0" borderId="7" xfId="36" applyNumberFormat="1" applyFont="1" applyFill="1" applyBorder="1" applyAlignment="1" applyProtection="1">
      <alignment horizontal="center" vertical="center" wrapText="1"/>
    </xf>
    <xf numFmtId="0" fontId="75" fillId="0" borderId="0" xfId="36" applyNumberFormat="1" applyFont="1" applyFill="1" applyBorder="1" applyAlignment="1" applyProtection="1">
      <alignment horizontal="center" vertical="top" wrapText="1"/>
    </xf>
    <xf numFmtId="2" fontId="75" fillId="0" borderId="0" xfId="36" applyNumberFormat="1" applyFont="1" applyFill="1" applyBorder="1" applyAlignment="1" applyProtection="1">
      <alignment horizontal="center" vertical="top" wrapText="1"/>
    </xf>
    <xf numFmtId="165" fontId="8" fillId="0" borderId="0" xfId="36" applyNumberFormat="1" applyFont="1" applyFill="1" applyBorder="1" applyAlignment="1" applyProtection="1">
      <alignment horizontal="center" vertical="top"/>
    </xf>
    <xf numFmtId="0" fontId="77" fillId="0" borderId="0" xfId="38" applyNumberFormat="1" applyFont="1" applyFill="1" applyBorder="1" applyAlignment="1" applyProtection="1">
      <alignment horizontal="left" vertical="center" wrapText="1"/>
      <protection locked="0"/>
    </xf>
    <xf numFmtId="0" fontId="75" fillId="0" borderId="0" xfId="36" applyNumberFormat="1" applyFont="1" applyFill="1" applyBorder="1" applyAlignment="1" applyProtection="1">
      <alignment horizontal="left" vertical="top" wrapText="1"/>
    </xf>
    <xf numFmtId="4" fontId="43" fillId="0" borderId="7" xfId="38" applyNumberFormat="1" applyFont="1" applyFill="1" applyBorder="1" applyAlignment="1" applyProtection="1">
      <alignment horizontal="center" vertical="center" wrapText="1"/>
      <protection locked="0"/>
    </xf>
    <xf numFmtId="0" fontId="79" fillId="0" borderId="0" xfId="0" applyFont="1"/>
    <xf numFmtId="4" fontId="45" fillId="0" borderId="0" xfId="0" applyNumberFormat="1" applyFont="1" applyFill="1"/>
    <xf numFmtId="0" fontId="11" fillId="0" borderId="0" xfId="39" applyNumberFormat="1" applyFont="1" applyFill="1" applyAlignment="1" applyProtection="1"/>
    <xf numFmtId="0" fontId="12" fillId="0" borderId="7" xfId="0" applyFont="1" applyFill="1" applyBorder="1" applyAlignment="1">
      <alignment horizontal="left" vertical="center" wrapText="1"/>
    </xf>
    <xf numFmtId="0" fontId="89" fillId="0" borderId="0" xfId="0" applyFont="1" applyAlignment="1">
      <alignment vertical="center"/>
    </xf>
    <xf numFmtId="4" fontId="89" fillId="0" borderId="0" xfId="0" applyNumberFormat="1" applyFont="1" applyAlignment="1">
      <alignment vertical="center"/>
    </xf>
    <xf numFmtId="2" fontId="90" fillId="0" borderId="0" xfId="36" applyNumberFormat="1" applyFont="1" applyFill="1" applyBorder="1" applyAlignment="1" applyProtection="1">
      <alignment horizontal="center" vertical="top"/>
    </xf>
    <xf numFmtId="4" fontId="4" fillId="0" borderId="0" xfId="35" applyNumberFormat="1" applyFont="1" applyFill="1"/>
    <xf numFmtId="4" fontId="91" fillId="0" borderId="0" xfId="0" applyNumberFormat="1" applyFont="1" applyAlignment="1">
      <alignment vertical="center"/>
    </xf>
    <xf numFmtId="4" fontId="92" fillId="0" borderId="0" xfId="0" applyNumberFormat="1" applyFont="1" applyAlignment="1">
      <alignment vertical="center"/>
    </xf>
    <xf numFmtId="0" fontId="94" fillId="0" borderId="0" xfId="0" applyFont="1" applyBorder="1" applyAlignment="1">
      <alignment horizontal="left" vertical="center"/>
    </xf>
    <xf numFmtId="0" fontId="96" fillId="0" borderId="0" xfId="0" applyFont="1" applyBorder="1" applyAlignment="1">
      <alignment horizontal="left" vertical="center"/>
    </xf>
    <xf numFmtId="0" fontId="53" fillId="0" borderId="0" xfId="0" applyFont="1"/>
    <xf numFmtId="0" fontId="4" fillId="0" borderId="0" xfId="0" applyFont="1"/>
    <xf numFmtId="0" fontId="4" fillId="0" borderId="0" xfId="0" applyFont="1" applyFill="1"/>
    <xf numFmtId="0" fontId="97" fillId="0" borderId="7" xfId="0" applyFont="1" applyFill="1" applyBorder="1" applyAlignment="1">
      <alignment horizontal="center" vertical="center" wrapText="1"/>
    </xf>
    <xf numFmtId="0" fontId="9" fillId="0" borderId="7" xfId="35" applyNumberFormat="1" applyFont="1" applyFill="1" applyBorder="1" applyAlignment="1" applyProtection="1">
      <alignment horizontal="center" vertical="center" wrapText="1"/>
    </xf>
    <xf numFmtId="0" fontId="97" fillId="0" borderId="7" xfId="0" applyFont="1" applyFill="1" applyBorder="1" applyAlignment="1">
      <alignment horizontal="center" vertical="center"/>
    </xf>
    <xf numFmtId="4" fontId="97" fillId="25" borderId="7" xfId="0" applyNumberFormat="1" applyFont="1" applyFill="1" applyBorder="1" applyAlignment="1">
      <alignment horizontal="center" vertical="center"/>
    </xf>
    <xf numFmtId="0" fontId="8" fillId="0" borderId="0" xfId="0" applyFont="1"/>
    <xf numFmtId="2" fontId="8" fillId="0" borderId="0" xfId="36" applyNumberFormat="1" applyFont="1" applyFill="1" applyBorder="1" applyAlignment="1" applyProtection="1">
      <alignment vertical="top"/>
    </xf>
    <xf numFmtId="0" fontId="97" fillId="0" borderId="0" xfId="0" applyFont="1" applyFill="1" applyBorder="1" applyAlignment="1">
      <alignment horizontal="center" vertical="center"/>
    </xf>
    <xf numFmtId="4" fontId="97" fillId="0" borderId="0" xfId="0" applyNumberFormat="1" applyFont="1" applyFill="1" applyBorder="1" applyAlignment="1">
      <alignment horizontal="center" vertical="center"/>
    </xf>
    <xf numFmtId="4" fontId="102" fillId="0" borderId="0" xfId="0" applyNumberFormat="1" applyFont="1" applyAlignment="1">
      <alignment vertical="center"/>
    </xf>
    <xf numFmtId="0" fontId="9" fillId="0" borderId="7" xfId="37" applyFont="1" applyFill="1" applyBorder="1" applyAlignment="1">
      <alignment horizontal="justify" vertical="top" wrapText="1"/>
    </xf>
    <xf numFmtId="0" fontId="28" fillId="0" borderId="7" xfId="37" applyFont="1" applyFill="1" applyBorder="1" applyAlignment="1">
      <alignment horizontal="justify" vertical="top" wrapText="1"/>
    </xf>
    <xf numFmtId="0" fontId="12" fillId="0" borderId="7" xfId="0" applyFont="1" applyFill="1" applyBorder="1" applyAlignment="1">
      <alignment horizontal="center" vertical="center" wrapText="1"/>
    </xf>
    <xf numFmtId="4" fontId="7" fillId="0" borderId="0" xfId="0" applyNumberFormat="1" applyFont="1" applyFill="1"/>
    <xf numFmtId="0" fontId="7" fillId="0" borderId="0" xfId="0" applyFont="1" applyFill="1"/>
    <xf numFmtId="0" fontId="4" fillId="26" borderId="0" xfId="35" applyFont="1" applyFill="1"/>
    <xf numFmtId="0" fontId="4" fillId="0" borderId="0" xfId="35" applyNumberFormat="1" applyFont="1" applyFill="1" applyAlignment="1" applyProtection="1">
      <alignment horizontal="center" vertical="center"/>
    </xf>
    <xf numFmtId="0" fontId="103" fillId="0" borderId="0" xfId="35" applyFont="1" applyFill="1"/>
    <xf numFmtId="4" fontId="78" fillId="0" borderId="0" xfId="0" applyNumberFormat="1" applyFont="1" applyAlignment="1">
      <alignment horizontal="left" vertical="center"/>
    </xf>
    <xf numFmtId="4" fontId="41" fillId="0" borderId="7" xfId="38" applyNumberFormat="1" applyFont="1" applyFill="1" applyBorder="1" applyAlignment="1" applyProtection="1">
      <alignment horizontal="center" vertical="center" wrapText="1"/>
      <protection locked="0"/>
    </xf>
    <xf numFmtId="4" fontId="41" fillId="29" borderId="7" xfId="0" applyNumberFormat="1" applyFont="1" applyFill="1" applyBorder="1" applyAlignment="1">
      <alignment horizontal="center" vertical="center"/>
    </xf>
    <xf numFmtId="0" fontId="29" fillId="29" borderId="7" xfId="35" applyFont="1" applyFill="1" applyBorder="1" applyAlignment="1">
      <alignment horizontal="center" vertical="center" wrapText="1"/>
    </xf>
    <xf numFmtId="4" fontId="29" fillId="29" borderId="7" xfId="35" applyNumberFormat="1" applyFont="1" applyFill="1" applyBorder="1" applyAlignment="1" applyProtection="1">
      <alignment horizontal="center" vertical="center"/>
    </xf>
    <xf numFmtId="4" fontId="30" fillId="29" borderId="7" xfId="35" applyNumberFormat="1" applyFont="1" applyFill="1" applyBorder="1" applyAlignment="1">
      <alignment horizontal="center" vertical="center"/>
    </xf>
    <xf numFmtId="2" fontId="68" fillId="29" borderId="7" xfId="36" applyNumberFormat="1" applyFont="1" applyFill="1" applyBorder="1" applyAlignment="1" applyProtection="1">
      <alignment horizontal="center" vertical="center" wrapText="1"/>
    </xf>
    <xf numFmtId="4" fontId="76" fillId="29" borderId="7" xfId="36" applyNumberFormat="1" applyFont="1" applyFill="1" applyBorder="1" applyAlignment="1" applyProtection="1">
      <alignment horizontal="center" vertical="center"/>
    </xf>
    <xf numFmtId="2" fontId="8" fillId="29" borderId="7" xfId="36" applyNumberFormat="1" applyFont="1" applyFill="1" applyBorder="1" applyAlignment="1" applyProtection="1">
      <alignment horizontal="center" vertical="center" wrapText="1"/>
    </xf>
    <xf numFmtId="4" fontId="76" fillId="29" borderId="7" xfId="36" applyNumberFormat="1" applyFont="1" applyFill="1" applyBorder="1" applyAlignment="1" applyProtection="1">
      <alignment horizontal="center" vertical="center" wrapText="1"/>
    </xf>
    <xf numFmtId="4" fontId="97" fillId="29" borderId="7" xfId="0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right" vertical="center"/>
    </xf>
    <xf numFmtId="4" fontId="39" fillId="0" borderId="0" xfId="0" applyNumberFormat="1" applyFont="1" applyFill="1" applyAlignment="1">
      <alignment horizontal="left" vertical="center"/>
    </xf>
    <xf numFmtId="4" fontId="41" fillId="27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4" fontId="43" fillId="0" borderId="7" xfId="38" applyNumberFormat="1" applyFont="1" applyFill="1" applyBorder="1" applyAlignment="1" applyProtection="1">
      <alignment horizontal="center" vertical="center" wrapText="1"/>
    </xf>
    <xf numFmtId="4" fontId="41" fillId="27" borderId="0" xfId="0" applyNumberFormat="1" applyFont="1" applyFill="1" applyBorder="1" applyAlignment="1">
      <alignment horizontal="left" vertical="center" wrapText="1"/>
    </xf>
    <xf numFmtId="0" fontId="4" fillId="28" borderId="0" xfId="35" applyFont="1" applyFill="1"/>
    <xf numFmtId="49" fontId="28" fillId="30" borderId="7" xfId="0" applyNumberFormat="1" applyFont="1" applyFill="1" applyBorder="1" applyAlignment="1">
      <alignment horizontal="center" vertical="center" wrapText="1"/>
    </xf>
    <xf numFmtId="164" fontId="31" fillId="30" borderId="7" xfId="30" applyNumberFormat="1" applyFont="1" applyFill="1" applyBorder="1" applyAlignment="1">
      <alignment horizontal="center" vertical="center"/>
    </xf>
    <xf numFmtId="164" fontId="31" fillId="30" borderId="7" xfId="30" applyNumberFormat="1" applyFont="1" applyFill="1" applyBorder="1" applyAlignment="1">
      <alignment horizontal="center" vertical="center" wrapText="1"/>
    </xf>
    <xf numFmtId="4" fontId="31" fillId="30" borderId="7" xfId="30" applyNumberFormat="1" applyFont="1" applyFill="1" applyBorder="1" applyAlignment="1">
      <alignment horizontal="center" vertical="center"/>
    </xf>
    <xf numFmtId="0" fontId="28" fillId="30" borderId="7" xfId="40" applyFont="1" applyFill="1" applyBorder="1" applyAlignment="1">
      <alignment horizontal="center" vertical="center" wrapText="1"/>
    </xf>
    <xf numFmtId="0" fontId="48" fillId="0" borderId="7" xfId="39" applyNumberFormat="1" applyFont="1" applyFill="1" applyBorder="1" applyAlignment="1" applyProtection="1">
      <alignment horizontal="center" vertical="center" wrapText="1"/>
    </xf>
    <xf numFmtId="0" fontId="48" fillId="0" borderId="0" xfId="39" applyNumberFormat="1" applyFont="1" applyFill="1" applyBorder="1" applyAlignment="1" applyProtection="1">
      <alignment wrapText="1"/>
    </xf>
    <xf numFmtId="0" fontId="48" fillId="0" borderId="0" xfId="39" applyNumberFormat="1" applyFont="1" applyFill="1" applyAlignment="1" applyProtection="1">
      <alignment wrapText="1"/>
    </xf>
    <xf numFmtId="0" fontId="48" fillId="0" borderId="0" xfId="39" applyFont="1" applyFill="1" applyAlignment="1">
      <alignment wrapText="1"/>
    </xf>
    <xf numFmtId="0" fontId="104" fillId="0" borderId="0" xfId="0" applyFont="1"/>
    <xf numFmtId="49" fontId="28" fillId="0" borderId="7" xfId="0" applyNumberFormat="1" applyFont="1" applyFill="1" applyBorder="1" applyAlignment="1">
      <alignment horizontal="center" vertical="center" wrapText="1"/>
    </xf>
    <xf numFmtId="164" fontId="31" fillId="0" borderId="7" xfId="30" applyNumberFormat="1" applyFont="1" applyFill="1" applyBorder="1" applyAlignment="1">
      <alignment horizontal="center" vertical="center"/>
    </xf>
    <xf numFmtId="164" fontId="31" fillId="0" borderId="7" xfId="30" applyNumberFormat="1" applyFont="1" applyFill="1" applyBorder="1" applyAlignment="1">
      <alignment horizontal="center" vertical="center" wrapText="1"/>
    </xf>
    <xf numFmtId="4" fontId="31" fillId="0" borderId="7" xfId="30" applyNumberFormat="1" applyFont="1" applyFill="1" applyBorder="1" applyAlignment="1">
      <alignment horizontal="center" vertical="center"/>
    </xf>
    <xf numFmtId="164" fontId="28" fillId="0" borderId="7" xfId="0" applyNumberFormat="1" applyFont="1" applyFill="1" applyBorder="1" applyAlignment="1">
      <alignment horizontal="center" vertical="center" wrapText="1"/>
    </xf>
    <xf numFmtId="4" fontId="52" fillId="0" borderId="7" xfId="30" applyNumberFormat="1" applyFont="1" applyFill="1" applyBorder="1" applyAlignment="1">
      <alignment horizontal="center" vertical="center"/>
    </xf>
    <xf numFmtId="49" fontId="49" fillId="0" borderId="7" xfId="0" applyNumberFormat="1" applyFont="1" applyFill="1" applyBorder="1" applyAlignment="1">
      <alignment horizontal="center" vertical="center" wrapText="1"/>
    </xf>
    <xf numFmtId="164" fontId="52" fillId="0" borderId="7" xfId="30" applyNumberFormat="1" applyFont="1" applyFill="1" applyBorder="1" applyAlignment="1">
      <alignment horizontal="center" vertical="center"/>
    </xf>
    <xf numFmtId="49" fontId="39" fillId="0" borderId="8" xfId="0" applyNumberFormat="1" applyFont="1" applyFill="1" applyBorder="1" applyAlignment="1">
      <alignment horizontal="center" vertical="center" wrapText="1"/>
    </xf>
    <xf numFmtId="49" fontId="39" fillId="0" borderId="7" xfId="0" applyNumberFormat="1" applyFont="1" applyFill="1" applyBorder="1" applyAlignment="1">
      <alignment horizontal="center" vertical="center" wrapText="1"/>
    </xf>
    <xf numFmtId="164" fontId="28" fillId="0" borderId="7" xfId="30" applyNumberFormat="1" applyFont="1" applyFill="1" applyBorder="1" applyAlignment="1">
      <alignment horizontal="center" vertical="center"/>
    </xf>
    <xf numFmtId="4" fontId="28" fillId="0" borderId="7" xfId="30" applyNumberFormat="1" applyFont="1" applyFill="1" applyBorder="1" applyAlignment="1">
      <alignment horizontal="center" vertical="center"/>
    </xf>
    <xf numFmtId="0" fontId="28" fillId="0" borderId="7" xfId="40" applyFont="1" applyFill="1" applyBorder="1" applyAlignment="1">
      <alignment horizontal="center" vertical="center" wrapText="1"/>
    </xf>
    <xf numFmtId="0" fontId="98" fillId="0" borderId="7" xfId="0" applyFont="1" applyFill="1" applyBorder="1" applyAlignment="1">
      <alignment horizontal="center" vertical="center"/>
    </xf>
    <xf numFmtId="0" fontId="98" fillId="0" borderId="7" xfId="0" applyFont="1" applyFill="1" applyBorder="1" applyAlignment="1">
      <alignment horizontal="left" vertical="center" wrapText="1"/>
    </xf>
    <xf numFmtId="4" fontId="98" fillId="0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4" fontId="49" fillId="0" borderId="7" xfId="30" applyNumberFormat="1" applyFont="1" applyFill="1" applyBorder="1" applyAlignment="1">
      <alignment horizontal="center" vertical="center"/>
    </xf>
    <xf numFmtId="49" fontId="99" fillId="0" borderId="7" xfId="0" applyNumberFormat="1" applyFont="1" applyFill="1" applyBorder="1" applyAlignment="1">
      <alignment horizontal="center" vertical="center" wrapText="1"/>
    </xf>
    <xf numFmtId="0" fontId="49" fillId="0" borderId="7" xfId="0" applyFont="1" applyFill="1" applyBorder="1" applyAlignment="1">
      <alignment horizontal="center" vertical="center" wrapText="1"/>
    </xf>
    <xf numFmtId="0" fontId="49" fillId="0" borderId="7" xfId="46" applyFont="1" applyFill="1" applyBorder="1" applyAlignment="1">
      <alignment horizontal="center" vertical="center" wrapText="1"/>
    </xf>
    <xf numFmtId="0" fontId="28" fillId="0" borderId="7" xfId="38" applyNumberFormat="1" applyFont="1" applyFill="1" applyBorder="1" applyAlignment="1" applyProtection="1">
      <alignment horizontal="center" vertical="center" wrapText="1"/>
      <protection locked="0"/>
    </xf>
    <xf numFmtId="49" fontId="49" fillId="0" borderId="7" xfId="0" applyNumberFormat="1" applyFont="1" applyFill="1" applyBorder="1" applyAlignment="1">
      <alignment horizontal="center" vertical="center" wrapText="1"/>
    </xf>
    <xf numFmtId="49" fontId="28" fillId="0" borderId="7" xfId="0" applyNumberFormat="1" applyFont="1" applyFill="1" applyBorder="1" applyAlignment="1">
      <alignment horizontal="center" vertical="center" wrapText="1"/>
    </xf>
    <xf numFmtId="4" fontId="52" fillId="0" borderId="10" xfId="30" applyNumberFormat="1" applyFont="1" applyFill="1" applyBorder="1" applyAlignment="1">
      <alignment horizontal="center" vertical="center"/>
    </xf>
    <xf numFmtId="4" fontId="49" fillId="0" borderId="10" xfId="30" applyNumberFormat="1" applyFont="1" applyFill="1" applyBorder="1" applyAlignment="1">
      <alignment horizontal="center" vertical="center"/>
    </xf>
    <xf numFmtId="0" fontId="49" fillId="0" borderId="7" xfId="40" applyFont="1" applyFill="1" applyBorder="1" applyAlignment="1">
      <alignment horizontal="center" vertical="center" wrapText="1"/>
    </xf>
    <xf numFmtId="0" fontId="49" fillId="0" borderId="7" xfId="41" applyFont="1" applyFill="1" applyBorder="1" applyAlignment="1">
      <alignment horizontal="center" vertical="center" wrapText="1"/>
    </xf>
    <xf numFmtId="0" fontId="28" fillId="0" borderId="7" xfId="41" applyFont="1" applyFill="1" applyBorder="1" applyAlignment="1">
      <alignment horizontal="center" vertical="center" wrapText="1"/>
    </xf>
    <xf numFmtId="4" fontId="31" fillId="0" borderId="10" xfId="30" applyNumberFormat="1" applyFont="1" applyFill="1" applyBorder="1" applyAlignment="1">
      <alignment horizontal="center" vertical="center"/>
    </xf>
    <xf numFmtId="0" fontId="28" fillId="0" borderId="7" xfId="85" applyFont="1" applyFill="1" applyBorder="1" applyAlignment="1">
      <alignment horizontal="center" vertical="center" wrapText="1"/>
    </xf>
    <xf numFmtId="0" fontId="28" fillId="0" borderId="8" xfId="85" applyFont="1" applyFill="1" applyBorder="1" applyAlignment="1">
      <alignment horizontal="center" vertical="center" wrapText="1"/>
    </xf>
    <xf numFmtId="0" fontId="43" fillId="0" borderId="0" xfId="0" applyFont="1"/>
    <xf numFmtId="49" fontId="49" fillId="0" borderId="7" xfId="0" applyNumberFormat="1" applyFont="1" applyFill="1" applyBorder="1" applyAlignment="1">
      <alignment horizontal="center" vertical="center" wrapText="1"/>
    </xf>
    <xf numFmtId="0" fontId="28" fillId="0" borderId="0" xfId="35" applyFont="1" applyFill="1" applyBorder="1" applyAlignment="1">
      <alignment horizontal="center" vertical="center" wrapText="1"/>
    </xf>
    <xf numFmtId="4" fontId="29" fillId="0" borderId="0" xfId="35" applyNumberFormat="1" applyFont="1" applyFill="1" applyBorder="1" applyAlignment="1" applyProtection="1">
      <alignment horizontal="center" vertical="center"/>
    </xf>
    <xf numFmtId="0" fontId="105" fillId="0" borderId="0" xfId="0" applyFont="1" applyAlignment="1">
      <alignment vertical="center"/>
    </xf>
    <xf numFmtId="4" fontId="106" fillId="0" borderId="0" xfId="0" applyNumberFormat="1" applyFont="1" applyAlignment="1">
      <alignment vertical="center"/>
    </xf>
    <xf numFmtId="4" fontId="107" fillId="0" borderId="0" xfId="0" applyNumberFormat="1" applyFont="1" applyAlignment="1">
      <alignment vertical="center"/>
    </xf>
    <xf numFmtId="0" fontId="107" fillId="0" borderId="0" xfId="0" applyFont="1" applyAlignment="1">
      <alignment vertical="center"/>
    </xf>
    <xf numFmtId="4" fontId="105" fillId="0" borderId="0" xfId="0" applyNumberFormat="1" applyFont="1" applyAlignment="1">
      <alignment vertical="center"/>
    </xf>
    <xf numFmtId="0" fontId="106" fillId="0" borderId="0" xfId="0" applyFont="1" applyAlignment="1">
      <alignment vertical="center"/>
    </xf>
    <xf numFmtId="0" fontId="51" fillId="0" borderId="0" xfId="35" applyFont="1" applyFill="1"/>
    <xf numFmtId="0" fontId="8" fillId="0" borderId="0" xfId="0" applyFont="1" applyFill="1"/>
    <xf numFmtId="0" fontId="98" fillId="0" borderId="0" xfId="0" applyFont="1" applyFill="1" applyBorder="1" applyAlignment="1">
      <alignment horizontal="center" vertical="center"/>
    </xf>
    <xf numFmtId="4" fontId="98" fillId="0" borderId="0" xfId="0" applyNumberFormat="1" applyFont="1" applyFill="1" applyBorder="1" applyAlignment="1">
      <alignment horizontal="center" vertical="center"/>
    </xf>
    <xf numFmtId="4" fontId="98" fillId="0" borderId="0" xfId="0" applyNumberFormat="1" applyFont="1" applyFill="1" applyBorder="1" applyAlignment="1">
      <alignment horizontal="left" vertical="center"/>
    </xf>
    <xf numFmtId="0" fontId="98" fillId="0" borderId="0" xfId="0" applyFont="1" applyFill="1" applyBorder="1" applyAlignment="1">
      <alignment horizontal="right" vertical="center"/>
    </xf>
    <xf numFmtId="2" fontId="11" fillId="0" borderId="0" xfId="36" applyNumberFormat="1" applyFont="1" applyFill="1" applyBorder="1" applyAlignment="1" applyProtection="1">
      <alignment vertical="top"/>
    </xf>
    <xf numFmtId="0" fontId="11" fillId="0" borderId="0" xfId="36" applyNumberFormat="1" applyFont="1" applyFill="1" applyBorder="1" applyAlignment="1" applyProtection="1">
      <alignment vertical="top"/>
    </xf>
    <xf numFmtId="0" fontId="8" fillId="0" borderId="0" xfId="39" applyNumberFormat="1" applyFont="1" applyFill="1" applyAlignment="1" applyProtection="1"/>
    <xf numFmtId="0" fontId="62" fillId="0" borderId="7" xfId="39" applyNumberFormat="1" applyFont="1" applyFill="1" applyBorder="1" applyAlignment="1" applyProtection="1">
      <alignment vertical="center" wrapText="1"/>
    </xf>
    <xf numFmtId="0" fontId="4" fillId="0" borderId="0" xfId="0" applyFont="1" applyAlignment="1"/>
    <xf numFmtId="49" fontId="39" fillId="0" borderId="8" xfId="0" applyNumberFormat="1" applyFont="1" applyFill="1" applyBorder="1" applyAlignment="1">
      <alignment horizontal="center" vertical="center" wrapText="1"/>
    </xf>
    <xf numFmtId="49" fontId="39" fillId="0" borderId="7" xfId="0" applyNumberFormat="1" applyFont="1" applyFill="1" applyBorder="1" applyAlignment="1">
      <alignment horizontal="center" vertical="center" wrapText="1"/>
    </xf>
    <xf numFmtId="4" fontId="41" fillId="0" borderId="7" xfId="0" applyNumberFormat="1" applyFont="1" applyFill="1" applyBorder="1" applyAlignment="1">
      <alignment horizontal="center" vertical="center" wrapText="1"/>
    </xf>
    <xf numFmtId="0" fontId="10" fillId="0" borderId="0" xfId="35" applyNumberFormat="1" applyFont="1" applyFill="1" applyAlignment="1" applyProtection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49" fontId="39" fillId="26" borderId="7" xfId="0" applyNumberFormat="1" applyFont="1" applyFill="1" applyBorder="1" applyAlignment="1">
      <alignment horizontal="center" vertical="center"/>
    </xf>
    <xf numFmtId="49" fontId="39" fillId="26" borderId="7" xfId="0" applyNumberFormat="1" applyFont="1" applyFill="1" applyBorder="1" applyAlignment="1">
      <alignment horizontal="center" vertical="center" wrapText="1"/>
    </xf>
    <xf numFmtId="4" fontId="41" fillId="26" borderId="7" xfId="0" applyNumberFormat="1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right"/>
    </xf>
    <xf numFmtId="4" fontId="43" fillId="26" borderId="7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right" vertical="center" wrapText="1"/>
    </xf>
    <xf numFmtId="0" fontId="102" fillId="0" borderId="0" xfId="0" applyFont="1" applyAlignment="1">
      <alignment vertical="center"/>
    </xf>
    <xf numFmtId="0" fontId="0" fillId="0" borderId="0" xfId="0" applyFont="1"/>
    <xf numFmtId="0" fontId="4" fillId="0" borderId="11" xfId="35" applyNumberFormat="1" applyFont="1" applyFill="1" applyBorder="1" applyAlignment="1" applyProtection="1">
      <alignment horizontal="right" vertical="center"/>
    </xf>
    <xf numFmtId="0" fontId="29" fillId="29" borderId="7" xfId="35" applyFont="1" applyFill="1" applyBorder="1" applyAlignment="1">
      <alignment horizontal="left" vertical="center" wrapText="1"/>
    </xf>
    <xf numFmtId="0" fontId="37" fillId="29" borderId="7" xfId="0" applyFont="1" applyFill="1" applyBorder="1" applyAlignment="1">
      <alignment horizontal="center" vertical="center"/>
    </xf>
    <xf numFmtId="0" fontId="37" fillId="29" borderId="7" xfId="0" applyFont="1" applyFill="1" applyBorder="1" applyAlignment="1">
      <alignment horizontal="left" vertical="center"/>
    </xf>
    <xf numFmtId="49" fontId="29" fillId="29" borderId="7" xfId="35" applyNumberFormat="1" applyFont="1" applyFill="1" applyBorder="1" applyAlignment="1">
      <alignment horizontal="center" vertical="center" wrapText="1"/>
    </xf>
    <xf numFmtId="0" fontId="108" fillId="0" borderId="7" xfId="35" applyNumberFormat="1" applyFont="1" applyFill="1" applyBorder="1" applyAlignment="1" applyProtection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 wrapText="1"/>
    </xf>
    <xf numFmtId="0" fontId="8" fillId="0" borderId="0" xfId="36" applyNumberFormat="1" applyFont="1" applyFill="1" applyBorder="1" applyAlignment="1" applyProtection="1">
      <alignment horizontal="right" vertical="top"/>
    </xf>
    <xf numFmtId="0" fontId="37" fillId="0" borderId="7" xfId="0" applyFont="1" applyBorder="1" applyAlignment="1">
      <alignment horizontal="center" vertical="center" wrapText="1"/>
    </xf>
    <xf numFmtId="49" fontId="28" fillId="0" borderId="7" xfId="0" applyNumberFormat="1" applyFont="1" applyFill="1" applyBorder="1" applyAlignment="1">
      <alignment horizontal="center" vertical="center" wrapText="1"/>
    </xf>
    <xf numFmtId="9" fontId="52" fillId="0" borderId="10" xfId="30" applyNumberFormat="1" applyFont="1" applyFill="1" applyBorder="1" applyAlignment="1">
      <alignment horizontal="center" vertical="center"/>
    </xf>
    <xf numFmtId="9" fontId="49" fillId="0" borderId="10" xfId="30" applyNumberFormat="1" applyFont="1" applyFill="1" applyBorder="1" applyAlignment="1">
      <alignment horizontal="center" vertical="center"/>
    </xf>
    <xf numFmtId="9" fontId="31" fillId="0" borderId="10" xfId="30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7" fillId="0" borderId="7" xfId="0" applyFont="1" applyBorder="1" applyAlignment="1">
      <alignment horizontal="center" vertical="center" wrapText="1"/>
    </xf>
    <xf numFmtId="49" fontId="28" fillId="0" borderId="8" xfId="0" applyNumberFormat="1" applyFont="1" applyFill="1" applyBorder="1" applyAlignment="1">
      <alignment horizontal="center" vertical="center" wrapText="1"/>
    </xf>
    <xf numFmtId="49" fontId="28" fillId="0" borderId="7" xfId="0" applyNumberFormat="1" applyFont="1" applyFill="1" applyBorder="1" applyAlignment="1">
      <alignment horizontal="center" vertical="center" wrapText="1"/>
    </xf>
    <xf numFmtId="0" fontId="54" fillId="0" borderId="7" xfId="0" applyFont="1" applyFill="1" applyBorder="1" applyAlignment="1">
      <alignment horizontal="center" vertical="center" wrapText="1"/>
    </xf>
    <xf numFmtId="4" fontId="28" fillId="0" borderId="7" xfId="0" applyNumberFormat="1" applyFont="1" applyFill="1" applyBorder="1" applyAlignment="1">
      <alignment horizontal="center" vertical="center" wrapText="1"/>
    </xf>
    <xf numFmtId="49" fontId="28" fillId="0" borderId="7" xfId="0" applyNumberFormat="1" applyFont="1" applyFill="1" applyBorder="1" applyAlignment="1">
      <alignment horizontal="center" vertical="center" wrapText="1"/>
    </xf>
    <xf numFmtId="4" fontId="28" fillId="0" borderId="7" xfId="0" applyNumberFormat="1" applyFont="1" applyFill="1" applyBorder="1" applyAlignment="1">
      <alignment horizontal="center" vertical="center" wrapText="1"/>
    </xf>
    <xf numFmtId="4" fontId="43" fillId="0" borderId="7" xfId="0" applyNumberFormat="1" applyFont="1" applyFill="1" applyBorder="1" applyAlignment="1">
      <alignment horizontal="center" vertical="center" wrapText="1"/>
    </xf>
    <xf numFmtId="4" fontId="42" fillId="0" borderId="7" xfId="0" applyNumberFormat="1" applyFont="1" applyFill="1" applyBorder="1" applyAlignment="1">
      <alignment horizontal="center" vertical="center" wrapText="1"/>
    </xf>
    <xf numFmtId="0" fontId="40" fillId="31" borderId="7" xfId="0" applyFont="1" applyFill="1" applyBorder="1" applyAlignment="1">
      <alignment horizontal="center" vertical="center" wrapText="1"/>
    </xf>
    <xf numFmtId="49" fontId="40" fillId="31" borderId="7" xfId="0" applyNumberFormat="1" applyFont="1" applyFill="1" applyBorder="1" applyAlignment="1">
      <alignment horizontal="center" vertical="center" wrapText="1"/>
    </xf>
    <xf numFmtId="4" fontId="44" fillId="31" borderId="7" xfId="0" applyNumberFormat="1" applyFont="1" applyFill="1" applyBorder="1" applyAlignment="1">
      <alignment horizontal="center" vertical="center" wrapText="1"/>
    </xf>
    <xf numFmtId="4" fontId="41" fillId="31" borderId="7" xfId="0" applyNumberFormat="1" applyFont="1" applyFill="1" applyBorder="1" applyAlignment="1">
      <alignment horizontal="center" vertical="center" wrapText="1"/>
    </xf>
    <xf numFmtId="0" fontId="37" fillId="31" borderId="7" xfId="0" applyFont="1" applyFill="1" applyBorder="1" applyAlignment="1">
      <alignment horizontal="center" vertical="center" wrapText="1"/>
    </xf>
    <xf numFmtId="49" fontId="37" fillId="31" borderId="7" xfId="0" applyNumberFormat="1" applyFont="1" applyFill="1" applyBorder="1" applyAlignment="1">
      <alignment horizontal="center" vertical="center" wrapText="1"/>
    </xf>
    <xf numFmtId="4" fontId="44" fillId="28" borderId="9" xfId="0" applyNumberFormat="1" applyFont="1" applyFill="1" applyBorder="1" applyAlignment="1">
      <alignment horizontal="center" vertical="center" wrapText="1"/>
    </xf>
    <xf numFmtId="0" fontId="109" fillId="0" borderId="0" xfId="0" applyFont="1" applyAlignment="1">
      <alignment horizontal="center" vertical="center"/>
    </xf>
    <xf numFmtId="49" fontId="39" fillId="0" borderId="7" xfId="0" applyNumberFormat="1" applyFont="1" applyFill="1" applyBorder="1" applyAlignment="1">
      <alignment horizontal="center" vertical="center"/>
    </xf>
    <xf numFmtId="49" fontId="28" fillId="0" borderId="7" xfId="35" applyNumberFormat="1" applyFont="1" applyBorder="1" applyAlignment="1">
      <alignment horizontal="center" vertical="center" wrapText="1"/>
    </xf>
    <xf numFmtId="0" fontId="28" fillId="0" borderId="7" xfId="35" applyFont="1" applyBorder="1" applyAlignment="1">
      <alignment horizontal="center" vertical="center" wrapText="1"/>
    </xf>
    <xf numFmtId="4" fontId="28" fillId="0" borderId="7" xfId="35" applyNumberFormat="1" applyFont="1" applyBorder="1" applyAlignment="1">
      <alignment horizontal="center" vertical="center"/>
    </xf>
    <xf numFmtId="4" fontId="28" fillId="0" borderId="7" xfId="35" applyNumberFormat="1" applyFont="1" applyFill="1" applyBorder="1" applyAlignment="1" applyProtection="1">
      <alignment horizontal="center" vertical="center"/>
    </xf>
    <xf numFmtId="49" fontId="29" fillId="0" borderId="7" xfId="35" applyNumberFormat="1" applyFont="1" applyBorder="1" applyAlignment="1">
      <alignment horizontal="center" vertical="center" wrapText="1"/>
    </xf>
    <xf numFmtId="49" fontId="29" fillId="0" borderId="7" xfId="0" applyNumberFormat="1" applyFont="1" applyFill="1" applyBorder="1" applyAlignment="1">
      <alignment horizontal="center" vertical="center" wrapText="1"/>
    </xf>
    <xf numFmtId="4" fontId="29" fillId="0" borderId="7" xfId="35" applyNumberFormat="1" applyFont="1" applyBorder="1" applyAlignment="1">
      <alignment horizontal="center" vertical="center"/>
    </xf>
    <xf numFmtId="49" fontId="48" fillId="0" borderId="7" xfId="35" applyNumberFormat="1" applyFont="1" applyBorder="1" applyAlignment="1">
      <alignment horizontal="center" vertical="center" wrapText="1"/>
    </xf>
    <xf numFmtId="49" fontId="48" fillId="0" borderId="7" xfId="0" applyNumberFormat="1" applyFont="1" applyFill="1" applyBorder="1" applyAlignment="1">
      <alignment horizontal="center" vertical="center" wrapText="1"/>
    </xf>
    <xf numFmtId="4" fontId="48" fillId="0" borderId="7" xfId="35" applyNumberFormat="1" applyFont="1" applyBorder="1" applyAlignment="1">
      <alignment horizontal="center" vertical="center"/>
    </xf>
    <xf numFmtId="4" fontId="43" fillId="0" borderId="8" xfId="0" applyNumberFormat="1" applyFont="1" applyFill="1" applyBorder="1" applyAlignment="1">
      <alignment horizontal="center" vertical="center" wrapText="1"/>
    </xf>
    <xf numFmtId="4" fontId="41" fillId="0" borderId="8" xfId="0" applyNumberFormat="1" applyFont="1" applyFill="1" applyBorder="1" applyAlignment="1">
      <alignment horizontal="center" vertical="center" wrapText="1"/>
    </xf>
    <xf numFmtId="49" fontId="39" fillId="0" borderId="7" xfId="0" applyNumberFormat="1" applyFont="1" applyFill="1" applyBorder="1" applyAlignment="1">
      <alignment horizontal="center" vertical="center" wrapText="1"/>
    </xf>
    <xf numFmtId="49" fontId="39" fillId="0" borderId="12" xfId="0" applyNumberFormat="1" applyFont="1" applyFill="1" applyBorder="1" applyAlignment="1">
      <alignment horizontal="center" vertical="center" wrapText="1"/>
    </xf>
    <xf numFmtId="4" fontId="41" fillId="0" borderId="7" xfId="0" applyNumberFormat="1" applyFont="1" applyFill="1" applyBorder="1" applyAlignment="1">
      <alignment horizontal="center" vertical="center" wrapText="1"/>
    </xf>
    <xf numFmtId="4" fontId="41" fillId="0" borderId="8" xfId="0" applyNumberFormat="1" applyFont="1" applyFill="1" applyBorder="1" applyAlignment="1">
      <alignment horizontal="center" vertical="center" wrapText="1"/>
    </xf>
    <xf numFmtId="0" fontId="39" fillId="0" borderId="7" xfId="38" applyNumberFormat="1" applyFont="1" applyFill="1" applyBorder="1" applyAlignment="1" applyProtection="1">
      <alignment horizontal="center" vertical="center" wrapText="1"/>
      <protection locked="0"/>
    </xf>
    <xf numFmtId="4" fontId="43" fillId="0" borderId="7" xfId="0" applyNumberFormat="1" applyFont="1" applyFill="1" applyBorder="1" applyAlignment="1">
      <alignment horizontal="center" vertical="center" wrapText="1"/>
    </xf>
    <xf numFmtId="49" fontId="39" fillId="0" borderId="0" xfId="0" applyNumberFormat="1" applyFont="1" applyFill="1" applyBorder="1" applyAlignment="1">
      <alignment horizontal="center" vertical="top" wrapText="1"/>
    </xf>
    <xf numFmtId="0" fontId="39" fillId="0" borderId="8" xfId="0" applyFont="1" applyFill="1" applyBorder="1" applyAlignment="1">
      <alignment horizontal="center" vertical="center" wrapText="1"/>
    </xf>
    <xf numFmtId="49" fontId="39" fillId="0" borderId="15" xfId="0" applyNumberFormat="1" applyFont="1" applyFill="1" applyBorder="1" applyAlignment="1">
      <alignment horizontal="center" vertical="center" wrapText="1"/>
    </xf>
    <xf numFmtId="0" fontId="39" fillId="0" borderId="7" xfId="0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center" vertical="center" wrapText="1"/>
    </xf>
    <xf numFmtId="0" fontId="39" fillId="0" borderId="8" xfId="0" applyFont="1" applyFill="1" applyBorder="1" applyAlignment="1" applyProtection="1">
      <alignment horizontal="center" vertical="center" wrapText="1"/>
    </xf>
    <xf numFmtId="4" fontId="41" fillId="0" borderId="14" xfId="0" applyNumberFormat="1" applyFont="1" applyFill="1" applyBorder="1" applyAlignment="1">
      <alignment horizontal="center" vertical="center" wrapText="1"/>
    </xf>
    <xf numFmtId="0" fontId="28" fillId="0" borderId="8" xfId="0" applyFont="1" applyFill="1" applyBorder="1" applyAlignment="1" applyProtection="1">
      <alignment horizontal="center" vertical="center" wrapText="1"/>
    </xf>
    <xf numFmtId="49" fontId="48" fillId="31" borderId="7" xfId="0" applyNumberFormat="1" applyFont="1" applyFill="1" applyBorder="1" applyAlignment="1">
      <alignment horizontal="center" vertical="center" wrapText="1"/>
    </xf>
    <xf numFmtId="0" fontId="48" fillId="31" borderId="7" xfId="38" applyNumberFormat="1" applyFont="1" applyFill="1" applyBorder="1" applyAlignment="1" applyProtection="1">
      <alignment horizontal="center" vertical="center" wrapText="1"/>
      <protection locked="0"/>
    </xf>
    <xf numFmtId="164" fontId="36" fillId="31" borderId="7" xfId="30" applyNumberFormat="1" applyFont="1" applyFill="1" applyBorder="1" applyAlignment="1">
      <alignment horizontal="center" vertical="center"/>
    </xf>
    <xf numFmtId="164" fontId="31" fillId="31" borderId="7" xfId="30" applyNumberFormat="1" applyFont="1" applyFill="1" applyBorder="1" applyAlignment="1">
      <alignment horizontal="center" vertical="center"/>
    </xf>
    <xf numFmtId="4" fontId="32" fillId="31" borderId="7" xfId="30" applyNumberFormat="1" applyFont="1" applyFill="1" applyBorder="1" applyAlignment="1">
      <alignment horizontal="center" vertical="center"/>
    </xf>
    <xf numFmtId="49" fontId="29" fillId="31" borderId="7" xfId="0" applyNumberFormat="1" applyFont="1" applyFill="1" applyBorder="1" applyAlignment="1">
      <alignment horizontal="center" vertical="center" wrapText="1"/>
    </xf>
    <xf numFmtId="0" fontId="29" fillId="31" borderId="7" xfId="38" applyNumberFormat="1" applyFont="1" applyFill="1" applyBorder="1" applyAlignment="1" applyProtection="1">
      <alignment horizontal="center" vertical="center" wrapText="1"/>
      <protection locked="0"/>
    </xf>
    <xf numFmtId="4" fontId="30" fillId="31" borderId="7" xfId="30" applyNumberFormat="1" applyFont="1" applyFill="1" applyBorder="1" applyAlignment="1">
      <alignment horizontal="center" vertical="center"/>
    </xf>
    <xf numFmtId="2" fontId="9" fillId="0" borderId="0" xfId="38" applyNumberFormat="1" applyFont="1" applyFill="1" applyBorder="1" applyAlignment="1" applyProtection="1">
      <alignment vertical="center" wrapText="1"/>
      <protection locked="0"/>
    </xf>
    <xf numFmtId="2" fontId="110" fillId="0" borderId="0" xfId="0" applyNumberFormat="1" applyFont="1" applyAlignment="1">
      <alignment horizontal="center" vertical="center"/>
    </xf>
    <xf numFmtId="164" fontId="111" fillId="0" borderId="7" xfId="30" applyNumberFormat="1" applyFont="1" applyFill="1" applyBorder="1" applyAlignment="1">
      <alignment horizontal="center" vertical="center" wrapText="1"/>
    </xf>
    <xf numFmtId="4" fontId="39" fillId="0" borderId="7" xfId="0" applyNumberFormat="1" applyFont="1" applyFill="1" applyBorder="1" applyAlignment="1">
      <alignment horizontal="center" vertical="center" wrapText="1"/>
    </xf>
    <xf numFmtId="0" fontId="79" fillId="0" borderId="0" xfId="0" applyFont="1" applyAlignment="1">
      <alignment horizontal="center" vertical="center"/>
    </xf>
    <xf numFmtId="4" fontId="48" fillId="31" borderId="7" xfId="0" applyNumberFormat="1" applyFont="1" applyFill="1" applyBorder="1" applyAlignment="1">
      <alignment horizontal="center" vertical="center" wrapText="1"/>
    </xf>
    <xf numFmtId="4" fontId="29" fillId="31" borderId="7" xfId="0" applyNumberFormat="1" applyFont="1" applyFill="1" applyBorder="1" applyAlignment="1">
      <alignment horizontal="center" vertical="center" wrapText="1"/>
    </xf>
    <xf numFmtId="49" fontId="39" fillId="0" borderId="7" xfId="35" applyNumberFormat="1" applyFont="1" applyFill="1" applyBorder="1" applyAlignment="1">
      <alignment horizontal="center" vertical="center" wrapText="1"/>
    </xf>
    <xf numFmtId="0" fontId="39" fillId="0" borderId="7" xfId="35" applyFont="1" applyFill="1" applyBorder="1" applyAlignment="1">
      <alignment horizontal="center" vertical="center" wrapText="1"/>
    </xf>
    <xf numFmtId="4" fontId="41" fillId="0" borderId="8" xfId="0" applyNumberFormat="1" applyFont="1" applyFill="1" applyBorder="1" applyAlignment="1">
      <alignment horizontal="center" vertical="center" wrapText="1"/>
    </xf>
    <xf numFmtId="49" fontId="39" fillId="0" borderId="8" xfId="0" applyNumberFormat="1" applyFont="1" applyFill="1" applyBorder="1" applyAlignment="1">
      <alignment horizontal="center" vertical="center" wrapText="1"/>
    </xf>
    <xf numFmtId="49" fontId="39" fillId="0" borderId="7" xfId="0" applyNumberFormat="1" applyFont="1" applyFill="1" applyBorder="1" applyAlignment="1">
      <alignment horizontal="center" vertical="center" wrapText="1"/>
    </xf>
    <xf numFmtId="4" fontId="43" fillId="0" borderId="8" xfId="0" applyNumberFormat="1" applyFont="1" applyFill="1" applyBorder="1" applyAlignment="1">
      <alignment horizontal="center" vertical="center" wrapText="1"/>
    </xf>
    <xf numFmtId="4" fontId="41" fillId="0" borderId="7" xfId="0" applyNumberFormat="1" applyFont="1" applyFill="1" applyBorder="1" applyAlignment="1">
      <alignment horizontal="center" vertical="center" wrapText="1"/>
    </xf>
    <xf numFmtId="4" fontId="43" fillId="0" borderId="7" xfId="0" applyNumberFormat="1" applyFont="1" applyFill="1" applyBorder="1" applyAlignment="1">
      <alignment horizontal="center" vertical="center" wrapText="1"/>
    </xf>
    <xf numFmtId="4" fontId="43" fillId="26" borderId="7" xfId="0" applyNumberFormat="1" applyFont="1" applyFill="1" applyBorder="1" applyAlignment="1">
      <alignment horizontal="center" vertical="center" wrapText="1"/>
    </xf>
    <xf numFmtId="49" fontId="28" fillId="0" borderId="7" xfId="0" applyNumberFormat="1" applyFont="1" applyFill="1" applyBorder="1" applyAlignment="1">
      <alignment horizontal="center" vertical="center" wrapText="1"/>
    </xf>
    <xf numFmtId="4" fontId="28" fillId="0" borderId="7" xfId="0" applyNumberFormat="1" applyFont="1" applyFill="1" applyBorder="1" applyAlignment="1">
      <alignment horizontal="center" vertical="center" wrapText="1"/>
    </xf>
    <xf numFmtId="4" fontId="41" fillId="32" borderId="7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 wrapText="1"/>
    </xf>
    <xf numFmtId="49" fontId="38" fillId="0" borderId="7" xfId="0" applyNumberFormat="1" applyFont="1" applyFill="1" applyBorder="1" applyAlignment="1">
      <alignment horizontal="center" vertical="center" wrapText="1"/>
    </xf>
    <xf numFmtId="49" fontId="29" fillId="31" borderId="7" xfId="0" applyNumberFormat="1" applyFont="1" applyFill="1" applyBorder="1" applyAlignment="1">
      <alignment horizontal="center" vertical="center"/>
    </xf>
    <xf numFmtId="49" fontId="28" fillId="31" borderId="7" xfId="0" applyNumberFormat="1" applyFont="1" applyFill="1" applyBorder="1" applyAlignment="1">
      <alignment horizontal="center" vertical="center"/>
    </xf>
    <xf numFmtId="0" fontId="40" fillId="31" borderId="7" xfId="38" applyNumberFormat="1" applyFont="1" applyFill="1" applyBorder="1" applyAlignment="1" applyProtection="1">
      <alignment horizontal="center" vertical="center" wrapText="1"/>
      <protection locked="0"/>
    </xf>
    <xf numFmtId="0" fontId="37" fillId="31" borderId="7" xfId="38" applyNumberFormat="1" applyFont="1" applyFill="1" applyBorder="1" applyAlignment="1" applyProtection="1">
      <alignment horizontal="center" vertical="center" wrapText="1"/>
      <protection locked="0"/>
    </xf>
    <xf numFmtId="4" fontId="37" fillId="31" borderId="7" xfId="0" applyNumberFormat="1" applyFont="1" applyFill="1" applyBorder="1" applyAlignment="1">
      <alignment horizontal="center" vertical="center" wrapText="1"/>
    </xf>
    <xf numFmtId="4" fontId="42" fillId="0" borderId="8" xfId="0" applyNumberFormat="1" applyFont="1" applyFill="1" applyBorder="1" applyAlignment="1">
      <alignment horizontal="center" vertical="center" wrapText="1"/>
    </xf>
    <xf numFmtId="4" fontId="41" fillId="0" borderId="7" xfId="38" applyNumberFormat="1" applyFont="1" applyFill="1" applyBorder="1" applyAlignment="1" applyProtection="1">
      <alignment horizontal="center" vertical="center" wrapText="1"/>
    </xf>
    <xf numFmtId="0" fontId="39" fillId="0" borderId="8" xfId="38" applyNumberFormat="1" applyFont="1" applyFill="1" applyBorder="1" applyAlignment="1" applyProtection="1">
      <alignment horizontal="center" vertical="center" wrapText="1"/>
      <protection locked="0"/>
    </xf>
    <xf numFmtId="49" fontId="40" fillId="31" borderId="7" xfId="0" applyNumberFormat="1" applyFont="1" applyFill="1" applyBorder="1" applyAlignment="1">
      <alignment horizontal="center" vertical="center"/>
    </xf>
    <xf numFmtId="49" fontId="38" fillId="31" borderId="7" xfId="0" applyNumberFormat="1" applyFont="1" applyFill="1" applyBorder="1" applyAlignment="1">
      <alignment horizontal="center" vertical="center"/>
    </xf>
    <xf numFmtId="4" fontId="44" fillId="31" borderId="7" xfId="38" applyNumberFormat="1" applyFont="1" applyFill="1" applyBorder="1" applyAlignment="1" applyProtection="1">
      <alignment horizontal="center" vertical="center" wrapText="1"/>
      <protection locked="0"/>
    </xf>
    <xf numFmtId="0" fontId="111" fillId="33" borderId="7" xfId="0" applyFont="1" applyFill="1" applyBorder="1" applyAlignment="1">
      <alignment horizontal="center" vertical="center" wrapText="1"/>
    </xf>
    <xf numFmtId="0" fontId="111" fillId="33" borderId="7" xfId="0" applyFont="1" applyFill="1" applyBorder="1" applyAlignment="1">
      <alignment horizontal="left" vertical="center" wrapText="1"/>
    </xf>
    <xf numFmtId="4" fontId="39" fillId="0" borderId="7" xfId="38" applyNumberFormat="1" applyFont="1" applyFill="1" applyBorder="1" applyAlignment="1" applyProtection="1">
      <alignment horizontal="center" vertical="center" wrapText="1"/>
      <protection locked="0"/>
    </xf>
    <xf numFmtId="0" fontId="39" fillId="0" borderId="7" xfId="0" applyFont="1" applyFill="1" applyBorder="1" applyAlignment="1">
      <alignment vertical="center" wrapText="1"/>
    </xf>
    <xf numFmtId="0" fontId="111" fillId="0" borderId="7" xfId="0" applyFont="1" applyFill="1" applyBorder="1" applyAlignment="1">
      <alignment horizontal="center" vertical="center" wrapText="1"/>
    </xf>
    <xf numFmtId="0" fontId="112" fillId="0" borderId="7" xfId="0" applyFont="1" applyFill="1" applyBorder="1" applyAlignment="1">
      <alignment horizontal="center" vertical="center" wrapText="1"/>
    </xf>
    <xf numFmtId="0" fontId="39" fillId="0" borderId="9" xfId="38" applyNumberFormat="1" applyFont="1" applyFill="1" applyBorder="1" applyAlignment="1" applyProtection="1">
      <alignment horizontal="center" vertical="center" wrapText="1"/>
      <protection locked="0"/>
    </xf>
    <xf numFmtId="0" fontId="29" fillId="0" borderId="7" xfId="35" applyFont="1" applyFill="1" applyBorder="1" applyAlignment="1">
      <alignment horizontal="center" vertical="center" wrapText="1"/>
    </xf>
    <xf numFmtId="2" fontId="113" fillId="0" borderId="0" xfId="36" applyNumberFormat="1" applyFont="1" applyFill="1" applyBorder="1" applyAlignment="1" applyProtection="1">
      <alignment horizontal="center" vertical="top"/>
    </xf>
    <xf numFmtId="4" fontId="44" fillId="31" borderId="7" xfId="0" applyNumberFormat="1" applyFont="1" applyFill="1" applyBorder="1" applyAlignment="1">
      <alignment horizontal="center" vertical="center"/>
    </xf>
    <xf numFmtId="0" fontId="114" fillId="0" borderId="7" xfId="0" applyFont="1" applyFill="1" applyBorder="1" applyAlignment="1">
      <alignment horizontal="center" vertical="center" wrapText="1"/>
    </xf>
    <xf numFmtId="49" fontId="39" fillId="0" borderId="7" xfId="0" applyNumberFormat="1" applyFont="1" applyFill="1" applyBorder="1" applyAlignment="1">
      <alignment horizontal="center" vertical="center" wrapText="1"/>
    </xf>
    <xf numFmtId="4" fontId="41" fillId="0" borderId="7" xfId="0" applyNumberFormat="1" applyFont="1" applyFill="1" applyBorder="1" applyAlignment="1">
      <alignment horizontal="center" vertical="center" wrapText="1"/>
    </xf>
    <xf numFmtId="0" fontId="29" fillId="31" borderId="7" xfId="35" applyFont="1" applyFill="1" applyBorder="1" applyAlignment="1">
      <alignment horizontal="center" vertical="center" wrapText="1"/>
    </xf>
    <xf numFmtId="4" fontId="48" fillId="31" borderId="7" xfId="35" applyNumberFormat="1" applyFont="1" applyFill="1" applyBorder="1" applyAlignment="1">
      <alignment horizontal="center" vertical="center" wrapText="1"/>
    </xf>
    <xf numFmtId="4" fontId="29" fillId="31" borderId="7" xfId="35" applyNumberFormat="1" applyFont="1" applyFill="1" applyBorder="1" applyAlignment="1">
      <alignment horizontal="center" vertical="center" wrapText="1"/>
    </xf>
    <xf numFmtId="49" fontId="28" fillId="31" borderId="7" xfId="35" applyNumberFormat="1" applyFont="1" applyFill="1" applyBorder="1" applyAlignment="1">
      <alignment horizontal="center" vertical="center" wrapText="1"/>
    </xf>
    <xf numFmtId="164" fontId="14" fillId="31" borderId="7" xfId="30" applyNumberFormat="1" applyFont="1" applyFill="1" applyBorder="1" applyAlignment="1">
      <alignment horizontal="center" vertical="center"/>
    </xf>
    <xf numFmtId="164" fontId="30" fillId="31" borderId="7" xfId="30" applyNumberFormat="1" applyFont="1" applyFill="1" applyBorder="1" applyAlignment="1">
      <alignment horizontal="center" vertical="center"/>
    </xf>
    <xf numFmtId="49" fontId="29" fillId="31" borderId="7" xfId="35" applyNumberFormat="1" applyFont="1" applyFill="1" applyBorder="1" applyAlignment="1">
      <alignment horizontal="center" vertical="center" wrapText="1"/>
    </xf>
    <xf numFmtId="0" fontId="48" fillId="31" borderId="7" xfId="0" applyFont="1" applyFill="1" applyBorder="1" applyAlignment="1">
      <alignment horizontal="center" vertical="center" wrapText="1"/>
    </xf>
    <xf numFmtId="0" fontId="29" fillId="31" borderId="7" xfId="0" applyFont="1" applyFill="1" applyBorder="1" applyAlignment="1">
      <alignment horizontal="center" vertical="center" wrapText="1"/>
    </xf>
    <xf numFmtId="4" fontId="41" fillId="31" borderId="7" xfId="0" applyNumberFormat="1" applyFont="1" applyFill="1" applyBorder="1" applyAlignment="1">
      <alignment horizontal="center" vertical="center"/>
    </xf>
    <xf numFmtId="49" fontId="39" fillId="0" borderId="7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4" fontId="41" fillId="0" borderId="7" xfId="0" applyNumberFormat="1" applyFont="1" applyFill="1" applyBorder="1" applyAlignment="1">
      <alignment horizontal="center" vertical="center" wrapText="1"/>
    </xf>
    <xf numFmtId="49" fontId="39" fillId="0" borderId="7" xfId="0" applyNumberFormat="1" applyFont="1" applyFill="1" applyBorder="1" applyAlignment="1">
      <alignment horizontal="center" vertical="center" wrapText="1"/>
    </xf>
    <xf numFmtId="0" fontId="9" fillId="0" borderId="7" xfId="39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9" fillId="0" borderId="0" xfId="0" applyFont="1" applyFill="1" applyAlignment="1">
      <alignment horizontal="center"/>
    </xf>
    <xf numFmtId="0" fontId="61" fillId="0" borderId="7" xfId="0" applyFont="1" applyFill="1" applyBorder="1" applyAlignment="1">
      <alignment horizontal="center" vertical="center" wrapText="1"/>
    </xf>
    <xf numFmtId="4" fontId="43" fillId="0" borderId="7" xfId="0" applyNumberFormat="1" applyFont="1" applyFill="1" applyBorder="1" applyAlignment="1">
      <alignment horizontal="center" vertical="center"/>
    </xf>
    <xf numFmtId="4" fontId="44" fillId="29" borderId="7" xfId="0" applyNumberFormat="1" applyFont="1" applyFill="1" applyBorder="1" applyAlignment="1">
      <alignment horizontal="center" vertical="center"/>
    </xf>
    <xf numFmtId="0" fontId="2" fillId="0" borderId="0" xfId="0" applyFont="1" applyFill="1"/>
    <xf numFmtId="4" fontId="2" fillId="0" borderId="0" xfId="0" applyNumberFormat="1" applyFont="1" applyFill="1"/>
    <xf numFmtId="4" fontId="4" fillId="0" borderId="7" xfId="0" applyNumberFormat="1" applyFont="1" applyFill="1" applyBorder="1" applyAlignment="1">
      <alignment horizontal="center" vertical="center" wrapText="1"/>
    </xf>
    <xf numFmtId="0" fontId="115" fillId="0" borderId="0" xfId="0" applyFont="1" applyFill="1"/>
    <xf numFmtId="0" fontId="115" fillId="0" borderId="0" xfId="0" applyFont="1"/>
    <xf numFmtId="0" fontId="115" fillId="0" borderId="0" xfId="36" applyNumberFormat="1" applyFont="1" applyFill="1" applyBorder="1" applyAlignment="1" applyProtection="1">
      <alignment vertical="top"/>
    </xf>
    <xf numFmtId="0" fontId="115" fillId="0" borderId="0" xfId="35" applyFont="1" applyFill="1"/>
    <xf numFmtId="0" fontId="43" fillId="0" borderId="0" xfId="36" applyNumberFormat="1" applyFont="1" applyFill="1" applyBorder="1" applyAlignment="1" applyProtection="1">
      <alignment vertical="top"/>
    </xf>
    <xf numFmtId="0" fontId="43" fillId="0" borderId="0" xfId="35" applyNumberFormat="1" applyFont="1" applyFill="1" applyAlignment="1" applyProtection="1">
      <alignment horizontal="center" vertical="center"/>
    </xf>
    <xf numFmtId="0" fontId="43" fillId="0" borderId="0" xfId="35" applyFont="1" applyFill="1"/>
    <xf numFmtId="4" fontId="116" fillId="0" borderId="0" xfId="0" applyNumberFormat="1" applyFont="1" applyAlignment="1">
      <alignment horizontal="center" vertical="center"/>
    </xf>
    <xf numFmtId="4" fontId="117" fillId="0" borderId="0" xfId="0" applyNumberFormat="1" applyFont="1" applyAlignment="1">
      <alignment vertical="center"/>
    </xf>
    <xf numFmtId="9" fontId="28" fillId="0" borderId="7" xfId="0" applyNumberFormat="1" applyFont="1" applyFill="1" applyBorder="1" applyAlignment="1">
      <alignment horizontal="center" vertical="center" wrapText="1"/>
    </xf>
    <xf numFmtId="9" fontId="31" fillId="0" borderId="7" xfId="30" applyNumberFormat="1" applyFont="1" applyFill="1" applyBorder="1" applyAlignment="1">
      <alignment horizontal="center" vertical="center"/>
    </xf>
    <xf numFmtId="0" fontId="118" fillId="0" borderId="0" xfId="87" applyFont="1" applyAlignment="1">
      <alignment vertical="center"/>
    </xf>
    <xf numFmtId="0" fontId="1" fillId="0" borderId="0" xfId="87"/>
    <xf numFmtId="0" fontId="118" fillId="0" borderId="0" xfId="87" applyFont="1" applyAlignment="1">
      <alignment horizontal="center" vertical="center" wrapText="1"/>
    </xf>
    <xf numFmtId="0" fontId="120" fillId="0" borderId="7" xfId="87" applyFont="1" applyBorder="1" applyAlignment="1">
      <alignment horizontal="center" vertical="center" wrapText="1"/>
    </xf>
    <xf numFmtId="0" fontId="121" fillId="0" borderId="7" xfId="87" applyFont="1" applyBorder="1" applyAlignment="1">
      <alignment horizontal="center" vertical="center" wrapText="1"/>
    </xf>
    <xf numFmtId="49" fontId="118" fillId="0" borderId="7" xfId="87" applyNumberFormat="1" applyFont="1" applyBorder="1" applyAlignment="1">
      <alignment horizontal="center" vertical="center" wrapText="1"/>
    </xf>
    <xf numFmtId="0" fontId="118" fillId="0" borderId="7" xfId="87" applyFont="1" applyBorder="1" applyAlignment="1">
      <alignment horizontal="center" vertical="center" wrapText="1"/>
    </xf>
    <xf numFmtId="166" fontId="118" fillId="0" borderId="7" xfId="87" applyNumberFormat="1" applyFont="1" applyBorder="1" applyAlignment="1">
      <alignment horizontal="center" vertical="center" wrapText="1"/>
    </xf>
    <xf numFmtId="0" fontId="122" fillId="0" borderId="7" xfId="87" applyFont="1" applyBorder="1" applyAlignment="1">
      <alignment horizontal="center" vertical="center" wrapText="1"/>
    </xf>
    <xf numFmtId="0" fontId="123" fillId="0" borderId="7" xfId="87" applyFont="1" applyBorder="1" applyAlignment="1">
      <alignment horizontal="center" vertical="center" wrapText="1"/>
    </xf>
    <xf numFmtId="0" fontId="124" fillId="0" borderId="0" xfId="87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59" fillId="0" borderId="0" xfId="39" applyNumberFormat="1" applyFont="1" applyFill="1" applyBorder="1" applyAlignment="1" applyProtection="1">
      <alignment horizontal="center" vertical="center"/>
    </xf>
    <xf numFmtId="0" fontId="59" fillId="0" borderId="0" xfId="39" applyFont="1" applyFill="1" applyBorder="1" applyAlignment="1">
      <alignment horizontal="center" vertical="center"/>
    </xf>
    <xf numFmtId="0" fontId="59" fillId="0" borderId="0" xfId="39" applyNumberFormat="1" applyFont="1" applyFill="1" applyAlignment="1" applyProtection="1">
      <alignment horizontal="center" vertical="center"/>
    </xf>
    <xf numFmtId="0" fontId="59" fillId="0" borderId="0" xfId="39" applyFont="1" applyFill="1" applyAlignment="1">
      <alignment horizontal="center" vertical="center"/>
    </xf>
    <xf numFmtId="0" fontId="9" fillId="0" borderId="7" xfId="39" applyNumberFormat="1" applyFont="1" applyFill="1" applyBorder="1" applyAlignment="1" applyProtection="1">
      <alignment horizontal="center" vertical="center" wrapText="1"/>
    </xf>
    <xf numFmtId="0" fontId="12" fillId="0" borderId="17" xfId="0" applyFont="1" applyFill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69" fillId="0" borderId="0" xfId="0" applyFont="1" applyFill="1" applyAlignment="1">
      <alignment horizontal="center"/>
    </xf>
    <xf numFmtId="0" fontId="61" fillId="0" borderId="7" xfId="0" applyFont="1" applyFill="1" applyBorder="1" applyAlignment="1">
      <alignment horizontal="center" vertical="center" wrapText="1"/>
    </xf>
    <xf numFmtId="0" fontId="61" fillId="0" borderId="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" fontId="37" fillId="0" borderId="8" xfId="0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>
      <alignment horizontal="center" vertical="center" wrapText="1"/>
    </xf>
    <xf numFmtId="49" fontId="39" fillId="0" borderId="8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4" fontId="39" fillId="0" borderId="8" xfId="0" applyNumberFormat="1" applyFont="1" applyFill="1" applyBorder="1" applyAlignment="1">
      <alignment horizontal="center" vertical="center" wrapText="1"/>
    </xf>
    <xf numFmtId="4" fontId="0" fillId="0" borderId="10" xfId="0" applyNumberFormat="1" applyFont="1" applyFill="1" applyBorder="1" applyAlignment="1">
      <alignment horizontal="center" vertical="center" wrapText="1"/>
    </xf>
    <xf numFmtId="4" fontId="39" fillId="0" borderId="10" xfId="0" applyNumberFormat="1" applyFont="1" applyFill="1" applyBorder="1" applyAlignment="1">
      <alignment horizontal="center" vertical="center" wrapText="1"/>
    </xf>
    <xf numFmtId="4" fontId="41" fillId="0" borderId="8" xfId="0" applyNumberFormat="1" applyFont="1" applyFill="1" applyBorder="1" applyAlignment="1">
      <alignment horizontal="center" vertical="center" wrapText="1"/>
    </xf>
    <xf numFmtId="4" fontId="43" fillId="0" borderId="8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49" fontId="39" fillId="0" borderId="7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4" fontId="43" fillId="0" borderId="8" xfId="0" applyNumberFormat="1" applyFont="1" applyFill="1" applyBorder="1" applyAlignment="1">
      <alignment horizontal="center" vertical="center" wrapText="1"/>
    </xf>
    <xf numFmtId="0" fontId="0" fillId="0" borderId="10" xfId="0" applyBorder="1" applyAlignment="1"/>
    <xf numFmtId="0" fontId="39" fillId="0" borderId="0" xfId="0" applyFont="1" applyAlignment="1"/>
    <xf numFmtId="4" fontId="41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94" fillId="0" borderId="12" xfId="0" applyFont="1" applyBorder="1" applyAlignment="1">
      <alignment horizontal="left" vertical="center"/>
    </xf>
    <xf numFmtId="0" fontId="96" fillId="0" borderId="12" xfId="0" applyFont="1" applyBorder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37" fillId="0" borderId="7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7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108" fillId="0" borderId="7" xfId="35" applyNumberFormat="1" applyFont="1" applyFill="1" applyBorder="1" applyAlignment="1" applyProtection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8" fillId="0" borderId="0" xfId="0" applyFont="1" applyAlignment="1"/>
    <xf numFmtId="0" fontId="28" fillId="0" borderId="0" xfId="35" applyNumberFormat="1" applyFont="1" applyFill="1" applyAlignment="1" applyProtection="1">
      <alignment horizontal="center" vertical="center" wrapText="1"/>
    </xf>
    <xf numFmtId="0" fontId="10" fillId="0" borderId="0" xfId="35" applyNumberFormat="1" applyFont="1" applyFill="1" applyAlignment="1" applyProtection="1">
      <alignment horizontal="center" vertical="center" wrapText="1"/>
    </xf>
    <xf numFmtId="0" fontId="9" fillId="0" borderId="7" xfId="35" applyNumberFormat="1" applyFont="1" applyFill="1" applyBorder="1" applyAlignment="1" applyProtection="1">
      <alignment horizontal="center" vertical="center" wrapText="1"/>
    </xf>
    <xf numFmtId="0" fontId="71" fillId="0" borderId="0" xfId="35" applyFont="1" applyFill="1" applyAlignment="1"/>
    <xf numFmtId="0" fontId="12" fillId="0" borderId="7" xfId="35" applyNumberFormat="1" applyFont="1" applyFill="1" applyBorder="1" applyAlignment="1" applyProtection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0" fillId="0" borderId="12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8" fillId="0" borderId="0" xfId="35" applyNumberFormat="1" applyFont="1" applyFill="1" applyAlignment="1" applyProtection="1">
      <alignment horizontal="center" vertical="center"/>
    </xf>
    <xf numFmtId="0" fontId="46" fillId="0" borderId="0" xfId="35" applyNumberFormat="1" applyFont="1" applyFill="1" applyBorder="1" applyAlignment="1" applyProtection="1">
      <alignment horizontal="center" vertical="center" wrapText="1"/>
    </xf>
    <xf numFmtId="0" fontId="10" fillId="0" borderId="0" xfId="35" applyNumberFormat="1" applyFont="1" applyFill="1" applyBorder="1" applyAlignment="1" applyProtection="1">
      <alignment horizontal="center" vertical="center" wrapText="1"/>
    </xf>
    <xf numFmtId="164" fontId="52" fillId="30" borderId="8" xfId="30" applyNumberFormat="1" applyFont="1" applyFill="1" applyBorder="1" applyAlignment="1">
      <alignment horizontal="center" vertical="center"/>
    </xf>
    <xf numFmtId="0" fontId="0" fillId="30" borderId="10" xfId="0" applyFill="1" applyBorder="1" applyAlignment="1"/>
    <xf numFmtId="0" fontId="73" fillId="0" borderId="0" xfId="36" applyNumberFormat="1" applyFont="1" applyFill="1" applyBorder="1" applyAlignment="1" applyProtection="1">
      <alignment horizontal="center"/>
    </xf>
    <xf numFmtId="0" fontId="7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3" fillId="0" borderId="0" xfId="36" applyNumberFormat="1" applyFont="1" applyFill="1" applyBorder="1" applyAlignment="1" applyProtection="1">
      <alignment horizontal="center" vertical="top"/>
    </xf>
    <xf numFmtId="0" fontId="0" fillId="0" borderId="0" xfId="0" applyAlignment="1">
      <alignment vertical="top"/>
    </xf>
    <xf numFmtId="2" fontId="75" fillId="0" borderId="7" xfId="36" applyNumberFormat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/>
    </xf>
    <xf numFmtId="0" fontId="11" fillId="0" borderId="0" xfId="36" applyNumberFormat="1" applyFont="1" applyFill="1" applyBorder="1" applyAlignment="1" applyProtection="1">
      <alignment horizontal="left" vertical="top" wrapText="1"/>
    </xf>
    <xf numFmtId="2" fontId="9" fillId="0" borderId="17" xfId="36" applyNumberFormat="1" applyFont="1" applyFill="1" applyBorder="1" applyAlignment="1" applyProtection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4" xfId="0" applyBorder="1" applyAlignment="1">
      <alignment horizontal="center"/>
    </xf>
    <xf numFmtId="2" fontId="73" fillId="0" borderId="17" xfId="36" applyNumberFormat="1" applyFont="1" applyFill="1" applyBorder="1" applyAlignment="1" applyProtection="1">
      <alignment horizontal="center" vertical="center"/>
    </xf>
    <xf numFmtId="2" fontId="73" fillId="29" borderId="7" xfId="36" applyNumberFormat="1" applyFont="1" applyFill="1" applyBorder="1" applyAlignment="1" applyProtection="1">
      <alignment horizontal="center" vertical="center" wrapText="1"/>
    </xf>
    <xf numFmtId="2" fontId="73" fillId="0" borderId="7" xfId="36" applyNumberFormat="1" applyFont="1" applyFill="1" applyBorder="1" applyAlignment="1" applyProtection="1">
      <alignment horizontal="center" vertical="center" wrapText="1"/>
    </xf>
    <xf numFmtId="0" fontId="68" fillId="0" borderId="0" xfId="36" applyNumberFormat="1" applyFont="1" applyFill="1" applyBorder="1" applyAlignment="1" applyProtection="1">
      <alignment vertical="top"/>
    </xf>
    <xf numFmtId="0" fontId="8" fillId="0" borderId="0" xfId="36" applyNumberFormat="1" applyFont="1" applyFill="1" applyBorder="1" applyAlignment="1" applyProtection="1">
      <alignment horizontal="center" vertical="center" wrapText="1"/>
    </xf>
    <xf numFmtId="0" fontId="74" fillId="0" borderId="0" xfId="0" applyFont="1" applyAlignment="1">
      <alignment horizontal="center" vertical="center"/>
    </xf>
    <xf numFmtId="2" fontId="9" fillId="29" borderId="7" xfId="36" applyNumberFormat="1" applyFont="1" applyFill="1" applyBorder="1" applyAlignment="1" applyProtection="1">
      <alignment horizontal="center" vertical="center"/>
    </xf>
    <xf numFmtId="2" fontId="75" fillId="0" borderId="7" xfId="38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7" fillId="29" borderId="17" xfId="0" applyFont="1" applyFill="1" applyBorder="1" applyAlignment="1">
      <alignment horizontal="center" vertical="center"/>
    </xf>
    <xf numFmtId="0" fontId="97" fillId="29" borderId="18" xfId="0" applyFont="1" applyFill="1" applyBorder="1" applyAlignment="1">
      <alignment horizontal="center" vertical="center"/>
    </xf>
    <xf numFmtId="0" fontId="97" fillId="29" borderId="14" xfId="0" applyFont="1" applyFill="1" applyBorder="1" applyAlignment="1">
      <alignment horizontal="center" vertical="center"/>
    </xf>
    <xf numFmtId="0" fontId="8" fillId="0" borderId="0" xfId="36" applyNumberFormat="1" applyFont="1" applyFill="1" applyBorder="1" applyAlignment="1" applyProtection="1">
      <alignment horizontal="left" vertical="top" wrapText="1"/>
    </xf>
    <xf numFmtId="0" fontId="98" fillId="0" borderId="0" xfId="0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/>
    </xf>
    <xf numFmtId="4" fontId="43" fillId="0" borderId="8" xfId="38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164" fontId="111" fillId="0" borderId="8" xfId="30" applyNumberFormat="1" applyFont="1" applyFill="1" applyBorder="1" applyAlignment="1">
      <alignment horizontal="center" vertical="center" wrapText="1"/>
    </xf>
    <xf numFmtId="49" fontId="38" fillId="0" borderId="8" xfId="0" applyNumberFormat="1" applyFont="1" applyFill="1" applyBorder="1" applyAlignment="1">
      <alignment horizontal="center" vertical="center" wrapText="1"/>
    </xf>
    <xf numFmtId="49" fontId="38" fillId="0" borderId="10" xfId="0" applyNumberFormat="1" applyFont="1" applyFill="1" applyBorder="1" applyAlignment="1">
      <alignment horizontal="center" vertical="center" wrapText="1"/>
    </xf>
    <xf numFmtId="4" fontId="43" fillId="0" borderId="8" xfId="38" applyNumberFormat="1" applyFont="1" applyFill="1" applyBorder="1" applyAlignment="1" applyProtection="1">
      <alignment horizontal="center" vertical="center" wrapText="1"/>
    </xf>
    <xf numFmtId="4" fontId="42" fillId="0" borderId="8" xfId="0" applyNumberFormat="1" applyFont="1" applyFill="1" applyBorder="1" applyAlignment="1">
      <alignment horizontal="center" vertical="center" wrapText="1"/>
    </xf>
    <xf numFmtId="0" fontId="120" fillId="0" borderId="7" xfId="87" applyFont="1" applyBorder="1" applyAlignment="1">
      <alignment horizontal="center" vertical="center" wrapText="1"/>
    </xf>
    <xf numFmtId="0" fontId="118" fillId="0" borderId="0" xfId="87" applyFont="1" applyAlignment="1">
      <alignment horizontal="right" vertical="center"/>
    </xf>
    <xf numFmtId="0" fontId="119" fillId="0" borderId="0" xfId="87" applyFont="1" applyAlignment="1">
      <alignment horizontal="center" vertical="center"/>
    </xf>
    <xf numFmtId="49" fontId="119" fillId="34" borderId="0" xfId="87" applyNumberFormat="1" applyFont="1" applyFill="1" applyBorder="1" applyAlignment="1">
      <alignment horizontal="center" vertical="center" wrapText="1"/>
    </xf>
  </cellXfs>
  <cellStyles count="88">
    <cellStyle name="20% - Акцент1" xfId="47" xr:uid="{00000000-0005-0000-0000-000000000000}"/>
    <cellStyle name="20% - Акцент2" xfId="48" xr:uid="{00000000-0005-0000-0000-000001000000}"/>
    <cellStyle name="20% - Акцент3" xfId="49" xr:uid="{00000000-0005-0000-0000-000002000000}"/>
    <cellStyle name="20% - Акцент4" xfId="50" xr:uid="{00000000-0005-0000-0000-000003000000}"/>
    <cellStyle name="20% - Акцент5" xfId="51" xr:uid="{00000000-0005-0000-0000-000004000000}"/>
    <cellStyle name="20% - Акцент6" xfId="52" xr:uid="{00000000-0005-0000-0000-000005000000}"/>
    <cellStyle name="40% - Акцент1" xfId="53" xr:uid="{00000000-0005-0000-0000-000006000000}"/>
    <cellStyle name="40% - Акцент2" xfId="54" xr:uid="{00000000-0005-0000-0000-000007000000}"/>
    <cellStyle name="40% - Акцент3" xfId="55" xr:uid="{00000000-0005-0000-0000-000008000000}"/>
    <cellStyle name="40% - Акцент4" xfId="56" xr:uid="{00000000-0005-0000-0000-000009000000}"/>
    <cellStyle name="40% - Акцент5" xfId="57" xr:uid="{00000000-0005-0000-0000-00000A000000}"/>
    <cellStyle name="40% - Акцент6" xfId="58" xr:uid="{00000000-0005-0000-0000-00000B000000}"/>
    <cellStyle name="60% - Акцент1" xfId="59" xr:uid="{00000000-0005-0000-0000-00000C000000}"/>
    <cellStyle name="60% - Акцент2" xfId="60" xr:uid="{00000000-0005-0000-0000-00000D000000}"/>
    <cellStyle name="60% - Акцент3" xfId="61" xr:uid="{00000000-0005-0000-0000-00000E000000}"/>
    <cellStyle name="60% - Акцент4" xfId="62" xr:uid="{00000000-0005-0000-0000-00000F000000}"/>
    <cellStyle name="60% - Акцент5" xfId="63" xr:uid="{00000000-0005-0000-0000-000010000000}"/>
    <cellStyle name="60% - Акцент6" xfId="64" xr:uid="{00000000-0005-0000-0000-000011000000}"/>
    <cellStyle name="Excel Built-in Обычный_УКБ до бюджету 2016р ост" xfId="85" xr:uid="{00000000-0005-0000-0000-000012000000}"/>
    <cellStyle name="Normal_meresha_07" xfId="1" xr:uid="{00000000-0005-0000-0000-000013000000}"/>
    <cellStyle name="Акцент1" xfId="65" xr:uid="{00000000-0005-0000-0000-000014000000}"/>
    <cellStyle name="Акцент2" xfId="66" xr:uid="{00000000-0005-0000-0000-000015000000}"/>
    <cellStyle name="Акцент3" xfId="67" xr:uid="{00000000-0005-0000-0000-000016000000}"/>
    <cellStyle name="Акцент4" xfId="68" xr:uid="{00000000-0005-0000-0000-000017000000}"/>
    <cellStyle name="Акцент5" xfId="69" xr:uid="{00000000-0005-0000-0000-000018000000}"/>
    <cellStyle name="Акцент6" xfId="70" xr:uid="{00000000-0005-0000-0000-000019000000}"/>
    <cellStyle name="Ввід" xfId="2" xr:uid="{00000000-0005-0000-0000-00001A000000}"/>
    <cellStyle name="Ввод " xfId="71" xr:uid="{00000000-0005-0000-0000-00001B000000}"/>
    <cellStyle name="Вывод" xfId="72" xr:uid="{00000000-0005-0000-0000-00001C000000}"/>
    <cellStyle name="Вычисление" xfId="73" xr:uid="{00000000-0005-0000-0000-00001D000000}"/>
    <cellStyle name="Гіперпосилання 2" xfId="74" xr:uid="{00000000-0005-0000-0000-00001E000000}"/>
    <cellStyle name="Добре" xfId="3" xr:uid="{00000000-0005-0000-0000-00001F000000}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Звичайний" xfId="0" builtinId="0"/>
    <cellStyle name="Звичайний 10" xfId="8" xr:uid="{00000000-0005-0000-0000-000025000000}"/>
    <cellStyle name="Звичайний 11" xfId="9" xr:uid="{00000000-0005-0000-0000-000026000000}"/>
    <cellStyle name="Звичайний 12" xfId="10" xr:uid="{00000000-0005-0000-0000-000027000000}"/>
    <cellStyle name="Звичайний 13" xfId="11" xr:uid="{00000000-0005-0000-0000-000028000000}"/>
    <cellStyle name="Звичайний 14" xfId="12" xr:uid="{00000000-0005-0000-0000-000029000000}"/>
    <cellStyle name="Звичайний 15" xfId="13" xr:uid="{00000000-0005-0000-0000-00002A000000}"/>
    <cellStyle name="Звичайний 16" xfId="14" xr:uid="{00000000-0005-0000-0000-00002B000000}"/>
    <cellStyle name="Звичайний 17" xfId="15" xr:uid="{00000000-0005-0000-0000-00002C000000}"/>
    <cellStyle name="Звичайний 18" xfId="16" xr:uid="{00000000-0005-0000-0000-00002D000000}"/>
    <cellStyle name="Звичайний 19" xfId="17" xr:uid="{00000000-0005-0000-0000-00002E000000}"/>
    <cellStyle name="Звичайний 2" xfId="18" xr:uid="{00000000-0005-0000-0000-00002F000000}"/>
    <cellStyle name="Звичайний 2 2" xfId="19" xr:uid="{00000000-0005-0000-0000-000030000000}"/>
    <cellStyle name="Звичайний 20" xfId="20" xr:uid="{00000000-0005-0000-0000-000031000000}"/>
    <cellStyle name="Звичайний 21" xfId="87" xr:uid="{00000000-0005-0000-0000-000032000000}"/>
    <cellStyle name="Звичайний 3" xfId="21" xr:uid="{00000000-0005-0000-0000-000033000000}"/>
    <cellStyle name="Звичайний 3 2" xfId="22" xr:uid="{00000000-0005-0000-0000-000034000000}"/>
    <cellStyle name="Звичайний 4" xfId="23" xr:uid="{00000000-0005-0000-0000-000035000000}"/>
    <cellStyle name="Звичайний 4 2" xfId="24" xr:uid="{00000000-0005-0000-0000-000036000000}"/>
    <cellStyle name="Звичайний 5" xfId="25" xr:uid="{00000000-0005-0000-0000-000037000000}"/>
    <cellStyle name="Звичайний 6" xfId="26" xr:uid="{00000000-0005-0000-0000-000038000000}"/>
    <cellStyle name="Звичайний 7" xfId="27" xr:uid="{00000000-0005-0000-0000-000039000000}"/>
    <cellStyle name="Звичайний 8" xfId="28" xr:uid="{00000000-0005-0000-0000-00003A000000}"/>
    <cellStyle name="Звичайний 9" xfId="29" xr:uid="{00000000-0005-0000-0000-00003B000000}"/>
    <cellStyle name="Звичайний_Додаток _ 3 зм_ни 4575" xfId="30" xr:uid="{00000000-0005-0000-0000-00003C000000}"/>
    <cellStyle name="Зв'язана клітинка" xfId="42" xr:uid="{00000000-0005-0000-0000-00003D000000}"/>
    <cellStyle name="Итог" xfId="75" xr:uid="{00000000-0005-0000-0000-00003E000000}"/>
    <cellStyle name="Контрольна клітинка" xfId="31" xr:uid="{00000000-0005-0000-0000-00003F000000}"/>
    <cellStyle name="Контрольная ячейка" xfId="76" xr:uid="{00000000-0005-0000-0000-000040000000}"/>
    <cellStyle name="Назва" xfId="32" xr:uid="{00000000-0005-0000-0000-000041000000}"/>
    <cellStyle name="Название" xfId="77" xr:uid="{00000000-0005-0000-0000-000042000000}"/>
    <cellStyle name="Нейтральный" xfId="78" xr:uid="{00000000-0005-0000-0000-000043000000}"/>
    <cellStyle name="Обычный 2" xfId="33" xr:uid="{00000000-0005-0000-0000-000044000000}"/>
    <cellStyle name="Обычный 2 2" xfId="34" xr:uid="{00000000-0005-0000-0000-000045000000}"/>
    <cellStyle name="Обычный 3" xfId="35" xr:uid="{00000000-0005-0000-0000-000046000000}"/>
    <cellStyle name="Обычный 4 3" xfId="86" xr:uid="{00000000-0005-0000-0000-000047000000}"/>
    <cellStyle name="Обычный_Plan_kapbud_2006 уточн." xfId="36" xr:uid="{00000000-0005-0000-0000-000048000000}"/>
    <cellStyle name="Обычный_дод.1" xfId="37" xr:uid="{00000000-0005-0000-0000-000049000000}"/>
    <cellStyle name="Обычный_Додаток 2 до бюджету 2000 року" xfId="38" xr:uid="{00000000-0005-0000-0000-00004A000000}"/>
    <cellStyle name="Обычный_Додаток №1" xfId="39" xr:uid="{00000000-0005-0000-0000-00004B000000}"/>
    <cellStyle name="Обычный_КАПІТАЛЬНІ  ВКЛАДЕННЯ 2015 2 2" xfId="46" xr:uid="{00000000-0005-0000-0000-00004C000000}"/>
    <cellStyle name="Обычный_УЖКГ бюджет 2016 Після Ямчука 2" xfId="40" xr:uid="{00000000-0005-0000-0000-00004D000000}"/>
    <cellStyle name="Обычный_УКБ до бюджету 2016р ост" xfId="41" xr:uid="{00000000-0005-0000-0000-00004E000000}"/>
    <cellStyle name="Плохой" xfId="79" xr:uid="{00000000-0005-0000-0000-00004F000000}"/>
    <cellStyle name="Пояснение" xfId="80" xr:uid="{00000000-0005-0000-0000-000050000000}"/>
    <cellStyle name="Примечание" xfId="81" xr:uid="{00000000-0005-0000-0000-000051000000}"/>
    <cellStyle name="Связанная ячейка" xfId="82" xr:uid="{00000000-0005-0000-0000-000052000000}"/>
    <cellStyle name="Середній" xfId="43" xr:uid="{00000000-0005-0000-0000-000053000000}"/>
    <cellStyle name="Стиль 1" xfId="44" xr:uid="{00000000-0005-0000-0000-000054000000}"/>
    <cellStyle name="Текст попередження" xfId="45" xr:uid="{00000000-0005-0000-0000-000055000000}"/>
    <cellStyle name="Текст предупреждения" xfId="83" xr:uid="{00000000-0005-0000-0000-000056000000}"/>
    <cellStyle name="Хороший" xfId="84" xr:uid="{00000000-0005-0000-0000-000057000000}"/>
  </cellStyles>
  <dxfs count="0"/>
  <tableStyles count="0" defaultTableStyle="TableStyleMedium2" defaultPivotStyle="PivotStyleLight16"/>
  <colors>
    <mruColors>
      <color rgb="FFCCFFFF"/>
      <color rgb="FFFFFFCC"/>
      <color rgb="FF99FF99"/>
      <color rgb="FF66FFFF"/>
      <color rgb="FFFF99FF"/>
      <color rgb="FFFFFF99"/>
      <color rgb="FF66FFCC"/>
      <color rgb="FFFF9900"/>
      <color rgb="FFFB0592"/>
      <color rgb="FF29F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148"/>
  <sheetViews>
    <sheetView showZeros="0" view="pageBreakPreview" zoomScaleSheetLayoutView="100" workbookViewId="0">
      <selection activeCell="E14" sqref="E14"/>
    </sheetView>
  </sheetViews>
  <sheetFormatPr defaultColWidth="6.85546875" defaultRowHeight="12.75" x14ac:dyDescent="0.2"/>
  <cols>
    <col min="1" max="1" width="10.140625" style="29" customWidth="1"/>
    <col min="2" max="2" width="40.42578125" style="29" customWidth="1"/>
    <col min="3" max="4" width="17.28515625" style="29" customWidth="1"/>
    <col min="5" max="5" width="15.7109375" style="29" customWidth="1"/>
    <col min="6" max="6" width="14.5703125" style="29" customWidth="1"/>
    <col min="7" max="11" width="7.85546875" style="29" customWidth="1"/>
    <col min="12" max="243" width="7.85546875" style="30" customWidth="1"/>
    <col min="244" max="252" width="7.85546875" style="29" customWidth="1"/>
    <col min="253" max="16384" width="6.85546875" style="30"/>
  </cols>
  <sheetData>
    <row r="1" spans="1:252" ht="15.75" x14ac:dyDescent="0.2">
      <c r="D1" s="423" t="s">
        <v>92</v>
      </c>
      <c r="E1" s="424"/>
      <c r="F1" s="424"/>
      <c r="G1" s="424"/>
    </row>
    <row r="2" spans="1:252" ht="15.75" x14ac:dyDescent="0.2">
      <c r="C2" s="31"/>
      <c r="D2" s="423" t="s">
        <v>232</v>
      </c>
      <c r="E2" s="425"/>
      <c r="F2" s="425"/>
      <c r="G2" s="425"/>
      <c r="L2" s="29"/>
    </row>
    <row r="3" spans="1:252" ht="6" customHeight="1" x14ac:dyDescent="0.2">
      <c r="C3" s="31"/>
      <c r="D3" s="423"/>
      <c r="E3" s="425"/>
      <c r="F3" s="425"/>
      <c r="G3" s="425"/>
      <c r="L3" s="29"/>
    </row>
    <row r="4" spans="1:252" ht="20.25" hidden="1" x14ac:dyDescent="0.2">
      <c r="A4" s="426"/>
      <c r="B4" s="427"/>
      <c r="C4" s="427"/>
      <c r="D4" s="427"/>
      <c r="E4" s="427"/>
      <c r="F4" s="32"/>
      <c r="G4" s="32"/>
    </row>
    <row r="5" spans="1:252" ht="25.5" customHeight="1" x14ac:dyDescent="0.2">
      <c r="A5" s="428" t="s">
        <v>659</v>
      </c>
      <c r="B5" s="429"/>
      <c r="C5" s="429"/>
      <c r="D5" s="429"/>
      <c r="E5" s="429"/>
      <c r="G5" s="32"/>
    </row>
    <row r="6" spans="1:252" ht="10.5" customHeight="1" x14ac:dyDescent="0.2">
      <c r="B6" s="33"/>
      <c r="C6" s="33"/>
      <c r="D6" s="33"/>
      <c r="E6" s="33"/>
      <c r="F6" s="33" t="s">
        <v>93</v>
      </c>
      <c r="G6" s="32"/>
    </row>
    <row r="7" spans="1:252" s="36" customFormat="1" ht="31.5" customHeight="1" x14ac:dyDescent="0.2">
      <c r="A7" s="430" t="s">
        <v>94</v>
      </c>
      <c r="B7" s="430" t="s">
        <v>95</v>
      </c>
      <c r="C7" s="430" t="s">
        <v>667</v>
      </c>
      <c r="D7" s="430" t="s">
        <v>25</v>
      </c>
      <c r="E7" s="430" t="s">
        <v>84</v>
      </c>
      <c r="F7" s="430"/>
      <c r="G7" s="34"/>
      <c r="H7" s="35"/>
      <c r="I7" s="35"/>
      <c r="J7" s="35"/>
      <c r="K7" s="35"/>
      <c r="IJ7" s="35"/>
      <c r="IK7" s="35"/>
      <c r="IL7" s="35"/>
      <c r="IM7" s="35"/>
      <c r="IN7" s="35"/>
      <c r="IO7" s="35"/>
      <c r="IP7" s="35"/>
      <c r="IQ7" s="35"/>
      <c r="IR7" s="35"/>
    </row>
    <row r="8" spans="1:252" s="40" customFormat="1" ht="38.25" x14ac:dyDescent="0.25">
      <c r="A8" s="430"/>
      <c r="B8" s="430"/>
      <c r="C8" s="430"/>
      <c r="D8" s="430"/>
      <c r="E8" s="392" t="s">
        <v>667</v>
      </c>
      <c r="F8" s="37" t="s">
        <v>796</v>
      </c>
      <c r="G8" s="38"/>
      <c r="H8" s="39"/>
      <c r="I8" s="39"/>
      <c r="J8" s="39"/>
      <c r="K8" s="39"/>
      <c r="IJ8" s="39"/>
      <c r="IK8" s="39"/>
      <c r="IL8" s="39"/>
      <c r="IM8" s="39"/>
      <c r="IN8" s="39"/>
      <c r="IO8" s="39"/>
      <c r="IP8" s="39"/>
      <c r="IQ8" s="39"/>
      <c r="IR8" s="39"/>
    </row>
    <row r="9" spans="1:252" s="40" customFormat="1" ht="15.75" x14ac:dyDescent="0.25">
      <c r="A9" s="392">
        <v>1</v>
      </c>
      <c r="B9" s="392">
        <v>2</v>
      </c>
      <c r="C9" s="392">
        <v>3</v>
      </c>
      <c r="D9" s="392">
        <v>4</v>
      </c>
      <c r="E9" s="392">
        <v>5</v>
      </c>
      <c r="F9" s="37">
        <v>6</v>
      </c>
      <c r="G9" s="38"/>
      <c r="H9" s="39"/>
      <c r="I9" s="39"/>
      <c r="J9" s="39"/>
      <c r="K9" s="39"/>
      <c r="IJ9" s="39"/>
      <c r="IK9" s="39"/>
      <c r="IL9" s="39"/>
      <c r="IM9" s="39"/>
      <c r="IN9" s="39"/>
      <c r="IO9" s="39"/>
      <c r="IP9" s="39"/>
      <c r="IQ9" s="39"/>
      <c r="IR9" s="39"/>
    </row>
    <row r="10" spans="1:252" s="46" customFormat="1" ht="14.25" x14ac:dyDescent="0.2">
      <c r="A10" s="41">
        <v>10000000</v>
      </c>
      <c r="B10" s="42" t="s">
        <v>96</v>
      </c>
      <c r="C10" s="43">
        <f>SUM(D10,E10)</f>
        <v>1600760595</v>
      </c>
      <c r="D10" s="43">
        <f>SUM(D11,D19,D20,D21,D22,D40)</f>
        <v>1600260595</v>
      </c>
      <c r="E10" s="43">
        <v>500000</v>
      </c>
      <c r="F10" s="43"/>
      <c r="G10" s="44"/>
      <c r="H10" s="45"/>
      <c r="I10" s="45"/>
      <c r="J10" s="45"/>
      <c r="K10" s="45"/>
      <c r="IJ10" s="45"/>
      <c r="IK10" s="45"/>
      <c r="IL10" s="45"/>
      <c r="IM10" s="45"/>
      <c r="IN10" s="45"/>
      <c r="IO10" s="45"/>
      <c r="IP10" s="45"/>
      <c r="IQ10" s="45"/>
      <c r="IR10" s="45"/>
    </row>
    <row r="11" spans="1:252" s="53" customFormat="1" ht="25.5" x14ac:dyDescent="0.2">
      <c r="A11" s="47">
        <v>11000000</v>
      </c>
      <c r="B11" s="48" t="s">
        <v>97</v>
      </c>
      <c r="C11" s="49">
        <f t="shared" ref="C11:C79" si="0">SUM(D11,E11)</f>
        <v>1005285095</v>
      </c>
      <c r="D11" s="49">
        <f>SUM(D12,D17)</f>
        <v>1005285095</v>
      </c>
      <c r="E11" s="50"/>
      <c r="F11" s="50"/>
      <c r="G11" s="51"/>
      <c r="H11" s="52"/>
      <c r="I11" s="52"/>
      <c r="J11" s="52"/>
      <c r="K11" s="52"/>
      <c r="IJ11" s="52"/>
      <c r="IK11" s="52"/>
      <c r="IL11" s="52"/>
      <c r="IM11" s="52"/>
      <c r="IN11" s="52"/>
      <c r="IO11" s="52"/>
      <c r="IP11" s="52"/>
      <c r="IQ11" s="52"/>
      <c r="IR11" s="52"/>
    </row>
    <row r="12" spans="1:252" s="53" customFormat="1" ht="14.25" x14ac:dyDescent="0.2">
      <c r="A12" s="41">
        <v>11010000</v>
      </c>
      <c r="B12" s="54" t="s">
        <v>98</v>
      </c>
      <c r="C12" s="49">
        <f t="shared" si="0"/>
        <v>1003644595</v>
      </c>
      <c r="D12" s="55">
        <f>SUM(D13:D16)</f>
        <v>1003644595</v>
      </c>
      <c r="E12" s="43"/>
      <c r="F12" s="43"/>
      <c r="G12" s="51"/>
      <c r="H12" s="52"/>
      <c r="I12" s="52"/>
      <c r="J12" s="52"/>
      <c r="K12" s="52"/>
      <c r="IJ12" s="52"/>
      <c r="IK12" s="52"/>
      <c r="IL12" s="52"/>
      <c r="IM12" s="52"/>
      <c r="IN12" s="52"/>
      <c r="IO12" s="52"/>
      <c r="IP12" s="52"/>
      <c r="IQ12" s="52"/>
      <c r="IR12" s="52"/>
    </row>
    <row r="13" spans="1:252" s="53" customFormat="1" ht="36" x14ac:dyDescent="0.2">
      <c r="A13" s="56">
        <v>11010100</v>
      </c>
      <c r="B13" s="57" t="s">
        <v>99</v>
      </c>
      <c r="C13" s="43">
        <f t="shared" si="0"/>
        <v>854144595</v>
      </c>
      <c r="D13" s="58">
        <v>854144595</v>
      </c>
      <c r="E13" s="58"/>
      <c r="F13" s="58"/>
      <c r="G13" s="51"/>
      <c r="H13" s="52"/>
      <c r="I13" s="52"/>
      <c r="J13" s="52"/>
      <c r="K13" s="52"/>
      <c r="IJ13" s="52"/>
      <c r="IK13" s="52"/>
      <c r="IL13" s="52"/>
      <c r="IM13" s="52"/>
      <c r="IN13" s="52"/>
      <c r="IO13" s="52"/>
      <c r="IP13" s="52"/>
      <c r="IQ13" s="52"/>
      <c r="IR13" s="52"/>
    </row>
    <row r="14" spans="1:252" s="53" customFormat="1" ht="60" x14ac:dyDescent="0.2">
      <c r="A14" s="56">
        <v>11010200</v>
      </c>
      <c r="B14" s="57" t="s">
        <v>100</v>
      </c>
      <c r="C14" s="43">
        <f t="shared" si="0"/>
        <v>124000000</v>
      </c>
      <c r="D14" s="58">
        <v>124000000</v>
      </c>
      <c r="E14" s="58"/>
      <c r="F14" s="58"/>
      <c r="G14" s="51"/>
      <c r="H14" s="52"/>
      <c r="I14" s="52"/>
      <c r="J14" s="52"/>
      <c r="K14" s="52"/>
      <c r="IJ14" s="52"/>
      <c r="IK14" s="52"/>
      <c r="IL14" s="52"/>
      <c r="IM14" s="52"/>
      <c r="IN14" s="52"/>
      <c r="IO14" s="52"/>
      <c r="IP14" s="52"/>
      <c r="IQ14" s="52"/>
      <c r="IR14" s="52"/>
    </row>
    <row r="15" spans="1:252" s="53" customFormat="1" ht="36" x14ac:dyDescent="0.2">
      <c r="A15" s="56">
        <v>11010400</v>
      </c>
      <c r="B15" s="57" t="s">
        <v>101</v>
      </c>
      <c r="C15" s="43">
        <f t="shared" si="0"/>
        <v>13000000</v>
      </c>
      <c r="D15" s="58">
        <v>13000000</v>
      </c>
      <c r="E15" s="58"/>
      <c r="F15" s="58"/>
      <c r="G15" s="51"/>
      <c r="H15" s="52"/>
      <c r="I15" s="52"/>
      <c r="J15" s="52"/>
      <c r="K15" s="52"/>
      <c r="IJ15" s="52"/>
      <c r="IK15" s="52"/>
      <c r="IL15" s="52"/>
      <c r="IM15" s="52"/>
      <c r="IN15" s="52"/>
      <c r="IO15" s="52"/>
      <c r="IP15" s="52"/>
      <c r="IQ15" s="52"/>
      <c r="IR15" s="52"/>
    </row>
    <row r="16" spans="1:252" s="39" customFormat="1" ht="36" x14ac:dyDescent="0.25">
      <c r="A16" s="56">
        <v>11010500</v>
      </c>
      <c r="B16" s="57" t="s">
        <v>102</v>
      </c>
      <c r="C16" s="43">
        <f t="shared" si="0"/>
        <v>12500000</v>
      </c>
      <c r="D16" s="58">
        <v>12500000</v>
      </c>
      <c r="E16" s="58"/>
      <c r="F16" s="58"/>
      <c r="G16" s="38"/>
    </row>
    <row r="17" spans="1:252" s="46" customFormat="1" ht="15" x14ac:dyDescent="0.2">
      <c r="A17" s="47">
        <v>11020000</v>
      </c>
      <c r="B17" s="54" t="s">
        <v>103</v>
      </c>
      <c r="C17" s="43">
        <f t="shared" si="0"/>
        <v>1640500</v>
      </c>
      <c r="D17" s="59">
        <v>1640500</v>
      </c>
      <c r="E17" s="60"/>
      <c r="F17" s="60"/>
      <c r="G17" s="44"/>
      <c r="H17" s="45"/>
      <c r="I17" s="45"/>
      <c r="J17" s="45"/>
      <c r="K17" s="45"/>
      <c r="IJ17" s="45"/>
      <c r="IK17" s="45"/>
      <c r="IL17" s="45"/>
      <c r="IM17" s="45"/>
      <c r="IN17" s="45"/>
      <c r="IO17" s="45"/>
      <c r="IP17" s="45"/>
      <c r="IQ17" s="45"/>
      <c r="IR17" s="45"/>
    </row>
    <row r="18" spans="1:252" s="40" customFormat="1" ht="24" x14ac:dyDescent="0.25">
      <c r="A18" s="56">
        <v>11020200</v>
      </c>
      <c r="B18" s="61" t="s">
        <v>104</v>
      </c>
      <c r="C18" s="43">
        <f t="shared" si="0"/>
        <v>1640500</v>
      </c>
      <c r="D18" s="50">
        <v>1640500</v>
      </c>
      <c r="E18" s="62"/>
      <c r="F18" s="50"/>
      <c r="G18" s="38"/>
      <c r="H18" s="39"/>
      <c r="I18" s="39"/>
      <c r="J18" s="39"/>
      <c r="K18" s="39"/>
      <c r="IJ18" s="39"/>
      <c r="IK18" s="39"/>
      <c r="IL18" s="39"/>
      <c r="IM18" s="39"/>
      <c r="IN18" s="39"/>
      <c r="IO18" s="39"/>
      <c r="IP18" s="39"/>
      <c r="IQ18" s="39"/>
      <c r="IR18" s="39"/>
    </row>
    <row r="19" spans="1:252" s="66" customFormat="1" ht="26.25" customHeight="1" x14ac:dyDescent="0.2">
      <c r="A19" s="37">
        <v>14021900</v>
      </c>
      <c r="B19" s="48" t="s">
        <v>229</v>
      </c>
      <c r="C19" s="49">
        <f>SUM(D19,E19)</f>
        <v>12350000</v>
      </c>
      <c r="D19" s="49">
        <v>12350000</v>
      </c>
      <c r="E19" s="63"/>
      <c r="F19" s="63"/>
      <c r="G19" s="64"/>
      <c r="H19" s="65"/>
      <c r="I19" s="65"/>
      <c r="J19" s="65"/>
      <c r="K19" s="65"/>
      <c r="IJ19" s="65"/>
      <c r="IK19" s="65"/>
      <c r="IL19" s="65"/>
      <c r="IM19" s="65"/>
      <c r="IN19" s="65"/>
      <c r="IO19" s="65"/>
      <c r="IP19" s="65"/>
      <c r="IQ19" s="65"/>
      <c r="IR19" s="65"/>
    </row>
    <row r="20" spans="1:252" s="66" customFormat="1" ht="22.5" customHeight="1" x14ac:dyDescent="0.2">
      <c r="A20" s="37">
        <v>14031900</v>
      </c>
      <c r="B20" s="48" t="s">
        <v>230</v>
      </c>
      <c r="C20" s="49">
        <v>57865000</v>
      </c>
      <c r="D20" s="49">
        <v>57865000</v>
      </c>
      <c r="E20" s="63"/>
      <c r="F20" s="63"/>
      <c r="G20" s="64"/>
      <c r="H20" s="65"/>
      <c r="I20" s="65"/>
      <c r="J20" s="65"/>
      <c r="K20" s="65"/>
      <c r="IJ20" s="65"/>
      <c r="IK20" s="65"/>
      <c r="IL20" s="65"/>
      <c r="IM20" s="65"/>
      <c r="IN20" s="65"/>
      <c r="IO20" s="65"/>
      <c r="IP20" s="65"/>
      <c r="IQ20" s="65"/>
      <c r="IR20" s="65"/>
    </row>
    <row r="21" spans="1:252" s="66" customFormat="1" ht="39.75" customHeight="1" x14ac:dyDescent="0.2">
      <c r="A21" s="37">
        <v>14040000</v>
      </c>
      <c r="B21" s="48" t="s">
        <v>105</v>
      </c>
      <c r="C21" s="49">
        <v>78500000</v>
      </c>
      <c r="D21" s="49">
        <v>78500000</v>
      </c>
      <c r="E21" s="63"/>
      <c r="F21" s="63"/>
      <c r="G21" s="64"/>
      <c r="H21" s="65"/>
      <c r="I21" s="65"/>
      <c r="J21" s="65"/>
      <c r="K21" s="65"/>
      <c r="IJ21" s="65"/>
      <c r="IK21" s="65"/>
      <c r="IL21" s="65"/>
      <c r="IM21" s="65"/>
      <c r="IN21" s="65"/>
      <c r="IO21" s="65"/>
      <c r="IP21" s="65"/>
      <c r="IQ21" s="65"/>
      <c r="IR21" s="65"/>
    </row>
    <row r="22" spans="1:252" s="40" customFormat="1" ht="15" x14ac:dyDescent="0.25">
      <c r="A22" s="41">
        <v>18000000</v>
      </c>
      <c r="B22" s="67" t="s">
        <v>106</v>
      </c>
      <c r="C22" s="43">
        <f t="shared" si="0"/>
        <v>446260500</v>
      </c>
      <c r="D22" s="43">
        <f>SUM(D23,D34,D37)</f>
        <v>446260500</v>
      </c>
      <c r="E22" s="43"/>
      <c r="F22" s="43"/>
      <c r="G22" s="38"/>
      <c r="H22" s="39"/>
      <c r="I22" s="39"/>
      <c r="J22" s="39"/>
      <c r="K22" s="39"/>
      <c r="IJ22" s="39"/>
      <c r="IK22" s="39"/>
      <c r="IL22" s="39"/>
      <c r="IM22" s="39"/>
      <c r="IN22" s="39"/>
      <c r="IO22" s="39"/>
      <c r="IP22" s="39"/>
      <c r="IQ22" s="39"/>
      <c r="IR22" s="39"/>
    </row>
    <row r="23" spans="1:252" s="40" customFormat="1" ht="15" x14ac:dyDescent="0.25">
      <c r="A23" s="47">
        <v>18010000</v>
      </c>
      <c r="B23" s="68" t="s">
        <v>107</v>
      </c>
      <c r="C23" s="43">
        <f t="shared" si="0"/>
        <v>171660500</v>
      </c>
      <c r="D23" s="69">
        <f>SUM(D24:D33)</f>
        <v>171660500</v>
      </c>
      <c r="E23" s="50"/>
      <c r="F23" s="50"/>
      <c r="G23" s="38"/>
      <c r="H23" s="39"/>
      <c r="I23" s="39"/>
      <c r="J23" s="39"/>
      <c r="K23" s="39"/>
      <c r="IJ23" s="39"/>
      <c r="IK23" s="39"/>
      <c r="IL23" s="39"/>
      <c r="IM23" s="39"/>
      <c r="IN23" s="39"/>
      <c r="IO23" s="39"/>
      <c r="IP23" s="39"/>
      <c r="IQ23" s="39"/>
      <c r="IR23" s="39"/>
    </row>
    <row r="24" spans="1:252" s="40" customFormat="1" ht="36" x14ac:dyDescent="0.25">
      <c r="A24" s="47">
        <v>18010100</v>
      </c>
      <c r="B24" s="70" t="s">
        <v>108</v>
      </c>
      <c r="C24" s="43">
        <f t="shared" si="0"/>
        <v>175500</v>
      </c>
      <c r="D24" s="50">
        <v>175500</v>
      </c>
      <c r="E24" s="50"/>
      <c r="F24" s="50"/>
      <c r="G24" s="38"/>
      <c r="H24" s="39"/>
      <c r="I24" s="39"/>
      <c r="J24" s="39"/>
      <c r="K24" s="39"/>
      <c r="IJ24" s="39"/>
      <c r="IK24" s="39"/>
      <c r="IL24" s="39"/>
      <c r="IM24" s="39"/>
      <c r="IN24" s="39"/>
      <c r="IO24" s="39"/>
      <c r="IP24" s="39"/>
      <c r="IQ24" s="39"/>
      <c r="IR24" s="39"/>
    </row>
    <row r="25" spans="1:252" s="40" customFormat="1" ht="36" x14ac:dyDescent="0.25">
      <c r="A25" s="47">
        <v>18010200</v>
      </c>
      <c r="B25" s="70" t="s">
        <v>109</v>
      </c>
      <c r="C25" s="43">
        <f>D25</f>
        <v>10750000</v>
      </c>
      <c r="D25" s="50">
        <v>10750000</v>
      </c>
      <c r="E25" s="50"/>
      <c r="F25" s="50"/>
      <c r="G25" s="38"/>
      <c r="H25" s="39"/>
      <c r="I25" s="39"/>
      <c r="J25" s="39"/>
      <c r="K25" s="39"/>
      <c r="IJ25" s="39"/>
      <c r="IK25" s="39"/>
      <c r="IL25" s="39"/>
      <c r="IM25" s="39"/>
      <c r="IN25" s="39"/>
      <c r="IO25" s="39"/>
      <c r="IP25" s="39"/>
      <c r="IQ25" s="39"/>
      <c r="IR25" s="39"/>
    </row>
    <row r="26" spans="1:252" s="40" customFormat="1" ht="36" x14ac:dyDescent="0.25">
      <c r="A26" s="47">
        <v>18010300</v>
      </c>
      <c r="B26" s="70" t="s">
        <v>110</v>
      </c>
      <c r="C26" s="43">
        <f t="shared" si="0"/>
        <v>825000</v>
      </c>
      <c r="D26" s="50">
        <v>825000</v>
      </c>
      <c r="E26" s="50"/>
      <c r="F26" s="50"/>
      <c r="G26" s="38"/>
      <c r="H26" s="39"/>
      <c r="I26" s="39"/>
      <c r="J26" s="39"/>
      <c r="K26" s="39"/>
      <c r="IJ26" s="39"/>
      <c r="IK26" s="39"/>
      <c r="IL26" s="39"/>
      <c r="IM26" s="39"/>
      <c r="IN26" s="39"/>
      <c r="IO26" s="39"/>
      <c r="IP26" s="39"/>
      <c r="IQ26" s="39"/>
      <c r="IR26" s="39"/>
    </row>
    <row r="27" spans="1:252" s="40" customFormat="1" ht="36" x14ac:dyDescent="0.25">
      <c r="A27" s="47">
        <v>18010400</v>
      </c>
      <c r="B27" s="70" t="s">
        <v>111</v>
      </c>
      <c r="C27" s="43">
        <f t="shared" si="0"/>
        <v>7950000</v>
      </c>
      <c r="D27" s="50">
        <v>7950000</v>
      </c>
      <c r="E27" s="50"/>
      <c r="F27" s="50"/>
      <c r="G27" s="38"/>
      <c r="H27" s="39"/>
      <c r="I27" s="39"/>
      <c r="J27" s="39"/>
      <c r="K27" s="39"/>
      <c r="IJ27" s="39"/>
      <c r="IK27" s="39"/>
      <c r="IL27" s="39"/>
      <c r="IM27" s="39"/>
      <c r="IN27" s="39"/>
      <c r="IO27" s="39"/>
      <c r="IP27" s="39"/>
      <c r="IQ27" s="39"/>
      <c r="IR27" s="39"/>
    </row>
    <row r="28" spans="1:252" s="40" customFormat="1" ht="15" x14ac:dyDescent="0.25">
      <c r="A28" s="47">
        <v>18010500</v>
      </c>
      <c r="B28" s="71" t="s">
        <v>112</v>
      </c>
      <c r="C28" s="43">
        <f t="shared" si="0"/>
        <v>34600000</v>
      </c>
      <c r="D28" s="50">
        <v>34600000</v>
      </c>
      <c r="E28" s="50"/>
      <c r="F28" s="50"/>
      <c r="G28" s="38"/>
      <c r="H28" s="39"/>
      <c r="I28" s="39"/>
      <c r="J28" s="39"/>
      <c r="K28" s="39"/>
      <c r="IJ28" s="39"/>
      <c r="IK28" s="39"/>
      <c r="IL28" s="39"/>
      <c r="IM28" s="39"/>
      <c r="IN28" s="39"/>
      <c r="IO28" s="39"/>
      <c r="IP28" s="39"/>
      <c r="IQ28" s="39"/>
      <c r="IR28" s="39"/>
    </row>
    <row r="29" spans="1:252" s="40" customFormat="1" ht="15" x14ac:dyDescent="0.25">
      <c r="A29" s="47">
        <v>18010600</v>
      </c>
      <c r="B29" s="70" t="s">
        <v>113</v>
      </c>
      <c r="C29" s="43">
        <f t="shared" si="0"/>
        <v>85660000</v>
      </c>
      <c r="D29" s="50">
        <v>85660000</v>
      </c>
      <c r="E29" s="50"/>
      <c r="F29" s="50"/>
      <c r="G29" s="38"/>
      <c r="H29" s="39"/>
      <c r="I29" s="39"/>
      <c r="J29" s="39"/>
      <c r="K29" s="39"/>
      <c r="IJ29" s="39"/>
      <c r="IK29" s="39"/>
      <c r="IL29" s="39"/>
      <c r="IM29" s="39"/>
      <c r="IN29" s="39"/>
      <c r="IO29" s="39"/>
      <c r="IP29" s="39"/>
      <c r="IQ29" s="39"/>
      <c r="IR29" s="39"/>
    </row>
    <row r="30" spans="1:252" s="40" customFormat="1" ht="15" x14ac:dyDescent="0.25">
      <c r="A30" s="47">
        <v>18010700</v>
      </c>
      <c r="B30" s="70" t="s">
        <v>114</v>
      </c>
      <c r="C30" s="43">
        <f t="shared" si="0"/>
        <v>2000000</v>
      </c>
      <c r="D30" s="50">
        <v>2000000</v>
      </c>
      <c r="E30" s="50"/>
      <c r="F30" s="50"/>
      <c r="G30" s="38"/>
      <c r="H30" s="39"/>
      <c r="I30" s="39"/>
      <c r="J30" s="39"/>
      <c r="K30" s="39"/>
      <c r="IJ30" s="39"/>
      <c r="IK30" s="39"/>
      <c r="IL30" s="39"/>
      <c r="IM30" s="39"/>
      <c r="IN30" s="39"/>
      <c r="IO30" s="39"/>
      <c r="IP30" s="39"/>
      <c r="IQ30" s="39"/>
      <c r="IR30" s="39"/>
    </row>
    <row r="31" spans="1:252" s="40" customFormat="1" ht="15" x14ac:dyDescent="0.25">
      <c r="A31" s="47">
        <v>18010900</v>
      </c>
      <c r="B31" s="70" t="s">
        <v>115</v>
      </c>
      <c r="C31" s="43">
        <f t="shared" si="0"/>
        <v>25200000</v>
      </c>
      <c r="D31" s="50">
        <v>25200000</v>
      </c>
      <c r="E31" s="50"/>
      <c r="F31" s="50"/>
      <c r="G31" s="38"/>
      <c r="H31" s="39"/>
      <c r="I31" s="39"/>
      <c r="J31" s="39"/>
      <c r="K31" s="39"/>
      <c r="IJ31" s="39"/>
      <c r="IK31" s="39"/>
      <c r="IL31" s="39"/>
      <c r="IM31" s="39"/>
      <c r="IN31" s="39"/>
      <c r="IO31" s="39"/>
      <c r="IP31" s="39"/>
      <c r="IQ31" s="39"/>
      <c r="IR31" s="39"/>
    </row>
    <row r="32" spans="1:252" s="46" customFormat="1" ht="15" x14ac:dyDescent="0.2">
      <c r="A32" s="47">
        <v>18011000</v>
      </c>
      <c r="B32" s="70" t="s">
        <v>116</v>
      </c>
      <c r="C32" s="43">
        <f t="shared" si="0"/>
        <v>2900000</v>
      </c>
      <c r="D32" s="50">
        <v>2900000</v>
      </c>
      <c r="E32" s="50"/>
      <c r="F32" s="50"/>
      <c r="G32" s="44"/>
      <c r="H32" s="45"/>
      <c r="I32" s="45"/>
      <c r="J32" s="45"/>
      <c r="K32" s="45"/>
      <c r="IJ32" s="45"/>
      <c r="IK32" s="45"/>
      <c r="IL32" s="45"/>
      <c r="IM32" s="45"/>
      <c r="IN32" s="45"/>
      <c r="IO32" s="45"/>
      <c r="IP32" s="45"/>
      <c r="IQ32" s="45"/>
      <c r="IR32" s="45"/>
    </row>
    <row r="33" spans="1:252" s="40" customFormat="1" ht="15" x14ac:dyDescent="0.25">
      <c r="A33" s="47">
        <v>18011100</v>
      </c>
      <c r="B33" s="70" t="s">
        <v>117</v>
      </c>
      <c r="C33" s="43">
        <f t="shared" si="0"/>
        <v>1600000</v>
      </c>
      <c r="D33" s="50">
        <v>1600000</v>
      </c>
      <c r="E33" s="50"/>
      <c r="F33" s="50"/>
      <c r="G33" s="38"/>
      <c r="H33" s="39"/>
      <c r="I33" s="39"/>
      <c r="J33" s="39"/>
      <c r="K33" s="39"/>
      <c r="IJ33" s="39"/>
      <c r="IK33" s="39"/>
      <c r="IL33" s="39"/>
      <c r="IM33" s="39"/>
      <c r="IN33" s="39"/>
      <c r="IO33" s="39"/>
      <c r="IP33" s="39"/>
      <c r="IQ33" s="39"/>
      <c r="IR33" s="39"/>
    </row>
    <row r="34" spans="1:252" s="40" customFormat="1" ht="15" x14ac:dyDescent="0.25">
      <c r="A34" s="41">
        <v>1803000</v>
      </c>
      <c r="B34" s="72" t="s">
        <v>118</v>
      </c>
      <c r="C34" s="43">
        <f t="shared" si="0"/>
        <v>250000</v>
      </c>
      <c r="D34" s="43">
        <f>SUM(D35:D36)</f>
        <v>250000</v>
      </c>
      <c r="E34" s="43"/>
      <c r="F34" s="43"/>
      <c r="G34" s="38"/>
      <c r="H34" s="39"/>
      <c r="I34" s="39"/>
      <c r="J34" s="39"/>
      <c r="K34" s="39"/>
      <c r="IJ34" s="39"/>
      <c r="IK34" s="39"/>
      <c r="IL34" s="39"/>
      <c r="IM34" s="39"/>
      <c r="IN34" s="39"/>
      <c r="IO34" s="39"/>
      <c r="IP34" s="39"/>
      <c r="IQ34" s="39"/>
      <c r="IR34" s="39"/>
    </row>
    <row r="35" spans="1:252" s="40" customFormat="1" ht="15" x14ac:dyDescent="0.25">
      <c r="A35" s="47">
        <v>18030100</v>
      </c>
      <c r="B35" s="70" t="s">
        <v>119</v>
      </c>
      <c r="C35" s="43">
        <f t="shared" si="0"/>
        <v>130000</v>
      </c>
      <c r="D35" s="50">
        <v>130000</v>
      </c>
      <c r="E35" s="50"/>
      <c r="F35" s="50"/>
      <c r="G35" s="38"/>
      <c r="H35" s="39"/>
      <c r="I35" s="39"/>
      <c r="J35" s="39"/>
      <c r="K35" s="39"/>
      <c r="IJ35" s="39"/>
      <c r="IK35" s="39"/>
      <c r="IL35" s="39"/>
      <c r="IM35" s="39"/>
      <c r="IN35" s="39"/>
      <c r="IO35" s="39"/>
      <c r="IP35" s="39"/>
      <c r="IQ35" s="39"/>
      <c r="IR35" s="39"/>
    </row>
    <row r="36" spans="1:252" s="40" customFormat="1" ht="15" x14ac:dyDescent="0.25">
      <c r="A36" s="47">
        <v>18030200</v>
      </c>
      <c r="B36" s="70" t="s">
        <v>120</v>
      </c>
      <c r="C36" s="43">
        <f t="shared" si="0"/>
        <v>120000</v>
      </c>
      <c r="D36" s="50">
        <v>120000</v>
      </c>
      <c r="E36" s="50"/>
      <c r="F36" s="50"/>
      <c r="G36" s="38"/>
      <c r="H36" s="39"/>
      <c r="I36" s="39"/>
      <c r="J36" s="39"/>
      <c r="K36" s="39"/>
      <c r="IJ36" s="39"/>
      <c r="IK36" s="39"/>
      <c r="IL36" s="39"/>
      <c r="IM36" s="39"/>
      <c r="IN36" s="39"/>
      <c r="IO36" s="39"/>
      <c r="IP36" s="39"/>
      <c r="IQ36" s="39"/>
      <c r="IR36" s="39"/>
    </row>
    <row r="37" spans="1:252" s="40" customFormat="1" ht="15" x14ac:dyDescent="0.25">
      <c r="A37" s="41">
        <v>18050000</v>
      </c>
      <c r="B37" s="68" t="s">
        <v>121</v>
      </c>
      <c r="C37" s="43">
        <f t="shared" si="0"/>
        <v>274350000</v>
      </c>
      <c r="D37" s="43">
        <f>SUM(D38:D39)</f>
        <v>274350000</v>
      </c>
      <c r="E37" s="50"/>
      <c r="F37" s="50"/>
      <c r="G37" s="38"/>
      <c r="H37" s="39"/>
      <c r="I37" s="39"/>
      <c r="J37" s="39"/>
      <c r="K37" s="39"/>
      <c r="IJ37" s="39"/>
      <c r="IK37" s="39"/>
      <c r="IL37" s="39"/>
      <c r="IM37" s="39"/>
      <c r="IN37" s="39"/>
      <c r="IO37" s="39"/>
      <c r="IP37" s="39"/>
      <c r="IQ37" s="39"/>
      <c r="IR37" s="39"/>
    </row>
    <row r="38" spans="1:252" s="40" customFormat="1" ht="17.25" customHeight="1" x14ac:dyDescent="0.25">
      <c r="A38" s="47">
        <v>18050300</v>
      </c>
      <c r="B38" s="57" t="s">
        <v>122</v>
      </c>
      <c r="C38" s="49">
        <f t="shared" si="0"/>
        <v>52550000</v>
      </c>
      <c r="D38" s="50">
        <v>52550000</v>
      </c>
      <c r="E38" s="50"/>
      <c r="F38" s="50"/>
      <c r="G38" s="38"/>
      <c r="H38" s="39"/>
      <c r="I38" s="39"/>
      <c r="J38" s="39"/>
      <c r="K38" s="39"/>
      <c r="IJ38" s="39"/>
      <c r="IK38" s="39"/>
      <c r="IL38" s="39"/>
      <c r="IM38" s="39"/>
      <c r="IN38" s="39"/>
      <c r="IO38" s="39"/>
      <c r="IP38" s="39"/>
      <c r="IQ38" s="39"/>
      <c r="IR38" s="39"/>
    </row>
    <row r="39" spans="1:252" s="46" customFormat="1" ht="15" x14ac:dyDescent="0.2">
      <c r="A39" s="47">
        <v>18050400</v>
      </c>
      <c r="B39" s="70" t="s">
        <v>123</v>
      </c>
      <c r="C39" s="49">
        <f t="shared" si="0"/>
        <v>221800000</v>
      </c>
      <c r="D39" s="50">
        <v>221800000</v>
      </c>
      <c r="E39" s="50"/>
      <c r="F39" s="50"/>
      <c r="G39" s="44"/>
      <c r="H39" s="45"/>
      <c r="I39" s="45"/>
      <c r="J39" s="45"/>
      <c r="K39" s="45"/>
      <c r="IJ39" s="45"/>
      <c r="IK39" s="45"/>
      <c r="IL39" s="45"/>
      <c r="IM39" s="45"/>
      <c r="IN39" s="45"/>
      <c r="IO39" s="45"/>
      <c r="IP39" s="45"/>
      <c r="IQ39" s="45"/>
      <c r="IR39" s="45"/>
    </row>
    <row r="40" spans="1:252" s="40" customFormat="1" ht="15" x14ac:dyDescent="0.25">
      <c r="A40" s="41">
        <v>1901000</v>
      </c>
      <c r="B40" s="67" t="s">
        <v>124</v>
      </c>
      <c r="C40" s="43">
        <f t="shared" si="0"/>
        <v>500000</v>
      </c>
      <c r="D40" s="43">
        <f>SUM(D41:D43)</f>
        <v>0</v>
      </c>
      <c r="E40" s="43">
        <v>500000</v>
      </c>
      <c r="F40" s="43"/>
      <c r="G40" s="38"/>
      <c r="H40" s="39"/>
      <c r="I40" s="39"/>
      <c r="J40" s="39"/>
      <c r="K40" s="39"/>
      <c r="IJ40" s="39"/>
      <c r="IK40" s="39"/>
      <c r="IL40" s="39"/>
      <c r="IM40" s="39"/>
      <c r="IN40" s="39"/>
      <c r="IO40" s="39"/>
      <c r="IP40" s="39"/>
      <c r="IQ40" s="39"/>
      <c r="IR40" s="39"/>
    </row>
    <row r="41" spans="1:252" s="40" customFormat="1" ht="36" x14ac:dyDescent="0.25">
      <c r="A41" s="47">
        <v>19010100</v>
      </c>
      <c r="B41" s="57" t="s">
        <v>125</v>
      </c>
      <c r="C41" s="43">
        <f t="shared" si="0"/>
        <v>205000</v>
      </c>
      <c r="D41" s="50"/>
      <c r="E41" s="50">
        <v>205000</v>
      </c>
      <c r="F41" s="50"/>
      <c r="G41" s="38"/>
      <c r="H41" s="39"/>
      <c r="I41" s="39"/>
      <c r="J41" s="39"/>
      <c r="K41" s="39"/>
      <c r="IJ41" s="39"/>
      <c r="IK41" s="39"/>
      <c r="IL41" s="39"/>
      <c r="IM41" s="39"/>
      <c r="IN41" s="39"/>
      <c r="IO41" s="39"/>
      <c r="IP41" s="39"/>
      <c r="IQ41" s="39"/>
      <c r="IR41" s="39"/>
    </row>
    <row r="42" spans="1:252" s="66" customFormat="1" ht="24" x14ac:dyDescent="0.2">
      <c r="A42" s="47">
        <v>19010200</v>
      </c>
      <c r="B42" s="57" t="s">
        <v>126</v>
      </c>
      <c r="C42" s="43">
        <f t="shared" si="0"/>
        <v>110000</v>
      </c>
      <c r="D42" s="50"/>
      <c r="E42" s="50">
        <v>110000</v>
      </c>
      <c r="F42" s="50"/>
      <c r="G42" s="64"/>
      <c r="H42" s="65"/>
      <c r="I42" s="65"/>
      <c r="J42" s="65"/>
      <c r="K42" s="65"/>
      <c r="IJ42" s="65"/>
      <c r="IK42" s="65"/>
      <c r="IL42" s="65"/>
      <c r="IM42" s="65"/>
      <c r="IN42" s="65"/>
      <c r="IO42" s="65"/>
      <c r="IP42" s="65"/>
      <c r="IQ42" s="65"/>
      <c r="IR42" s="65"/>
    </row>
    <row r="43" spans="1:252" s="40" customFormat="1" ht="36" x14ac:dyDescent="0.25">
      <c r="A43" s="47">
        <v>19010300</v>
      </c>
      <c r="B43" s="57" t="s">
        <v>127</v>
      </c>
      <c r="C43" s="43">
        <f t="shared" si="0"/>
        <v>185000</v>
      </c>
      <c r="D43" s="50"/>
      <c r="E43" s="50">
        <v>185000</v>
      </c>
      <c r="F43" s="50"/>
      <c r="G43" s="38"/>
      <c r="H43" s="39"/>
      <c r="I43" s="39"/>
      <c r="J43" s="39"/>
      <c r="K43" s="39"/>
      <c r="IJ43" s="39"/>
      <c r="IK43" s="39"/>
      <c r="IL43" s="39"/>
      <c r="IM43" s="39"/>
      <c r="IN43" s="39"/>
      <c r="IO43" s="39"/>
      <c r="IP43" s="39"/>
      <c r="IQ43" s="39"/>
      <c r="IR43" s="39"/>
    </row>
    <row r="44" spans="1:252" s="40" customFormat="1" ht="15" x14ac:dyDescent="0.25">
      <c r="A44" s="41">
        <v>20000000</v>
      </c>
      <c r="B44" s="42" t="s">
        <v>128</v>
      </c>
      <c r="C44" s="43">
        <f t="shared" si="0"/>
        <v>214168285</v>
      </c>
      <c r="D44" s="49">
        <f>SUM(D45,D46,D47,D50,D51,D60,D64)</f>
        <v>72920000</v>
      </c>
      <c r="E44" s="49">
        <f>SUM(E45,E51,E60,E56,E64)</f>
        <v>141248285</v>
      </c>
      <c r="F44" s="49">
        <f>SUM(F45,F51,F60,F56)</f>
        <v>12000000</v>
      </c>
      <c r="G44" s="38"/>
      <c r="H44" s="39"/>
      <c r="I44" s="39"/>
      <c r="J44" s="39"/>
      <c r="K44" s="39"/>
      <c r="IJ44" s="39"/>
      <c r="IK44" s="39"/>
      <c r="IL44" s="39"/>
      <c r="IM44" s="39"/>
      <c r="IN44" s="39"/>
      <c r="IO44" s="39"/>
      <c r="IP44" s="39"/>
      <c r="IQ44" s="39"/>
      <c r="IR44" s="39"/>
    </row>
    <row r="45" spans="1:252" s="40" customFormat="1" ht="41.25" customHeight="1" x14ac:dyDescent="0.25">
      <c r="A45" s="47">
        <v>21010300</v>
      </c>
      <c r="B45" s="73" t="s">
        <v>129</v>
      </c>
      <c r="C45" s="43">
        <f t="shared" si="0"/>
        <v>1000000</v>
      </c>
      <c r="D45" s="50">
        <v>1000000</v>
      </c>
      <c r="E45" s="50"/>
      <c r="F45" s="50"/>
      <c r="G45" s="38"/>
      <c r="H45" s="39"/>
      <c r="I45" s="39"/>
      <c r="J45" s="39"/>
      <c r="K45" s="39"/>
      <c r="IJ45" s="39"/>
      <c r="IK45" s="39"/>
      <c r="IL45" s="39"/>
      <c r="IM45" s="39"/>
      <c r="IN45" s="39"/>
      <c r="IO45" s="39"/>
      <c r="IP45" s="39"/>
      <c r="IQ45" s="39"/>
      <c r="IR45" s="39"/>
    </row>
    <row r="46" spans="1:252" s="40" customFormat="1" ht="27" customHeight="1" x14ac:dyDescent="0.25">
      <c r="A46" s="47">
        <v>21050000</v>
      </c>
      <c r="B46" s="73" t="s">
        <v>130</v>
      </c>
      <c r="C46" s="43">
        <v>12500000</v>
      </c>
      <c r="D46" s="50">
        <v>12500000</v>
      </c>
      <c r="E46" s="50"/>
      <c r="F46" s="50"/>
      <c r="G46" s="38"/>
      <c r="H46" s="39"/>
      <c r="I46" s="39"/>
      <c r="J46" s="39"/>
      <c r="K46" s="39"/>
      <c r="IJ46" s="39"/>
      <c r="IK46" s="39"/>
      <c r="IL46" s="39"/>
      <c r="IM46" s="39"/>
      <c r="IN46" s="39"/>
      <c r="IO46" s="39"/>
      <c r="IP46" s="39"/>
      <c r="IQ46" s="39"/>
      <c r="IR46" s="39"/>
    </row>
    <row r="47" spans="1:252" s="66" customFormat="1" ht="27" x14ac:dyDescent="0.2">
      <c r="A47" s="74">
        <v>21800000</v>
      </c>
      <c r="B47" s="75" t="s">
        <v>131</v>
      </c>
      <c r="C47" s="49">
        <f>SUM(D47,E47)</f>
        <v>2300000</v>
      </c>
      <c r="D47" s="55">
        <f>SUM(D48:D49)</f>
        <v>2300000</v>
      </c>
      <c r="E47" s="55"/>
      <c r="F47" s="55"/>
      <c r="G47" s="64"/>
      <c r="H47" s="65"/>
      <c r="I47" s="65"/>
      <c r="J47" s="65"/>
      <c r="K47" s="65"/>
      <c r="IJ47" s="65"/>
      <c r="IK47" s="65"/>
      <c r="IL47" s="65"/>
      <c r="IM47" s="65"/>
      <c r="IN47" s="65"/>
      <c r="IO47" s="65"/>
      <c r="IP47" s="65"/>
      <c r="IQ47" s="65"/>
      <c r="IR47" s="65"/>
    </row>
    <row r="48" spans="1:252" s="40" customFormat="1" ht="15" x14ac:dyDescent="0.25">
      <c r="A48" s="56">
        <v>21081100</v>
      </c>
      <c r="B48" s="76" t="s">
        <v>132</v>
      </c>
      <c r="C48" s="43">
        <f>SUM(D48,E48)</f>
        <v>1300000</v>
      </c>
      <c r="D48" s="50">
        <v>1300000</v>
      </c>
      <c r="E48" s="50"/>
      <c r="F48" s="50"/>
      <c r="G48" s="38"/>
      <c r="H48" s="39"/>
      <c r="I48" s="39"/>
      <c r="J48" s="39"/>
      <c r="K48" s="39"/>
      <c r="IJ48" s="39"/>
      <c r="IK48" s="39"/>
      <c r="IL48" s="39"/>
      <c r="IM48" s="39"/>
      <c r="IN48" s="39"/>
      <c r="IO48" s="39"/>
      <c r="IP48" s="39"/>
      <c r="IQ48" s="39"/>
      <c r="IR48" s="39"/>
    </row>
    <row r="49" spans="1:252" s="40" customFormat="1" ht="36" x14ac:dyDescent="0.25">
      <c r="A49" s="47">
        <v>21081500</v>
      </c>
      <c r="B49" s="57" t="s">
        <v>133</v>
      </c>
      <c r="C49" s="43">
        <f>SUM(D49,E49)</f>
        <v>1000000</v>
      </c>
      <c r="D49" s="50">
        <v>1000000</v>
      </c>
      <c r="E49" s="50"/>
      <c r="F49" s="50"/>
      <c r="G49" s="38"/>
      <c r="H49" s="39"/>
      <c r="I49" s="39"/>
      <c r="J49" s="39"/>
      <c r="K49" s="39"/>
      <c r="IJ49" s="39"/>
      <c r="IK49" s="39"/>
      <c r="IL49" s="39"/>
      <c r="IM49" s="39"/>
      <c r="IN49" s="39"/>
      <c r="IO49" s="39"/>
      <c r="IP49" s="39"/>
      <c r="IQ49" s="39"/>
      <c r="IR49" s="39"/>
    </row>
    <row r="50" spans="1:252" s="192" customFormat="1" ht="15" x14ac:dyDescent="0.25">
      <c r="A50" s="189">
        <v>21081700</v>
      </c>
      <c r="B50" s="246" t="s">
        <v>645</v>
      </c>
      <c r="C50" s="69">
        <f>SUM(D50,E50)</f>
        <v>9000000</v>
      </c>
      <c r="D50" s="69">
        <v>9000000</v>
      </c>
      <c r="E50" s="69"/>
      <c r="F50" s="69"/>
      <c r="G50" s="190"/>
      <c r="H50" s="191"/>
      <c r="I50" s="191"/>
      <c r="J50" s="191"/>
      <c r="K50" s="191"/>
      <c r="IJ50" s="191"/>
      <c r="IK50" s="191"/>
      <c r="IL50" s="191"/>
      <c r="IM50" s="191"/>
      <c r="IN50" s="191"/>
      <c r="IO50" s="191"/>
      <c r="IP50" s="191"/>
      <c r="IQ50" s="191"/>
      <c r="IR50" s="191"/>
    </row>
    <row r="51" spans="1:252" s="40" customFormat="1" ht="27" x14ac:dyDescent="0.25">
      <c r="A51" s="41">
        <v>22000000</v>
      </c>
      <c r="B51" s="54" t="s">
        <v>134</v>
      </c>
      <c r="C51" s="43">
        <f t="shared" si="0"/>
        <v>41120000</v>
      </c>
      <c r="D51" s="50">
        <f>SUM(D52:D56)</f>
        <v>41120000</v>
      </c>
      <c r="E51" s="50"/>
      <c r="F51" s="50"/>
      <c r="G51" s="38"/>
      <c r="H51" s="39"/>
      <c r="I51" s="39"/>
      <c r="J51" s="39"/>
      <c r="K51" s="39"/>
      <c r="IJ51" s="39"/>
      <c r="IK51" s="39"/>
      <c r="IL51" s="39"/>
      <c r="IM51" s="39"/>
      <c r="IN51" s="39"/>
      <c r="IO51" s="39"/>
      <c r="IP51" s="39"/>
      <c r="IQ51" s="39"/>
      <c r="IR51" s="39"/>
    </row>
    <row r="52" spans="1:252" s="40" customFormat="1" ht="38.25" x14ac:dyDescent="0.25">
      <c r="A52" s="47">
        <v>22010300</v>
      </c>
      <c r="B52" s="77" t="s">
        <v>234</v>
      </c>
      <c r="C52" s="43">
        <v>905000</v>
      </c>
      <c r="D52" s="50">
        <v>905000</v>
      </c>
      <c r="E52" s="50"/>
      <c r="F52" s="50"/>
      <c r="G52" s="38"/>
      <c r="H52" s="39"/>
      <c r="I52" s="39"/>
      <c r="J52" s="39"/>
      <c r="K52" s="39"/>
      <c r="IJ52" s="39"/>
      <c r="IK52" s="39"/>
      <c r="IL52" s="39"/>
      <c r="IM52" s="39"/>
      <c r="IN52" s="39"/>
      <c r="IO52" s="39"/>
      <c r="IP52" s="39"/>
      <c r="IQ52" s="39"/>
      <c r="IR52" s="39"/>
    </row>
    <row r="53" spans="1:252" s="40" customFormat="1" ht="25.5" x14ac:dyDescent="0.25">
      <c r="A53" s="47">
        <v>22012600</v>
      </c>
      <c r="B53" s="77" t="s">
        <v>135</v>
      </c>
      <c r="C53" s="43">
        <v>1080000</v>
      </c>
      <c r="D53" s="50">
        <v>1080000</v>
      </c>
      <c r="E53" s="50"/>
      <c r="F53" s="50"/>
      <c r="G53" s="38"/>
      <c r="H53" s="39"/>
      <c r="I53" s="39"/>
      <c r="J53" s="39"/>
      <c r="K53" s="39"/>
      <c r="IJ53" s="39"/>
      <c r="IK53" s="39"/>
      <c r="IL53" s="39"/>
      <c r="IM53" s="39"/>
      <c r="IN53" s="39"/>
      <c r="IO53" s="39"/>
      <c r="IP53" s="39"/>
      <c r="IQ53" s="39"/>
      <c r="IR53" s="39"/>
    </row>
    <row r="54" spans="1:252" s="80" customFormat="1" ht="15" x14ac:dyDescent="0.2">
      <c r="A54" s="47">
        <v>22012500</v>
      </c>
      <c r="B54" s="57" t="s">
        <v>136</v>
      </c>
      <c r="C54" s="43">
        <f t="shared" si="0"/>
        <v>28485000</v>
      </c>
      <c r="D54" s="50">
        <v>28485000</v>
      </c>
      <c r="E54" s="50"/>
      <c r="F54" s="50"/>
      <c r="G54" s="78"/>
      <c r="H54" s="79"/>
      <c r="I54" s="79"/>
      <c r="J54" s="79"/>
      <c r="K54" s="79"/>
      <c r="IJ54" s="79"/>
      <c r="IK54" s="79"/>
      <c r="IL54" s="79"/>
      <c r="IM54" s="79"/>
      <c r="IN54" s="79"/>
      <c r="IO54" s="79"/>
      <c r="IP54" s="79"/>
      <c r="IQ54" s="79"/>
      <c r="IR54" s="79"/>
    </row>
    <row r="55" spans="1:252" s="40" customFormat="1" ht="36" x14ac:dyDescent="0.25">
      <c r="A55" s="56">
        <v>22080400</v>
      </c>
      <c r="B55" s="76" t="s">
        <v>137</v>
      </c>
      <c r="C55" s="43">
        <f t="shared" si="0"/>
        <v>9800000</v>
      </c>
      <c r="D55" s="50">
        <v>9800000</v>
      </c>
      <c r="E55" s="50"/>
      <c r="F55" s="50"/>
      <c r="G55" s="38"/>
      <c r="H55" s="39"/>
      <c r="I55" s="39"/>
      <c r="J55" s="39"/>
      <c r="K55" s="39"/>
      <c r="IJ55" s="39"/>
      <c r="IK55" s="39"/>
      <c r="IL55" s="39"/>
      <c r="IM55" s="39"/>
      <c r="IN55" s="39"/>
      <c r="IO55" s="39"/>
      <c r="IP55" s="39"/>
      <c r="IQ55" s="39"/>
      <c r="IR55" s="39"/>
    </row>
    <row r="56" spans="1:252" s="40" customFormat="1" ht="15" x14ac:dyDescent="0.25">
      <c r="A56" s="81">
        <v>22090000</v>
      </c>
      <c r="B56" s="82" t="s">
        <v>138</v>
      </c>
      <c r="C56" s="43">
        <f t="shared" si="0"/>
        <v>850000</v>
      </c>
      <c r="D56" s="83">
        <f>SUM(D57:D59)</f>
        <v>850000</v>
      </c>
      <c r="E56" s="84"/>
      <c r="F56" s="84"/>
      <c r="G56" s="38"/>
      <c r="H56" s="39"/>
      <c r="I56" s="39"/>
      <c r="J56" s="39"/>
      <c r="K56" s="39"/>
      <c r="IJ56" s="39"/>
      <c r="IK56" s="39"/>
      <c r="IL56" s="39"/>
      <c r="IM56" s="39"/>
      <c r="IN56" s="39"/>
      <c r="IO56" s="39"/>
      <c r="IP56" s="39"/>
      <c r="IQ56" s="39"/>
      <c r="IR56" s="39"/>
    </row>
    <row r="57" spans="1:252" s="40" customFormat="1" ht="36" x14ac:dyDescent="0.25">
      <c r="A57" s="56">
        <v>22090100</v>
      </c>
      <c r="B57" s="70" t="s">
        <v>139</v>
      </c>
      <c r="C57" s="43">
        <f t="shared" si="0"/>
        <v>235000</v>
      </c>
      <c r="D57" s="50">
        <v>235000</v>
      </c>
      <c r="E57" s="50"/>
      <c r="F57" s="50"/>
      <c r="G57" s="38"/>
      <c r="H57" s="39"/>
      <c r="I57" s="39"/>
      <c r="J57" s="39"/>
      <c r="K57" s="39"/>
      <c r="IJ57" s="39"/>
      <c r="IK57" s="39"/>
      <c r="IL57" s="39"/>
      <c r="IM57" s="39"/>
      <c r="IN57" s="39"/>
      <c r="IO57" s="39"/>
      <c r="IP57" s="39"/>
      <c r="IQ57" s="39"/>
      <c r="IR57" s="39"/>
    </row>
    <row r="58" spans="1:252" s="40" customFormat="1" ht="15" x14ac:dyDescent="0.25">
      <c r="A58" s="56">
        <v>22090200</v>
      </c>
      <c r="B58" s="70" t="s">
        <v>140</v>
      </c>
      <c r="C58" s="43">
        <f t="shared" si="0"/>
        <v>115000</v>
      </c>
      <c r="D58" s="50">
        <v>115000</v>
      </c>
      <c r="E58" s="50"/>
      <c r="F58" s="50"/>
      <c r="G58" s="38"/>
      <c r="H58" s="39"/>
      <c r="I58" s="39"/>
      <c r="J58" s="39"/>
      <c r="K58" s="39"/>
      <c r="IJ58" s="39"/>
      <c r="IK58" s="39"/>
      <c r="IL58" s="39"/>
      <c r="IM58" s="39"/>
      <c r="IN58" s="39"/>
      <c r="IO58" s="39"/>
      <c r="IP58" s="39"/>
      <c r="IQ58" s="39"/>
      <c r="IR58" s="39"/>
    </row>
    <row r="59" spans="1:252" s="53" customFormat="1" ht="36" x14ac:dyDescent="0.2">
      <c r="A59" s="56">
        <v>22090400</v>
      </c>
      <c r="B59" s="70" t="s">
        <v>141</v>
      </c>
      <c r="C59" s="43">
        <f t="shared" si="0"/>
        <v>500000</v>
      </c>
      <c r="D59" s="50">
        <v>500000</v>
      </c>
      <c r="E59" s="50"/>
      <c r="F59" s="50"/>
      <c r="G59" s="51"/>
      <c r="H59" s="52"/>
      <c r="I59" s="52"/>
      <c r="J59" s="52"/>
      <c r="K59" s="52"/>
      <c r="IJ59" s="52"/>
      <c r="IK59" s="52"/>
      <c r="IL59" s="52"/>
      <c r="IM59" s="52"/>
      <c r="IN59" s="52"/>
      <c r="IO59" s="52"/>
      <c r="IP59" s="52"/>
      <c r="IQ59" s="52"/>
      <c r="IR59" s="52"/>
    </row>
    <row r="60" spans="1:252" s="40" customFormat="1" ht="15" x14ac:dyDescent="0.25">
      <c r="A60" s="41">
        <v>24000000</v>
      </c>
      <c r="B60" s="82" t="s">
        <v>142</v>
      </c>
      <c r="C60" s="43">
        <f t="shared" si="0"/>
        <v>19000000</v>
      </c>
      <c r="D60" s="59">
        <f>D61+D62+D63</f>
        <v>7000000</v>
      </c>
      <c r="E60" s="59">
        <f>E61+E63</f>
        <v>12000000</v>
      </c>
      <c r="F60" s="43">
        <v>12000000</v>
      </c>
      <c r="G60" s="38"/>
      <c r="H60" s="39"/>
      <c r="I60" s="39"/>
      <c r="J60" s="39"/>
      <c r="K60" s="39"/>
      <c r="IJ60" s="39"/>
      <c r="IK60" s="39"/>
      <c r="IL60" s="39"/>
      <c r="IM60" s="39"/>
      <c r="IN60" s="39"/>
      <c r="IO60" s="39"/>
      <c r="IP60" s="39"/>
      <c r="IQ60" s="39"/>
      <c r="IR60" s="39"/>
    </row>
    <row r="61" spans="1:252" s="40" customFormat="1" ht="15" x14ac:dyDescent="0.25">
      <c r="A61" s="56">
        <v>24060300</v>
      </c>
      <c r="B61" s="57" t="s">
        <v>143</v>
      </c>
      <c r="C61" s="43">
        <f t="shared" si="0"/>
        <v>6000000</v>
      </c>
      <c r="D61" s="60">
        <v>6000000</v>
      </c>
      <c r="E61" s="60"/>
      <c r="F61" s="60"/>
      <c r="G61" s="38"/>
      <c r="H61" s="39"/>
      <c r="I61" s="39"/>
      <c r="J61" s="39"/>
      <c r="K61" s="39"/>
      <c r="IJ61" s="39"/>
      <c r="IK61" s="39"/>
      <c r="IL61" s="39"/>
      <c r="IM61" s="39"/>
      <c r="IN61" s="39"/>
      <c r="IO61" s="39"/>
      <c r="IP61" s="39"/>
      <c r="IQ61" s="39"/>
      <c r="IR61" s="39"/>
    </row>
    <row r="62" spans="1:252" s="40" customFormat="1" ht="60" x14ac:dyDescent="0.25">
      <c r="A62" s="56">
        <v>24062200</v>
      </c>
      <c r="B62" s="57" t="s">
        <v>646</v>
      </c>
      <c r="C62" s="43">
        <f t="shared" si="0"/>
        <v>1000000</v>
      </c>
      <c r="D62" s="60">
        <v>1000000</v>
      </c>
      <c r="E62" s="60"/>
      <c r="F62" s="60"/>
      <c r="G62" s="38"/>
      <c r="H62" s="39"/>
      <c r="I62" s="39"/>
      <c r="J62" s="39"/>
      <c r="K62" s="39"/>
      <c r="IJ62" s="39"/>
      <c r="IK62" s="39"/>
      <c r="IL62" s="39"/>
      <c r="IM62" s="39"/>
      <c r="IN62" s="39"/>
      <c r="IO62" s="39"/>
      <c r="IP62" s="39"/>
      <c r="IQ62" s="39"/>
      <c r="IR62" s="39"/>
    </row>
    <row r="63" spans="1:252" s="46" customFormat="1" ht="24" x14ac:dyDescent="0.2">
      <c r="A63" s="56">
        <v>24170000</v>
      </c>
      <c r="B63" s="61" t="s">
        <v>144</v>
      </c>
      <c r="C63" s="43">
        <f t="shared" si="0"/>
        <v>12000000</v>
      </c>
      <c r="D63" s="60"/>
      <c r="E63" s="60">
        <v>12000000</v>
      </c>
      <c r="F63" s="60">
        <v>12000000</v>
      </c>
      <c r="G63" s="44"/>
      <c r="H63" s="45"/>
      <c r="I63" s="45"/>
      <c r="J63" s="45"/>
      <c r="K63" s="45"/>
      <c r="IJ63" s="45"/>
      <c r="IK63" s="45"/>
      <c r="IL63" s="45"/>
      <c r="IM63" s="45"/>
      <c r="IN63" s="45"/>
      <c r="IO63" s="45"/>
      <c r="IP63" s="45"/>
      <c r="IQ63" s="45"/>
      <c r="IR63" s="45"/>
    </row>
    <row r="64" spans="1:252" s="40" customFormat="1" ht="15" x14ac:dyDescent="0.25">
      <c r="A64" s="41">
        <v>25000000</v>
      </c>
      <c r="B64" s="48" t="s">
        <v>145</v>
      </c>
      <c r="C64" s="43">
        <f t="shared" si="0"/>
        <v>129248285</v>
      </c>
      <c r="D64" s="59">
        <f>SUM(D65,D70)</f>
        <v>0</v>
      </c>
      <c r="E64" s="59">
        <f>SUM(E65,E70)</f>
        <v>129248285</v>
      </c>
      <c r="F64" s="59"/>
      <c r="G64" s="38"/>
      <c r="H64" s="39"/>
      <c r="I64" s="39"/>
      <c r="J64" s="39"/>
      <c r="K64" s="39"/>
      <c r="IJ64" s="39"/>
      <c r="IK64" s="39"/>
      <c r="IL64" s="39"/>
      <c r="IM64" s="39"/>
      <c r="IN64" s="39"/>
      <c r="IO64" s="39"/>
      <c r="IP64" s="39"/>
      <c r="IQ64" s="39"/>
      <c r="IR64" s="39"/>
    </row>
    <row r="65" spans="1:252" s="40" customFormat="1" ht="38.25" x14ac:dyDescent="0.25">
      <c r="A65" s="47">
        <v>25010000</v>
      </c>
      <c r="B65" s="85" t="s">
        <v>146</v>
      </c>
      <c r="C65" s="43">
        <f t="shared" si="0"/>
        <v>129248285</v>
      </c>
      <c r="D65" s="60">
        <v>0</v>
      </c>
      <c r="E65" s="60">
        <f>SUM(E66:E69)</f>
        <v>129248285</v>
      </c>
      <c r="F65" s="60"/>
      <c r="G65" s="38"/>
      <c r="H65" s="39"/>
      <c r="I65" s="39"/>
      <c r="J65" s="39"/>
      <c r="K65" s="39"/>
      <c r="IJ65" s="39"/>
      <c r="IK65" s="39"/>
      <c r="IL65" s="39"/>
      <c r="IM65" s="39"/>
      <c r="IN65" s="39"/>
      <c r="IO65" s="39"/>
      <c r="IP65" s="39"/>
      <c r="IQ65" s="39"/>
      <c r="IR65" s="39"/>
    </row>
    <row r="66" spans="1:252" s="40" customFormat="1" ht="25.5" x14ac:dyDescent="0.25">
      <c r="A66" s="47">
        <v>25010100</v>
      </c>
      <c r="B66" s="86" t="s">
        <v>147</v>
      </c>
      <c r="C66" s="43">
        <v>114419844</v>
      </c>
      <c r="D66" s="60">
        <v>0</v>
      </c>
      <c r="E66" s="60">
        <v>114464844</v>
      </c>
      <c r="F66" s="60"/>
      <c r="G66" s="38"/>
      <c r="H66" s="39"/>
      <c r="I66" s="39"/>
      <c r="J66" s="39"/>
      <c r="K66" s="39"/>
      <c r="IJ66" s="39"/>
      <c r="IK66" s="39"/>
      <c r="IL66" s="39"/>
      <c r="IM66" s="39"/>
      <c r="IN66" s="39"/>
      <c r="IO66" s="39"/>
      <c r="IP66" s="39"/>
      <c r="IQ66" s="39"/>
      <c r="IR66" s="39"/>
    </row>
    <row r="67" spans="1:252" s="40" customFormat="1" ht="25.5" x14ac:dyDescent="0.25">
      <c r="A67" s="47">
        <v>25010200</v>
      </c>
      <c r="B67" s="86" t="s">
        <v>148</v>
      </c>
      <c r="C67" s="43">
        <f t="shared" si="0"/>
        <v>9892745</v>
      </c>
      <c r="D67" s="60">
        <v>0</v>
      </c>
      <c r="E67" s="60">
        <v>9892745</v>
      </c>
      <c r="F67" s="60"/>
      <c r="G67" s="38"/>
      <c r="H67" s="39"/>
      <c r="I67" s="39"/>
      <c r="J67" s="39"/>
      <c r="K67" s="39"/>
      <c r="IJ67" s="39"/>
      <c r="IK67" s="39"/>
      <c r="IL67" s="39"/>
      <c r="IM67" s="39"/>
      <c r="IN67" s="39"/>
      <c r="IO67" s="39"/>
      <c r="IP67" s="39"/>
      <c r="IQ67" s="39"/>
      <c r="IR67" s="39"/>
    </row>
    <row r="68" spans="1:252" s="40" customFormat="1" ht="15" x14ac:dyDescent="0.25">
      <c r="A68" s="47">
        <v>25010300</v>
      </c>
      <c r="B68" s="86" t="s">
        <v>149</v>
      </c>
      <c r="C68" s="43">
        <f t="shared" si="0"/>
        <v>4853346</v>
      </c>
      <c r="D68" s="60">
        <v>0</v>
      </c>
      <c r="E68" s="60">
        <v>4853346</v>
      </c>
      <c r="F68" s="60"/>
      <c r="G68" s="38"/>
      <c r="H68" s="39"/>
      <c r="I68" s="39"/>
      <c r="J68" s="39"/>
      <c r="K68" s="39"/>
      <c r="IJ68" s="39"/>
      <c r="IK68" s="39"/>
      <c r="IL68" s="39"/>
      <c r="IM68" s="39"/>
      <c r="IN68" s="39"/>
      <c r="IO68" s="39"/>
      <c r="IP68" s="39"/>
      <c r="IQ68" s="39"/>
      <c r="IR68" s="39"/>
    </row>
    <row r="69" spans="1:252" s="40" customFormat="1" ht="38.25" x14ac:dyDescent="0.25">
      <c r="A69" s="47">
        <v>25010400</v>
      </c>
      <c r="B69" s="86" t="s">
        <v>150</v>
      </c>
      <c r="C69" s="43">
        <f t="shared" si="0"/>
        <v>37350</v>
      </c>
      <c r="D69" s="60">
        <v>0</v>
      </c>
      <c r="E69" s="60">
        <v>37350</v>
      </c>
      <c r="F69" s="60"/>
      <c r="G69" s="38"/>
      <c r="H69" s="39"/>
      <c r="I69" s="39"/>
      <c r="J69" s="39"/>
      <c r="K69" s="39"/>
      <c r="IJ69" s="39"/>
      <c r="IK69" s="39"/>
      <c r="IL69" s="39"/>
      <c r="IM69" s="39"/>
      <c r="IN69" s="39"/>
      <c r="IO69" s="39"/>
      <c r="IP69" s="39"/>
      <c r="IQ69" s="39"/>
      <c r="IR69" s="39"/>
    </row>
    <row r="70" spans="1:252" s="40" customFormat="1" ht="28.5" x14ac:dyDescent="0.25">
      <c r="A70" s="47">
        <v>25020000</v>
      </c>
      <c r="B70" s="85" t="s">
        <v>151</v>
      </c>
      <c r="C70" s="43">
        <f t="shared" si="0"/>
        <v>0</v>
      </c>
      <c r="D70" s="60">
        <v>0</v>
      </c>
      <c r="E70" s="60">
        <v>0</v>
      </c>
      <c r="F70" s="60"/>
      <c r="G70" s="38"/>
      <c r="H70" s="39"/>
      <c r="I70" s="39"/>
      <c r="J70" s="39"/>
      <c r="K70" s="39"/>
      <c r="IJ70" s="39"/>
      <c r="IK70" s="39"/>
      <c r="IL70" s="39"/>
      <c r="IM70" s="39"/>
      <c r="IN70" s="39"/>
      <c r="IO70" s="39"/>
      <c r="IP70" s="39"/>
      <c r="IQ70" s="39"/>
      <c r="IR70" s="39"/>
    </row>
    <row r="71" spans="1:252" s="66" customFormat="1" ht="15" x14ac:dyDescent="0.2">
      <c r="A71" s="47">
        <v>25020100</v>
      </c>
      <c r="B71" s="86" t="s">
        <v>152</v>
      </c>
      <c r="C71" s="43">
        <f t="shared" si="0"/>
        <v>0</v>
      </c>
      <c r="D71" s="60">
        <v>0</v>
      </c>
      <c r="E71" s="60">
        <v>0</v>
      </c>
      <c r="F71" s="60"/>
      <c r="G71" s="64"/>
      <c r="H71" s="65"/>
      <c r="I71" s="65"/>
      <c r="J71" s="65"/>
      <c r="K71" s="65"/>
      <c r="IJ71" s="65"/>
      <c r="IK71" s="65"/>
      <c r="IL71" s="65"/>
      <c r="IM71" s="65"/>
      <c r="IN71" s="65"/>
      <c r="IO71" s="65"/>
      <c r="IP71" s="65"/>
      <c r="IQ71" s="65"/>
      <c r="IR71" s="65"/>
    </row>
    <row r="72" spans="1:252" s="40" customFormat="1" ht="89.25" hidden="1" x14ac:dyDescent="0.25">
      <c r="A72" s="47">
        <v>25020200</v>
      </c>
      <c r="B72" s="86" t="s">
        <v>153</v>
      </c>
      <c r="C72" s="43">
        <f t="shared" si="0"/>
        <v>0</v>
      </c>
      <c r="D72" s="60"/>
      <c r="E72" s="60">
        <v>0</v>
      </c>
      <c r="F72" s="60"/>
      <c r="G72" s="38"/>
      <c r="H72" s="39"/>
      <c r="I72" s="39"/>
      <c r="J72" s="39"/>
      <c r="K72" s="39"/>
      <c r="IJ72" s="39"/>
      <c r="IK72" s="39"/>
      <c r="IL72" s="39"/>
      <c r="IM72" s="39"/>
      <c r="IN72" s="39"/>
      <c r="IO72" s="39"/>
      <c r="IP72" s="39"/>
      <c r="IQ72" s="39"/>
      <c r="IR72" s="39"/>
    </row>
    <row r="73" spans="1:252" s="53" customFormat="1" ht="14.25" x14ac:dyDescent="0.2">
      <c r="A73" s="41">
        <v>30000000</v>
      </c>
      <c r="B73" s="42" t="s">
        <v>154</v>
      </c>
      <c r="C73" s="43">
        <f t="shared" si="0"/>
        <v>6459905</v>
      </c>
      <c r="D73" s="59">
        <f>SUM(D74)</f>
        <v>60000</v>
      </c>
      <c r="E73" s="59">
        <f>SUM(E74,E77)</f>
        <v>6399905</v>
      </c>
      <c r="F73" s="59">
        <f>SUM(F74,F77)</f>
        <v>6399905</v>
      </c>
      <c r="G73" s="51"/>
      <c r="H73" s="52"/>
      <c r="I73" s="52"/>
      <c r="J73" s="52"/>
      <c r="K73" s="52"/>
      <c r="IJ73" s="52"/>
      <c r="IK73" s="52"/>
      <c r="IL73" s="52"/>
      <c r="IM73" s="52"/>
      <c r="IN73" s="52"/>
      <c r="IO73" s="52"/>
      <c r="IP73" s="52"/>
      <c r="IQ73" s="52"/>
      <c r="IR73" s="52"/>
    </row>
    <row r="74" spans="1:252" s="40" customFormat="1" ht="30" x14ac:dyDescent="0.25">
      <c r="A74" s="47">
        <v>31000000</v>
      </c>
      <c r="B74" s="87" t="s">
        <v>155</v>
      </c>
      <c r="C74" s="43">
        <f t="shared" si="0"/>
        <v>660000</v>
      </c>
      <c r="D74" s="69">
        <v>60000</v>
      </c>
      <c r="E74" s="69">
        <f>SUM(E76)</f>
        <v>600000</v>
      </c>
      <c r="F74" s="69">
        <f>SUM(F76)</f>
        <v>600000</v>
      </c>
      <c r="G74" s="38"/>
      <c r="H74" s="39"/>
      <c r="I74" s="39"/>
      <c r="J74" s="39"/>
      <c r="K74" s="39"/>
      <c r="IJ74" s="39"/>
      <c r="IK74" s="39"/>
      <c r="IL74" s="39"/>
      <c r="IM74" s="39"/>
      <c r="IN74" s="39"/>
      <c r="IO74" s="39"/>
      <c r="IP74" s="39"/>
      <c r="IQ74" s="39"/>
      <c r="IR74" s="39"/>
    </row>
    <row r="75" spans="1:252" s="40" customFormat="1" ht="60" x14ac:dyDescent="0.25">
      <c r="A75" s="56">
        <v>31010200</v>
      </c>
      <c r="B75" s="61" t="s">
        <v>156</v>
      </c>
      <c r="C75" s="43">
        <f>SUM(D75,E75)</f>
        <v>60000</v>
      </c>
      <c r="D75" s="60">
        <v>60000</v>
      </c>
      <c r="E75" s="60"/>
      <c r="F75" s="60"/>
      <c r="G75" s="38"/>
      <c r="H75" s="39"/>
      <c r="I75" s="39"/>
      <c r="J75" s="39"/>
      <c r="K75" s="39"/>
      <c r="IJ75" s="39"/>
      <c r="IK75" s="39"/>
      <c r="IL75" s="39"/>
      <c r="IM75" s="39"/>
      <c r="IN75" s="39"/>
      <c r="IO75" s="39"/>
      <c r="IP75" s="39"/>
      <c r="IQ75" s="39"/>
      <c r="IR75" s="39"/>
    </row>
    <row r="76" spans="1:252" s="40" customFormat="1" ht="36" x14ac:dyDescent="0.25">
      <c r="A76" s="56">
        <v>31030000</v>
      </c>
      <c r="B76" s="88" t="s">
        <v>157</v>
      </c>
      <c r="C76" s="43">
        <f t="shared" si="0"/>
        <v>600000</v>
      </c>
      <c r="D76" s="58"/>
      <c r="E76" s="58">
        <v>600000</v>
      </c>
      <c r="F76" s="58">
        <v>600000</v>
      </c>
      <c r="G76" s="38"/>
      <c r="H76" s="39"/>
      <c r="I76" s="39"/>
      <c r="J76" s="39"/>
      <c r="K76" s="39"/>
      <c r="IJ76" s="39"/>
      <c r="IK76" s="39"/>
      <c r="IL76" s="39"/>
      <c r="IM76" s="39"/>
      <c r="IN76" s="39"/>
      <c r="IO76" s="39"/>
      <c r="IP76" s="39"/>
      <c r="IQ76" s="39"/>
      <c r="IR76" s="39"/>
    </row>
    <row r="77" spans="1:252" s="40" customFormat="1" ht="30" x14ac:dyDescent="0.25">
      <c r="A77" s="47">
        <v>33000000</v>
      </c>
      <c r="B77" s="87" t="s">
        <v>158</v>
      </c>
      <c r="C77" s="43">
        <f t="shared" si="0"/>
        <v>5799905</v>
      </c>
      <c r="D77" s="69"/>
      <c r="E77" s="69">
        <f>SUM(E78)</f>
        <v>5799905</v>
      </c>
      <c r="F77" s="69">
        <f>SUM(F78)</f>
        <v>5799905</v>
      </c>
      <c r="G77" s="38"/>
      <c r="H77" s="39"/>
      <c r="I77" s="39"/>
      <c r="J77" s="39"/>
      <c r="K77" s="39"/>
      <c r="IJ77" s="39"/>
      <c r="IK77" s="39"/>
      <c r="IL77" s="39"/>
      <c r="IM77" s="39"/>
      <c r="IN77" s="39"/>
      <c r="IO77" s="39"/>
      <c r="IP77" s="39"/>
      <c r="IQ77" s="39"/>
      <c r="IR77" s="39"/>
    </row>
    <row r="78" spans="1:252" s="40" customFormat="1" ht="15" x14ac:dyDescent="0.25">
      <c r="A78" s="47">
        <v>33010000</v>
      </c>
      <c r="B78" s="87" t="s">
        <v>159</v>
      </c>
      <c r="C78" s="43">
        <f t="shared" si="0"/>
        <v>5799905</v>
      </c>
      <c r="D78" s="50"/>
      <c r="E78" s="50">
        <f>SUM(E79,E80)</f>
        <v>5799905</v>
      </c>
      <c r="F78" s="50">
        <f>SUM(F79,F80)</f>
        <v>5799905</v>
      </c>
      <c r="G78" s="38"/>
      <c r="H78" s="39"/>
      <c r="I78" s="39"/>
      <c r="J78" s="39"/>
      <c r="K78" s="39"/>
      <c r="IJ78" s="39"/>
      <c r="IK78" s="39"/>
      <c r="IL78" s="39"/>
      <c r="IM78" s="39"/>
      <c r="IN78" s="39"/>
      <c r="IO78" s="39"/>
      <c r="IP78" s="39"/>
      <c r="IQ78" s="39"/>
      <c r="IR78" s="39"/>
    </row>
    <row r="79" spans="1:252" s="40" customFormat="1" ht="48" x14ac:dyDescent="0.25">
      <c r="A79" s="47">
        <v>33010100</v>
      </c>
      <c r="B79" s="88" t="s">
        <v>548</v>
      </c>
      <c r="C79" s="43">
        <f t="shared" si="0"/>
        <v>3085990</v>
      </c>
      <c r="D79" s="50"/>
      <c r="E79" s="50">
        <v>3085990</v>
      </c>
      <c r="F79" s="50">
        <v>3085990</v>
      </c>
      <c r="G79" s="38"/>
      <c r="H79" s="39"/>
      <c r="I79" s="39"/>
      <c r="J79" s="39"/>
      <c r="K79" s="39"/>
      <c r="IJ79" s="39"/>
      <c r="IK79" s="39"/>
      <c r="IL79" s="39"/>
      <c r="IM79" s="39"/>
      <c r="IN79" s="39"/>
      <c r="IO79" s="39"/>
      <c r="IP79" s="39"/>
      <c r="IQ79" s="39"/>
      <c r="IR79" s="39"/>
    </row>
    <row r="80" spans="1:252" s="40" customFormat="1" ht="48" x14ac:dyDescent="0.25">
      <c r="A80" s="47">
        <v>33010200</v>
      </c>
      <c r="B80" s="88" t="s">
        <v>160</v>
      </c>
      <c r="C80" s="43">
        <f t="shared" ref="C80:C98" si="1">SUM(D80,E80)</f>
        <v>2713915</v>
      </c>
      <c r="D80" s="50"/>
      <c r="E80" s="50">
        <v>2713915</v>
      </c>
      <c r="F80" s="50">
        <v>2713915</v>
      </c>
      <c r="G80" s="38"/>
      <c r="H80" s="39"/>
      <c r="I80" s="39"/>
      <c r="J80" s="39"/>
      <c r="K80" s="39"/>
      <c r="IJ80" s="39"/>
      <c r="IK80" s="39"/>
      <c r="IL80" s="39"/>
      <c r="IM80" s="39"/>
      <c r="IN80" s="39"/>
      <c r="IO80" s="39"/>
      <c r="IP80" s="39"/>
      <c r="IQ80" s="39"/>
      <c r="IR80" s="39"/>
    </row>
    <row r="81" spans="1:252" s="40" customFormat="1" ht="53.25" customHeight="1" x14ac:dyDescent="0.25">
      <c r="A81" s="41">
        <v>50110000</v>
      </c>
      <c r="B81" s="89" t="s">
        <v>161</v>
      </c>
      <c r="C81" s="43">
        <v>4212100</v>
      </c>
      <c r="D81" s="50"/>
      <c r="E81" s="43">
        <v>4212100</v>
      </c>
      <c r="F81" s="50"/>
      <c r="G81" s="38"/>
      <c r="H81" s="39"/>
      <c r="I81" s="39"/>
      <c r="J81" s="39"/>
      <c r="K81" s="39"/>
      <c r="IJ81" s="39"/>
      <c r="IK81" s="39"/>
      <c r="IL81" s="39"/>
      <c r="IM81" s="39"/>
      <c r="IN81" s="39"/>
      <c r="IO81" s="39"/>
      <c r="IP81" s="39"/>
      <c r="IQ81" s="39"/>
      <c r="IR81" s="39"/>
    </row>
    <row r="82" spans="1:252" s="46" customFormat="1" ht="18.75" x14ac:dyDescent="0.2">
      <c r="A82" s="41"/>
      <c r="B82" s="90" t="s">
        <v>797</v>
      </c>
      <c r="C82" s="43">
        <f t="shared" si="1"/>
        <v>1825600885</v>
      </c>
      <c r="D82" s="59">
        <f>D10+D44+D73</f>
        <v>1673240595</v>
      </c>
      <c r="E82" s="59">
        <f>E10+E44+E73+E81</f>
        <v>152360290</v>
      </c>
      <c r="F82" s="59">
        <f>F10+F44+F64+F73</f>
        <v>18399905</v>
      </c>
      <c r="G82" s="44"/>
      <c r="H82" s="45"/>
      <c r="I82" s="45"/>
      <c r="J82" s="45"/>
      <c r="K82" s="45"/>
      <c r="IJ82" s="45"/>
      <c r="IK82" s="45"/>
      <c r="IL82" s="45"/>
      <c r="IM82" s="45"/>
      <c r="IN82" s="45"/>
      <c r="IO82" s="45"/>
      <c r="IP82" s="45"/>
      <c r="IQ82" s="45"/>
      <c r="IR82" s="45"/>
    </row>
    <row r="83" spans="1:252" s="46" customFormat="1" ht="18.75" x14ac:dyDescent="0.2">
      <c r="A83" s="41">
        <v>4000000</v>
      </c>
      <c r="B83" s="90" t="s">
        <v>798</v>
      </c>
      <c r="C83" s="43">
        <v>1160893962</v>
      </c>
      <c r="D83" s="59">
        <f>SUM(D84,D86)</f>
        <v>1160893962</v>
      </c>
      <c r="E83" s="59"/>
      <c r="F83" s="59"/>
      <c r="G83" s="44"/>
      <c r="H83" s="45"/>
      <c r="I83" s="45"/>
      <c r="J83" s="45"/>
      <c r="K83" s="45"/>
      <c r="IJ83" s="45"/>
      <c r="IK83" s="45"/>
      <c r="IL83" s="45"/>
      <c r="IM83" s="45"/>
      <c r="IN83" s="45"/>
      <c r="IO83" s="45"/>
      <c r="IP83" s="45"/>
      <c r="IQ83" s="45"/>
      <c r="IR83" s="45"/>
    </row>
    <row r="84" spans="1:252" s="46" customFormat="1" ht="31.5" x14ac:dyDescent="0.2">
      <c r="A84" s="41">
        <v>41040000</v>
      </c>
      <c r="B84" s="158" t="s">
        <v>551</v>
      </c>
      <c r="C84" s="43">
        <v>0</v>
      </c>
      <c r="D84" s="59">
        <v>0</v>
      </c>
      <c r="E84" s="59"/>
      <c r="F84" s="59"/>
      <c r="G84" s="44"/>
      <c r="H84" s="45"/>
      <c r="I84" s="45"/>
      <c r="J84" s="45"/>
      <c r="K84" s="45"/>
      <c r="IJ84" s="45"/>
      <c r="IK84" s="45"/>
      <c r="IL84" s="45"/>
      <c r="IM84" s="45"/>
      <c r="IN84" s="45"/>
      <c r="IO84" s="45"/>
      <c r="IP84" s="45"/>
      <c r="IQ84" s="45"/>
      <c r="IR84" s="45"/>
    </row>
    <row r="85" spans="1:252" s="46" customFormat="1" ht="78.75" customHeight="1" x14ac:dyDescent="0.2">
      <c r="A85" s="47">
        <v>41040200</v>
      </c>
      <c r="B85" s="159" t="s">
        <v>550</v>
      </c>
      <c r="C85" s="43">
        <v>0</v>
      </c>
      <c r="D85" s="59">
        <v>0</v>
      </c>
      <c r="E85" s="59"/>
      <c r="F85" s="59"/>
      <c r="G85" s="44"/>
      <c r="H85" s="45"/>
      <c r="I85" s="45"/>
      <c r="J85" s="45"/>
      <c r="K85" s="45"/>
      <c r="IJ85" s="45"/>
      <c r="IK85" s="45"/>
      <c r="IL85" s="45"/>
      <c r="IM85" s="45"/>
      <c r="IN85" s="45"/>
      <c r="IO85" s="45"/>
      <c r="IP85" s="45"/>
      <c r="IQ85" s="45"/>
      <c r="IR85" s="45"/>
    </row>
    <row r="86" spans="1:252" s="46" customFormat="1" ht="14.25" x14ac:dyDescent="0.2">
      <c r="A86" s="41">
        <v>40000000</v>
      </c>
      <c r="B86" s="67" t="s">
        <v>162</v>
      </c>
      <c r="C86" s="43">
        <f t="shared" si="1"/>
        <v>1160893962</v>
      </c>
      <c r="D86" s="59">
        <f>SUM(D87:D93)</f>
        <v>1160893962</v>
      </c>
      <c r="E86" s="59">
        <f>SUM(E87:E93)</f>
        <v>0</v>
      </c>
      <c r="F86" s="43">
        <v>0</v>
      </c>
      <c r="G86" s="44"/>
      <c r="H86" s="45"/>
      <c r="I86" s="45"/>
      <c r="J86" s="45"/>
      <c r="K86" s="45"/>
      <c r="IJ86" s="45"/>
      <c r="IK86" s="45"/>
      <c r="IL86" s="45"/>
      <c r="IM86" s="45"/>
      <c r="IN86" s="45"/>
      <c r="IO86" s="45"/>
      <c r="IP86" s="45"/>
      <c r="IQ86" s="45"/>
      <c r="IR86" s="45"/>
    </row>
    <row r="87" spans="1:252" s="46" customFormat="1" ht="25.5" x14ac:dyDescent="0.2">
      <c r="A87" s="47">
        <v>41033900</v>
      </c>
      <c r="B87" s="77" t="s">
        <v>163</v>
      </c>
      <c r="C87" s="43">
        <f t="shared" si="1"/>
        <v>368264000</v>
      </c>
      <c r="D87" s="50">
        <v>368264000</v>
      </c>
      <c r="E87" s="43"/>
      <c r="F87" s="43"/>
      <c r="G87" s="44"/>
      <c r="H87" s="45"/>
      <c r="I87" s="45"/>
      <c r="J87" s="45"/>
      <c r="K87" s="45"/>
      <c r="IJ87" s="45"/>
      <c r="IK87" s="45"/>
      <c r="IL87" s="45"/>
      <c r="IM87" s="45"/>
      <c r="IN87" s="45"/>
      <c r="IO87" s="45"/>
      <c r="IP87" s="45"/>
      <c r="IQ87" s="45"/>
      <c r="IR87" s="45"/>
    </row>
    <row r="88" spans="1:252" s="46" customFormat="1" ht="25.5" x14ac:dyDescent="0.2">
      <c r="A88" s="47">
        <v>41034200</v>
      </c>
      <c r="B88" s="77" t="s">
        <v>164</v>
      </c>
      <c r="C88" s="43">
        <f t="shared" si="1"/>
        <v>192216600</v>
      </c>
      <c r="D88" s="50">
        <v>192216600</v>
      </c>
      <c r="E88" s="43"/>
      <c r="F88" s="43"/>
      <c r="G88" s="44"/>
      <c r="H88" s="45"/>
      <c r="I88" s="45"/>
      <c r="J88" s="45"/>
      <c r="K88" s="45"/>
      <c r="IJ88" s="45"/>
      <c r="IK88" s="45"/>
      <c r="IL88" s="45"/>
      <c r="IM88" s="45"/>
      <c r="IN88" s="45"/>
      <c r="IO88" s="45"/>
      <c r="IP88" s="45"/>
      <c r="IQ88" s="45"/>
      <c r="IR88" s="45"/>
    </row>
    <row r="89" spans="1:252" s="46" customFormat="1" ht="193.5" customHeight="1" x14ac:dyDescent="0.2">
      <c r="A89" s="41">
        <v>41050300</v>
      </c>
      <c r="B89" s="77" t="s">
        <v>501</v>
      </c>
      <c r="C89" s="43">
        <f t="shared" si="1"/>
        <v>354029500</v>
      </c>
      <c r="D89" s="50">
        <v>354029500</v>
      </c>
      <c r="E89" s="43"/>
      <c r="F89" s="43"/>
      <c r="G89" s="44"/>
      <c r="H89" s="45"/>
      <c r="I89" s="45"/>
      <c r="J89" s="45"/>
      <c r="K89" s="45"/>
      <c r="IJ89" s="45"/>
      <c r="IK89" s="45"/>
      <c r="IL89" s="45"/>
      <c r="IM89" s="45"/>
      <c r="IN89" s="45"/>
      <c r="IO89" s="45"/>
      <c r="IP89" s="45"/>
      <c r="IQ89" s="45"/>
      <c r="IR89" s="45"/>
    </row>
    <row r="90" spans="1:252" s="46" customFormat="1" ht="117" customHeight="1" x14ac:dyDescent="0.2">
      <c r="A90" s="41">
        <v>41050100</v>
      </c>
      <c r="B90" s="77" t="s">
        <v>502</v>
      </c>
      <c r="C90" s="43">
        <v>244838400</v>
      </c>
      <c r="D90" s="50">
        <v>244838400</v>
      </c>
      <c r="E90" s="43"/>
      <c r="F90" s="43"/>
      <c r="G90" s="44"/>
      <c r="H90" s="45"/>
      <c r="I90" s="45"/>
      <c r="J90" s="45"/>
      <c r="K90" s="45"/>
      <c r="IJ90" s="45"/>
      <c r="IK90" s="45"/>
      <c r="IL90" s="45"/>
      <c r="IM90" s="45"/>
      <c r="IN90" s="45"/>
      <c r="IO90" s="45"/>
      <c r="IP90" s="45"/>
      <c r="IQ90" s="45"/>
      <c r="IR90" s="45"/>
    </row>
    <row r="91" spans="1:252" s="46" customFormat="1" ht="65.25" customHeight="1" x14ac:dyDescent="0.2">
      <c r="A91" s="41">
        <v>41050200</v>
      </c>
      <c r="B91" s="77" t="s">
        <v>503</v>
      </c>
      <c r="C91" s="43">
        <f t="shared" si="1"/>
        <v>47700</v>
      </c>
      <c r="D91" s="50">
        <v>47700</v>
      </c>
      <c r="E91" s="43"/>
      <c r="F91" s="43"/>
      <c r="G91" s="44"/>
      <c r="H91" s="45"/>
      <c r="I91" s="45"/>
      <c r="J91" s="45"/>
      <c r="K91" s="45"/>
      <c r="IJ91" s="45"/>
      <c r="IK91" s="45"/>
      <c r="IL91" s="45"/>
      <c r="IM91" s="45"/>
      <c r="IN91" s="45"/>
      <c r="IO91" s="45"/>
      <c r="IP91" s="45"/>
      <c r="IQ91" s="45"/>
      <c r="IR91" s="45"/>
    </row>
    <row r="92" spans="1:252" s="46" customFormat="1" ht="154.5" customHeight="1" x14ac:dyDescent="0.2">
      <c r="A92" s="41">
        <v>41050700</v>
      </c>
      <c r="B92" s="77" t="s">
        <v>504</v>
      </c>
      <c r="C92" s="43">
        <f t="shared" si="1"/>
        <v>1030700</v>
      </c>
      <c r="D92" s="50">
        <v>1030700</v>
      </c>
      <c r="E92" s="43"/>
      <c r="F92" s="43"/>
      <c r="G92" s="44"/>
      <c r="H92" s="45"/>
      <c r="I92" s="45"/>
      <c r="J92" s="45"/>
      <c r="K92" s="45"/>
      <c r="IJ92" s="45"/>
      <c r="IK92" s="45"/>
      <c r="IL92" s="45"/>
      <c r="IM92" s="45"/>
      <c r="IN92" s="45"/>
      <c r="IO92" s="45"/>
      <c r="IP92" s="45"/>
      <c r="IQ92" s="45"/>
      <c r="IR92" s="45"/>
    </row>
    <row r="93" spans="1:252" s="46" customFormat="1" ht="17.25" customHeight="1" x14ac:dyDescent="0.2">
      <c r="A93" s="41">
        <v>41053900</v>
      </c>
      <c r="B93" s="91" t="s">
        <v>549</v>
      </c>
      <c r="C93" s="43">
        <f t="shared" si="1"/>
        <v>467062</v>
      </c>
      <c r="D93" s="59">
        <f>SUM(D94:D97)</f>
        <v>467062</v>
      </c>
      <c r="E93" s="43"/>
      <c r="F93" s="43"/>
      <c r="G93" s="44"/>
      <c r="H93" s="45"/>
      <c r="I93" s="45"/>
      <c r="J93" s="45"/>
      <c r="K93" s="45"/>
      <c r="IJ93" s="45"/>
      <c r="IK93" s="45"/>
      <c r="IL93" s="45"/>
      <c r="IM93" s="45"/>
      <c r="IN93" s="45"/>
      <c r="IO93" s="45"/>
      <c r="IP93" s="45"/>
      <c r="IQ93" s="45"/>
      <c r="IR93" s="45"/>
    </row>
    <row r="94" spans="1:252" s="46" customFormat="1" ht="24" x14ac:dyDescent="0.2">
      <c r="A94" s="41"/>
      <c r="B94" s="92" t="s">
        <v>165</v>
      </c>
      <c r="C94" s="43">
        <f t="shared" si="1"/>
        <v>179080</v>
      </c>
      <c r="D94" s="50">
        <v>179080</v>
      </c>
      <c r="E94" s="43"/>
      <c r="F94" s="43"/>
      <c r="G94" s="44"/>
      <c r="H94" s="45"/>
      <c r="I94" s="45"/>
      <c r="J94" s="45"/>
      <c r="K94" s="45"/>
      <c r="IJ94" s="45"/>
      <c r="IK94" s="45"/>
      <c r="IL94" s="45"/>
      <c r="IM94" s="45"/>
      <c r="IN94" s="45"/>
      <c r="IO94" s="45"/>
      <c r="IP94" s="45"/>
      <c r="IQ94" s="45"/>
      <c r="IR94" s="45"/>
    </row>
    <row r="95" spans="1:252" s="46" customFormat="1" ht="36" x14ac:dyDescent="0.2">
      <c r="A95" s="41"/>
      <c r="B95" s="92" t="s">
        <v>166</v>
      </c>
      <c r="C95" s="43">
        <f t="shared" si="1"/>
        <v>135534</v>
      </c>
      <c r="D95" s="50">
        <v>135534</v>
      </c>
      <c r="E95" s="43"/>
      <c r="F95" s="43"/>
      <c r="G95" s="44"/>
      <c r="H95" s="45"/>
      <c r="I95" s="45"/>
      <c r="J95" s="45"/>
      <c r="K95" s="45"/>
      <c r="IJ95" s="45"/>
      <c r="IK95" s="45"/>
      <c r="IL95" s="45"/>
      <c r="IM95" s="45"/>
      <c r="IN95" s="45"/>
      <c r="IO95" s="45"/>
      <c r="IP95" s="45"/>
      <c r="IQ95" s="45"/>
      <c r="IR95" s="45"/>
    </row>
    <row r="96" spans="1:252" s="66" customFormat="1" ht="24" x14ac:dyDescent="0.2">
      <c r="A96" s="41"/>
      <c r="B96" s="92" t="s">
        <v>167</v>
      </c>
      <c r="C96" s="43">
        <f t="shared" si="1"/>
        <v>168</v>
      </c>
      <c r="D96" s="50">
        <v>168</v>
      </c>
      <c r="E96" s="43"/>
      <c r="F96" s="43"/>
      <c r="G96" s="64"/>
      <c r="H96" s="65"/>
      <c r="I96" s="65"/>
      <c r="J96" s="65"/>
      <c r="K96" s="65"/>
      <c r="IJ96" s="65"/>
      <c r="IK96" s="65"/>
      <c r="IL96" s="65"/>
      <c r="IM96" s="65"/>
      <c r="IN96" s="65"/>
      <c r="IO96" s="65"/>
      <c r="IP96" s="65"/>
      <c r="IQ96" s="65"/>
      <c r="IR96" s="65"/>
    </row>
    <row r="97" spans="1:252" ht="24" x14ac:dyDescent="0.2">
      <c r="A97" s="41"/>
      <c r="B97" s="92" t="s">
        <v>168</v>
      </c>
      <c r="C97" s="43">
        <f t="shared" si="1"/>
        <v>152280</v>
      </c>
      <c r="D97" s="50">
        <v>152280</v>
      </c>
      <c r="E97" s="43"/>
      <c r="F97" s="43"/>
      <c r="G97" s="32"/>
    </row>
    <row r="98" spans="1:252" s="97" customFormat="1" ht="20.25" x14ac:dyDescent="0.25">
      <c r="A98" s="93"/>
      <c r="B98" s="94" t="s">
        <v>169</v>
      </c>
      <c r="C98" s="43">
        <f t="shared" si="1"/>
        <v>2986494847</v>
      </c>
      <c r="D98" s="59">
        <f>SUM(D82,D84,D86)</f>
        <v>2834134557</v>
      </c>
      <c r="E98" s="59">
        <f>SUM(E82,E86)</f>
        <v>152360290</v>
      </c>
      <c r="F98" s="59">
        <f>SUM(F82:F86)</f>
        <v>18399905</v>
      </c>
      <c r="G98" s="95"/>
      <c r="H98" s="96"/>
      <c r="I98" s="96"/>
      <c r="J98" s="96"/>
      <c r="K98" s="96"/>
      <c r="IJ98" s="96"/>
      <c r="IK98" s="96"/>
      <c r="IL98" s="96"/>
      <c r="IM98" s="96"/>
      <c r="IN98" s="96"/>
      <c r="IO98" s="96"/>
      <c r="IP98" s="96"/>
      <c r="IQ98" s="96"/>
      <c r="IR98" s="96"/>
    </row>
    <row r="99" spans="1:252" x14ac:dyDescent="0.2">
      <c r="G99" s="32"/>
    </row>
    <row r="100" spans="1:252" ht="15" customHeight="1" x14ac:dyDescent="0.25">
      <c r="B100" s="245" t="s">
        <v>799</v>
      </c>
      <c r="E100" s="245" t="s">
        <v>800</v>
      </c>
      <c r="G100" s="32"/>
    </row>
    <row r="101" spans="1:252" ht="1.5" hidden="1" customHeight="1" x14ac:dyDescent="0.25">
      <c r="B101" s="245"/>
      <c r="E101" s="245"/>
      <c r="G101" s="32"/>
    </row>
    <row r="102" spans="1:252" ht="15.75" x14ac:dyDescent="0.25">
      <c r="A102" s="96"/>
      <c r="B102" s="245" t="s">
        <v>170</v>
      </c>
      <c r="C102" s="245"/>
      <c r="D102" s="245"/>
      <c r="E102" s="245" t="s">
        <v>171</v>
      </c>
      <c r="F102" s="96"/>
      <c r="G102" s="32"/>
    </row>
    <row r="103" spans="1:252" x14ac:dyDescent="0.2">
      <c r="A103" s="32"/>
      <c r="B103" s="32"/>
      <c r="C103" s="32"/>
      <c r="D103" s="32"/>
      <c r="E103" s="32"/>
      <c r="F103" s="32"/>
      <c r="G103" s="32"/>
    </row>
    <row r="104" spans="1:252" x14ac:dyDescent="0.2">
      <c r="A104" s="32"/>
      <c r="B104" s="32"/>
      <c r="C104" s="32"/>
      <c r="D104" s="98"/>
      <c r="E104" s="32"/>
      <c r="F104" s="32"/>
      <c r="G104" s="32"/>
    </row>
    <row r="105" spans="1:252" x14ac:dyDescent="0.2">
      <c r="A105" s="32"/>
      <c r="B105" s="32"/>
      <c r="C105" s="32"/>
      <c r="D105" s="99"/>
      <c r="E105" s="32"/>
      <c r="F105" s="32"/>
      <c r="G105" s="32"/>
    </row>
    <row r="106" spans="1:252" x14ac:dyDescent="0.2">
      <c r="A106" s="32"/>
      <c r="B106" s="32"/>
      <c r="C106" s="32"/>
      <c r="D106" s="32"/>
      <c r="E106" s="32"/>
      <c r="F106" s="32"/>
      <c r="G106" s="32"/>
    </row>
    <row r="148" spans="5:5" ht="18.75" x14ac:dyDescent="0.3">
      <c r="E148" s="136"/>
    </row>
  </sheetData>
  <mergeCells count="10">
    <mergeCell ref="A7:A8"/>
    <mergeCell ref="B7:B8"/>
    <mergeCell ref="C7:C8"/>
    <mergeCell ref="D7:D8"/>
    <mergeCell ref="E7:F7"/>
    <mergeCell ref="D1:G1"/>
    <mergeCell ref="D2:G2"/>
    <mergeCell ref="D3:G3"/>
    <mergeCell ref="A4:E4"/>
    <mergeCell ref="A5:E5"/>
  </mergeCells>
  <hyperlinks>
    <hyperlink ref="B74" location="_ftn1" display="_ftn1" xr:uid="{00000000-0004-0000-0000-000000000000}"/>
    <hyperlink ref="B73" location="_ftn1" display="_ftn1" xr:uid="{00000000-0004-0000-0000-000001000000}"/>
    <hyperlink ref="B59" location="_ftn1" display="_ftn1" xr:uid="{00000000-0004-0000-0000-000002000000}"/>
    <hyperlink ref="B15" location="_ftn1" display="_ftn1" xr:uid="{00000000-0004-0000-0000-000003000000}"/>
    <hyperlink ref="B14" location="_ftn1" display="_ftn1" xr:uid="{00000000-0004-0000-0000-000004000000}"/>
    <hyperlink ref="B42" location="_ftn1" display="_ftn1" xr:uid="{00000000-0004-0000-0000-000005000000}"/>
    <hyperlink ref="B77" location="_ftn1" display="_ftn1" xr:uid="{00000000-0004-0000-0000-000006000000}"/>
    <hyperlink ref="B78" location="_ftn1" display="_ftn1" xr:uid="{00000000-0004-0000-0000-000007000000}"/>
    <hyperlink ref="B47" location="_ftn1" display="_ftn1" xr:uid="{00000000-0004-0000-0000-000008000000}"/>
    <hyperlink ref="B48" location="_ftn1" display="_ftn1" xr:uid="{00000000-0004-0000-0000-000009000000}"/>
  </hyperlinks>
  <printOptions horizontalCentered="1"/>
  <pageMargins left="0.35433070866141736" right="0.15748031496062992" top="0.59055118110236227" bottom="0.51181102362204722" header="0.51181102362204722" footer="0.51181102362204722"/>
  <pageSetup paperSize="9" scale="85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9"/>
  <sheetViews>
    <sheetView view="pageBreakPreview" zoomScaleSheetLayoutView="100" workbookViewId="0">
      <selection activeCell="F38" sqref="F38"/>
    </sheetView>
  </sheetViews>
  <sheetFormatPr defaultColWidth="9.140625" defaultRowHeight="12.75" x14ac:dyDescent="0.2"/>
  <cols>
    <col min="1" max="1" width="9.7109375" style="398" customWidth="1"/>
    <col min="2" max="3" width="22.140625" style="398" customWidth="1"/>
    <col min="4" max="4" width="14.140625" style="398" customWidth="1"/>
    <col min="5" max="5" width="14" style="398" customWidth="1"/>
    <col min="6" max="6" width="15.42578125" style="398" customWidth="1"/>
    <col min="7" max="7" width="15.140625" style="398" customWidth="1"/>
    <col min="8" max="8" width="16.42578125" style="398" customWidth="1"/>
    <col min="9" max="9" width="8.28515625" style="398" customWidth="1"/>
    <col min="10" max="10" width="9.140625" style="398"/>
    <col min="11" max="11" width="9.7109375" style="398" customWidth="1"/>
    <col min="12" max="12" width="9.140625" style="398"/>
    <col min="13" max="13" width="8.140625" style="398" customWidth="1"/>
    <col min="14" max="16384" width="9.140625" style="398"/>
  </cols>
  <sheetData>
    <row r="1" spans="1:17" x14ac:dyDescent="0.2">
      <c r="F1" s="100" t="s">
        <v>172</v>
      </c>
    </row>
    <row r="2" spans="1:17" x14ac:dyDescent="0.2">
      <c r="F2" s="100" t="s">
        <v>173</v>
      </c>
    </row>
    <row r="3" spans="1:17" x14ac:dyDescent="0.2">
      <c r="F3" s="100" t="s">
        <v>174</v>
      </c>
    </row>
    <row r="5" spans="1:17" ht="18.75" x14ac:dyDescent="0.3">
      <c r="A5" s="436" t="s">
        <v>670</v>
      </c>
      <c r="B5" s="436"/>
      <c r="C5" s="436"/>
      <c r="D5" s="436"/>
      <c r="E5" s="436"/>
      <c r="F5" s="436"/>
    </row>
    <row r="6" spans="1:17" ht="18.75" x14ac:dyDescent="0.3">
      <c r="A6" s="394"/>
      <c r="B6" s="394"/>
      <c r="C6" s="394"/>
      <c r="D6" s="394"/>
      <c r="E6" s="394"/>
      <c r="F6" s="394"/>
    </row>
    <row r="7" spans="1:17" x14ac:dyDescent="0.2">
      <c r="F7" s="258" t="s">
        <v>672</v>
      </c>
    </row>
    <row r="8" spans="1:17" x14ac:dyDescent="0.2">
      <c r="A8" s="437" t="s">
        <v>94</v>
      </c>
      <c r="B8" s="437" t="s">
        <v>662</v>
      </c>
      <c r="C8" s="437" t="s">
        <v>667</v>
      </c>
      <c r="D8" s="438" t="s">
        <v>25</v>
      </c>
      <c r="E8" s="437" t="s">
        <v>84</v>
      </c>
      <c r="F8" s="437"/>
    </row>
    <row r="9" spans="1:17" ht="35.25" customHeight="1" x14ac:dyDescent="0.2">
      <c r="A9" s="437"/>
      <c r="B9" s="437"/>
      <c r="C9" s="437"/>
      <c r="D9" s="439"/>
      <c r="E9" s="395" t="s">
        <v>668</v>
      </c>
      <c r="F9" s="395" t="s">
        <v>669</v>
      </c>
    </row>
    <row r="10" spans="1:17" x14ac:dyDescent="0.2">
      <c r="A10" s="101">
        <v>1</v>
      </c>
      <c r="B10" s="101">
        <v>2</v>
      </c>
      <c r="C10" s="101">
        <v>3</v>
      </c>
      <c r="D10" s="101">
        <v>4</v>
      </c>
      <c r="E10" s="101">
        <v>5</v>
      </c>
      <c r="F10" s="101">
        <v>6</v>
      </c>
    </row>
    <row r="11" spans="1:17" ht="23.25" customHeight="1" x14ac:dyDescent="0.2">
      <c r="A11" s="431" t="s">
        <v>663</v>
      </c>
      <c r="B11" s="432"/>
      <c r="C11" s="101"/>
      <c r="D11" s="101"/>
      <c r="E11" s="102"/>
      <c r="F11" s="102"/>
    </row>
    <row r="12" spans="1:17" x14ac:dyDescent="0.2">
      <c r="A12" s="103" t="s">
        <v>175</v>
      </c>
      <c r="B12" s="103" t="s">
        <v>176</v>
      </c>
      <c r="C12" s="103">
        <f>D12+E12</f>
        <v>0</v>
      </c>
      <c r="D12" s="103">
        <f>D13+D15</f>
        <v>-228528217</v>
      </c>
      <c r="E12" s="103">
        <f>E13+E15</f>
        <v>228528217</v>
      </c>
      <c r="F12" s="103">
        <f>F13+F15</f>
        <v>228528217</v>
      </c>
      <c r="G12" s="399"/>
      <c r="H12" s="399"/>
      <c r="I12" s="399"/>
      <c r="J12" s="399"/>
      <c r="K12" s="399"/>
      <c r="L12" s="399"/>
      <c r="M12" s="399"/>
      <c r="N12" s="399"/>
      <c r="O12" s="399"/>
      <c r="P12" s="399"/>
      <c r="Q12" s="399"/>
    </row>
    <row r="13" spans="1:17" ht="16.5" customHeight="1" x14ac:dyDescent="0.2">
      <c r="A13" s="104" t="s">
        <v>177</v>
      </c>
      <c r="B13" s="104" t="s">
        <v>178</v>
      </c>
      <c r="C13" s="400">
        <f>D13+E13</f>
        <v>0</v>
      </c>
      <c r="D13" s="400">
        <v>0</v>
      </c>
      <c r="E13" s="400">
        <v>0</v>
      </c>
      <c r="F13" s="400">
        <v>0</v>
      </c>
      <c r="G13" s="399"/>
      <c r="H13" s="399"/>
      <c r="I13" s="399"/>
      <c r="J13" s="399"/>
      <c r="K13" s="399"/>
      <c r="L13" s="399"/>
      <c r="M13" s="399"/>
      <c r="N13" s="399"/>
      <c r="O13" s="399"/>
      <c r="P13" s="399"/>
      <c r="Q13" s="399"/>
    </row>
    <row r="14" spans="1:17" ht="18.75" hidden="1" customHeight="1" x14ac:dyDescent="0.2">
      <c r="A14" s="104">
        <v>208200</v>
      </c>
      <c r="B14" s="104" t="s">
        <v>179</v>
      </c>
      <c r="C14" s="400">
        <f>D14+E14</f>
        <v>0</v>
      </c>
      <c r="D14" s="400"/>
      <c r="E14" s="400"/>
      <c r="F14" s="103"/>
      <c r="G14" s="399"/>
      <c r="H14" s="399"/>
      <c r="I14" s="399"/>
      <c r="J14" s="399"/>
      <c r="K14" s="399"/>
      <c r="L14" s="399"/>
      <c r="M14" s="399"/>
      <c r="N14" s="399"/>
      <c r="O14" s="399"/>
      <c r="P14" s="399"/>
      <c r="Q14" s="399"/>
    </row>
    <row r="15" spans="1:17" ht="51" x14ac:dyDescent="0.2">
      <c r="A15" s="104">
        <v>208400</v>
      </c>
      <c r="B15" s="105" t="s">
        <v>180</v>
      </c>
      <c r="C15" s="103">
        <f>D15+E15</f>
        <v>0</v>
      </c>
      <c r="D15" s="103">
        <v>-228528217</v>
      </c>
      <c r="E15" s="103">
        <v>228528217</v>
      </c>
      <c r="F15" s="103">
        <v>228528217</v>
      </c>
      <c r="G15" s="399"/>
      <c r="H15" s="399"/>
      <c r="I15" s="399"/>
      <c r="J15" s="399"/>
      <c r="K15" s="399"/>
      <c r="L15" s="399"/>
      <c r="M15" s="399"/>
      <c r="N15" s="399"/>
      <c r="O15" s="399"/>
      <c r="P15" s="399"/>
      <c r="Q15" s="399"/>
    </row>
    <row r="16" spans="1:17" x14ac:dyDescent="0.2">
      <c r="A16" s="160">
        <v>300000</v>
      </c>
      <c r="B16" s="137" t="s">
        <v>584</v>
      </c>
      <c r="C16" s="103">
        <v>-2128333</v>
      </c>
      <c r="D16" s="103">
        <v>0</v>
      </c>
      <c r="E16" s="103">
        <v>-2128333</v>
      </c>
      <c r="F16" s="103">
        <v>-2128333</v>
      </c>
      <c r="G16" s="399"/>
      <c r="H16" s="399"/>
      <c r="I16" s="399"/>
      <c r="J16" s="399"/>
      <c r="K16" s="399"/>
      <c r="L16" s="399"/>
      <c r="M16" s="399"/>
      <c r="N16" s="399"/>
      <c r="O16" s="399"/>
      <c r="P16" s="399"/>
      <c r="Q16" s="399"/>
    </row>
    <row r="17" spans="1:17" ht="38.25" x14ac:dyDescent="0.2">
      <c r="A17" s="160">
        <v>301000</v>
      </c>
      <c r="B17" s="137" t="s">
        <v>585</v>
      </c>
      <c r="C17" s="103">
        <v>-2128333</v>
      </c>
      <c r="D17" s="103">
        <v>0</v>
      </c>
      <c r="E17" s="103">
        <v>-2128333</v>
      </c>
      <c r="F17" s="103">
        <v>-2128333</v>
      </c>
      <c r="G17" s="399"/>
      <c r="H17" s="399"/>
      <c r="I17" s="399"/>
      <c r="J17" s="399"/>
      <c r="K17" s="399"/>
      <c r="L17" s="399"/>
      <c r="M17" s="399"/>
      <c r="N17" s="399"/>
      <c r="O17" s="399"/>
      <c r="P17" s="399"/>
      <c r="Q17" s="399"/>
    </row>
    <row r="18" spans="1:17" x14ac:dyDescent="0.2">
      <c r="A18" s="104">
        <v>301100</v>
      </c>
      <c r="B18" s="105" t="s">
        <v>586</v>
      </c>
      <c r="C18" s="103">
        <v>1183975</v>
      </c>
      <c r="D18" s="103"/>
      <c r="E18" s="103">
        <v>1183975</v>
      </c>
      <c r="F18" s="103">
        <v>1183975</v>
      </c>
      <c r="G18" s="399"/>
      <c r="H18" s="399"/>
      <c r="I18" s="399"/>
      <c r="J18" s="399"/>
      <c r="K18" s="399"/>
      <c r="L18" s="399"/>
      <c r="M18" s="399"/>
      <c r="N18" s="399"/>
      <c r="O18" s="399"/>
      <c r="P18" s="399"/>
      <c r="Q18" s="399"/>
    </row>
    <row r="19" spans="1:17" x14ac:dyDescent="0.2">
      <c r="A19" s="104">
        <v>301200</v>
      </c>
      <c r="B19" s="105" t="s">
        <v>587</v>
      </c>
      <c r="C19" s="103">
        <v>-3312308</v>
      </c>
      <c r="D19" s="103"/>
      <c r="E19" s="103">
        <v>-3312308</v>
      </c>
      <c r="F19" s="103">
        <v>-3312308</v>
      </c>
      <c r="G19" s="399"/>
      <c r="H19" s="399"/>
      <c r="I19" s="399"/>
      <c r="J19" s="399"/>
      <c r="K19" s="399"/>
      <c r="L19" s="399"/>
      <c r="M19" s="399"/>
      <c r="N19" s="399"/>
      <c r="O19" s="399"/>
      <c r="P19" s="399"/>
      <c r="Q19" s="399"/>
    </row>
    <row r="20" spans="1:17" x14ac:dyDescent="0.2">
      <c r="A20" s="160" t="s">
        <v>665</v>
      </c>
      <c r="B20" s="137" t="s">
        <v>664</v>
      </c>
      <c r="C20" s="103"/>
      <c r="D20" s="103"/>
      <c r="E20" s="103">
        <v>-2128333</v>
      </c>
      <c r="F20" s="103">
        <v>-2128333</v>
      </c>
      <c r="G20" s="399"/>
      <c r="H20" s="399"/>
      <c r="I20" s="399"/>
      <c r="J20" s="399"/>
      <c r="K20" s="399"/>
      <c r="L20" s="399"/>
      <c r="M20" s="399"/>
      <c r="N20" s="399"/>
      <c r="O20" s="399"/>
      <c r="P20" s="399"/>
      <c r="Q20" s="399"/>
    </row>
    <row r="21" spans="1:17" ht="35.25" customHeight="1" x14ac:dyDescent="0.2">
      <c r="A21" s="431" t="s">
        <v>666</v>
      </c>
      <c r="B21" s="433"/>
      <c r="C21" s="103"/>
      <c r="D21" s="103"/>
      <c r="E21" s="103"/>
      <c r="F21" s="103"/>
      <c r="G21" s="399"/>
      <c r="H21" s="399"/>
      <c r="I21" s="399"/>
      <c r="J21" s="399"/>
      <c r="K21" s="399"/>
      <c r="L21" s="399"/>
      <c r="M21" s="399"/>
      <c r="N21" s="399"/>
      <c r="O21" s="399"/>
      <c r="P21" s="399"/>
      <c r="Q21" s="399"/>
    </row>
    <row r="22" spans="1:17" ht="25.5" x14ac:dyDescent="0.2">
      <c r="A22" s="160">
        <v>400000</v>
      </c>
      <c r="B22" s="137" t="s">
        <v>181</v>
      </c>
      <c r="C22" s="103">
        <v>-2128333</v>
      </c>
      <c r="D22" s="103"/>
      <c r="E22" s="103">
        <v>-2128333</v>
      </c>
      <c r="F22" s="103">
        <v>-3128333</v>
      </c>
      <c r="G22" s="399"/>
      <c r="H22" s="399"/>
      <c r="I22" s="399"/>
      <c r="J22" s="399"/>
      <c r="K22" s="399"/>
      <c r="L22" s="399"/>
      <c r="M22" s="399"/>
      <c r="N22" s="399"/>
      <c r="O22" s="399"/>
      <c r="P22" s="399"/>
      <c r="Q22" s="399"/>
    </row>
    <row r="23" spans="1:17" x14ac:dyDescent="0.2">
      <c r="A23" s="160">
        <v>401000</v>
      </c>
      <c r="B23" s="137" t="s">
        <v>182</v>
      </c>
      <c r="C23" s="103">
        <v>1183975</v>
      </c>
      <c r="D23" s="103"/>
      <c r="E23" s="103">
        <v>1183975</v>
      </c>
      <c r="F23" s="103">
        <v>1183975</v>
      </c>
      <c r="G23" s="399"/>
      <c r="H23" s="399"/>
      <c r="I23" s="399"/>
      <c r="J23" s="399"/>
      <c r="K23" s="399"/>
      <c r="L23" s="399"/>
      <c r="M23" s="399"/>
      <c r="N23" s="399"/>
      <c r="O23" s="399"/>
      <c r="P23" s="399"/>
      <c r="Q23" s="399"/>
    </row>
    <row r="24" spans="1:17" s="162" customFormat="1" x14ac:dyDescent="0.2">
      <c r="A24" s="160">
        <v>401200</v>
      </c>
      <c r="B24" s="137" t="s">
        <v>588</v>
      </c>
      <c r="C24" s="103">
        <v>1183975</v>
      </c>
      <c r="D24" s="103"/>
      <c r="E24" s="103">
        <v>1183975</v>
      </c>
      <c r="F24" s="103">
        <v>1183975</v>
      </c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</row>
    <row r="25" spans="1:17" ht="25.5" x14ac:dyDescent="0.2">
      <c r="A25" s="104">
        <v>401202</v>
      </c>
      <c r="B25" s="105" t="s">
        <v>589</v>
      </c>
      <c r="C25" s="400">
        <v>1183975</v>
      </c>
      <c r="D25" s="103"/>
      <c r="E25" s="400">
        <v>1183975</v>
      </c>
      <c r="F25" s="400">
        <v>1183975</v>
      </c>
      <c r="G25" s="399"/>
      <c r="H25" s="399"/>
      <c r="I25" s="399"/>
      <c r="J25" s="399"/>
      <c r="K25" s="399"/>
      <c r="L25" s="399"/>
      <c r="M25" s="399"/>
      <c r="N25" s="399"/>
      <c r="O25" s="399"/>
      <c r="P25" s="399"/>
      <c r="Q25" s="399"/>
    </row>
    <row r="26" spans="1:17" s="162" customFormat="1" x14ac:dyDescent="0.2">
      <c r="A26" s="160">
        <v>402000</v>
      </c>
      <c r="B26" s="137" t="s">
        <v>590</v>
      </c>
      <c r="C26" s="103">
        <v>-3312308</v>
      </c>
      <c r="D26" s="103"/>
      <c r="E26" s="103">
        <v>-3312308</v>
      </c>
      <c r="F26" s="103">
        <v>-3312308</v>
      </c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</row>
    <row r="27" spans="1:17" s="162" customFormat="1" x14ac:dyDescent="0.2">
      <c r="A27" s="160">
        <v>402200</v>
      </c>
      <c r="B27" s="137" t="s">
        <v>591</v>
      </c>
      <c r="C27" s="103">
        <v>-3312308</v>
      </c>
      <c r="D27" s="103"/>
      <c r="E27" s="103">
        <v>-3312308</v>
      </c>
      <c r="F27" s="103">
        <v>-3312308</v>
      </c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</row>
    <row r="28" spans="1:17" ht="25.5" customHeight="1" x14ac:dyDescent="0.2">
      <c r="A28" s="104">
        <v>402202</v>
      </c>
      <c r="B28" s="105" t="s">
        <v>589</v>
      </c>
      <c r="C28" s="400">
        <v>-3312308</v>
      </c>
      <c r="D28" s="103"/>
      <c r="E28" s="400">
        <v>-3312308</v>
      </c>
      <c r="F28" s="400">
        <v>-3312308</v>
      </c>
      <c r="G28" s="399"/>
      <c r="H28" s="399"/>
      <c r="I28" s="399"/>
      <c r="J28" s="399"/>
      <c r="K28" s="399"/>
      <c r="L28" s="399"/>
      <c r="M28" s="399"/>
      <c r="N28" s="399"/>
      <c r="O28" s="399"/>
      <c r="P28" s="399"/>
      <c r="Q28" s="399"/>
    </row>
    <row r="29" spans="1:17" x14ac:dyDescent="0.2">
      <c r="A29" s="160" t="s">
        <v>665</v>
      </c>
      <c r="B29" s="137" t="s">
        <v>664</v>
      </c>
      <c r="C29" s="103">
        <v>-2128333</v>
      </c>
      <c r="D29" s="103">
        <v>-228528217</v>
      </c>
      <c r="E29" s="103">
        <v>226399884</v>
      </c>
      <c r="F29" s="103">
        <v>226399884</v>
      </c>
      <c r="G29" s="399"/>
      <c r="H29" s="399"/>
      <c r="I29" s="399"/>
      <c r="J29" s="399"/>
      <c r="K29" s="399"/>
      <c r="L29" s="399"/>
      <c r="M29" s="399"/>
      <c r="N29" s="399"/>
      <c r="O29" s="399"/>
      <c r="P29" s="399"/>
      <c r="Q29" s="399"/>
    </row>
    <row r="30" spans="1:17" ht="25.5" x14ac:dyDescent="0.2">
      <c r="A30" s="160" t="s">
        <v>183</v>
      </c>
      <c r="B30" s="160" t="s">
        <v>184</v>
      </c>
      <c r="C30" s="103">
        <f>D30+E30</f>
        <v>0</v>
      </c>
      <c r="D30" s="103">
        <v>-228528217</v>
      </c>
      <c r="E30" s="103">
        <v>228528217</v>
      </c>
      <c r="F30" s="103">
        <v>228528217</v>
      </c>
      <c r="G30" s="399"/>
      <c r="H30" s="399"/>
      <c r="I30" s="399"/>
      <c r="J30" s="399"/>
      <c r="K30" s="399"/>
      <c r="L30" s="399"/>
      <c r="M30" s="399"/>
      <c r="N30" s="399"/>
      <c r="O30" s="399"/>
      <c r="P30" s="399"/>
      <c r="Q30" s="399"/>
    </row>
    <row r="31" spans="1:17" ht="36" customHeight="1" x14ac:dyDescent="0.2">
      <c r="A31" s="104">
        <v>602100</v>
      </c>
      <c r="B31" s="105" t="s">
        <v>185</v>
      </c>
      <c r="C31" s="400">
        <f>D31+E31</f>
        <v>0</v>
      </c>
      <c r="D31" s="400"/>
      <c r="E31" s="400"/>
      <c r="F31" s="400"/>
      <c r="G31" s="399"/>
      <c r="H31" s="399"/>
      <c r="I31" s="399"/>
      <c r="J31" s="399"/>
      <c r="K31" s="399"/>
      <c r="L31" s="399"/>
      <c r="M31" s="399"/>
      <c r="N31" s="399"/>
      <c r="O31" s="399"/>
      <c r="P31" s="399"/>
      <c r="Q31" s="399"/>
    </row>
    <row r="32" spans="1:17" ht="39.75" hidden="1" customHeight="1" x14ac:dyDescent="0.2">
      <c r="A32" s="104">
        <v>602200</v>
      </c>
      <c r="B32" s="105" t="s">
        <v>186</v>
      </c>
      <c r="C32" s="400">
        <f>SUM(D32:E32)</f>
        <v>0</v>
      </c>
      <c r="D32" s="400"/>
      <c r="E32" s="400"/>
      <c r="F32" s="103"/>
      <c r="G32" s="399"/>
      <c r="H32" s="399"/>
      <c r="I32" s="399"/>
      <c r="J32" s="399"/>
      <c r="K32" s="399"/>
      <c r="L32" s="399"/>
      <c r="M32" s="399"/>
      <c r="N32" s="399"/>
      <c r="O32" s="399"/>
      <c r="P32" s="399"/>
      <c r="Q32" s="399"/>
    </row>
    <row r="33" spans="1:17" ht="52.5" customHeight="1" x14ac:dyDescent="0.2">
      <c r="A33" s="104">
        <v>602400</v>
      </c>
      <c r="B33" s="105" t="s">
        <v>180</v>
      </c>
      <c r="C33" s="103">
        <v>0</v>
      </c>
      <c r="D33" s="103">
        <v>-228528217</v>
      </c>
      <c r="E33" s="103">
        <v>228528217</v>
      </c>
      <c r="F33" s="103">
        <v>228528217</v>
      </c>
      <c r="G33" s="399"/>
      <c r="H33" s="399"/>
      <c r="I33" s="399"/>
      <c r="J33" s="399"/>
      <c r="K33" s="399"/>
      <c r="L33" s="399"/>
      <c r="M33" s="399"/>
      <c r="N33" s="399"/>
      <c r="O33" s="399"/>
      <c r="P33" s="399"/>
      <c r="Q33" s="399"/>
    </row>
    <row r="34" spans="1:17" x14ac:dyDescent="0.2">
      <c r="A34" s="160" t="s">
        <v>665</v>
      </c>
      <c r="B34" s="137" t="s">
        <v>664</v>
      </c>
      <c r="C34" s="103">
        <f>D34+E34</f>
        <v>-2128333</v>
      </c>
      <c r="D34" s="103">
        <v>-228528217</v>
      </c>
      <c r="E34" s="103">
        <v>226399884</v>
      </c>
      <c r="F34" s="103">
        <v>226399884</v>
      </c>
      <c r="G34" s="399"/>
      <c r="H34" s="399"/>
      <c r="I34" s="399"/>
      <c r="J34" s="399"/>
      <c r="K34" s="399"/>
      <c r="L34" s="399"/>
      <c r="M34" s="399"/>
      <c r="N34" s="399"/>
      <c r="O34" s="399"/>
      <c r="P34" s="399"/>
      <c r="Q34" s="399"/>
    </row>
    <row r="35" spans="1:17" x14ac:dyDescent="0.2">
      <c r="A35" s="148"/>
      <c r="B35" s="148"/>
      <c r="C35" s="148"/>
      <c r="D35" s="148"/>
      <c r="E35" s="148"/>
      <c r="F35" s="148"/>
      <c r="G35" s="148"/>
      <c r="H35" s="148"/>
      <c r="I35" s="148"/>
    </row>
    <row r="36" spans="1:17" x14ac:dyDescent="0.2">
      <c r="A36" s="148"/>
      <c r="B36" s="434" t="s">
        <v>799</v>
      </c>
      <c r="C36" s="434"/>
      <c r="D36" s="435"/>
      <c r="E36" s="148"/>
      <c r="F36" s="148" t="s">
        <v>800</v>
      </c>
      <c r="G36" s="148"/>
      <c r="H36" s="148"/>
      <c r="I36" s="148"/>
    </row>
    <row r="37" spans="1:17" x14ac:dyDescent="0.2">
      <c r="A37" s="148"/>
      <c r="B37" s="393"/>
      <c r="C37" s="393"/>
      <c r="D37" s="148"/>
      <c r="E37" s="148"/>
      <c r="F37" s="148"/>
      <c r="G37" s="148"/>
      <c r="H37" s="148"/>
      <c r="I37" s="148"/>
    </row>
    <row r="38" spans="1:17" x14ac:dyDescent="0.2">
      <c r="A38" s="247" t="s">
        <v>674</v>
      </c>
      <c r="B38" s="247"/>
      <c r="C38" s="247"/>
      <c r="E38" s="247"/>
      <c r="F38" s="148" t="s">
        <v>673</v>
      </c>
      <c r="G38" s="247"/>
      <c r="H38" s="247"/>
      <c r="I38" s="247"/>
    </row>
    <row r="39" spans="1:17" x14ac:dyDescent="0.2">
      <c r="F39" s="148"/>
    </row>
  </sheetData>
  <mergeCells count="9">
    <mergeCell ref="A11:B11"/>
    <mergeCell ref="A21:B21"/>
    <mergeCell ref="B36:D36"/>
    <mergeCell ref="A5:F5"/>
    <mergeCell ref="A8:A9"/>
    <mergeCell ref="B8:B9"/>
    <mergeCell ref="C8:C9"/>
    <mergeCell ref="D8:D9"/>
    <mergeCell ref="E8:F8"/>
  </mergeCells>
  <pageMargins left="1.1811023622047245" right="0.44" top="0.39370078740157483" bottom="0.19685039370078741" header="0.39370078740157483" footer="0.15748031496062992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188"/>
  <sheetViews>
    <sheetView tabSelected="1" view="pageBreakPreview" zoomScale="25" zoomScaleNormal="25" zoomScaleSheetLayoutView="25" zoomScalePageLayoutView="10" workbookViewId="0">
      <pane ySplit="11" topLeftCell="A163" activePane="bottomLeft" state="frozen"/>
      <selection activeCell="K153" sqref="K153"/>
      <selection pane="bottomLeft" activeCell="K9" sqref="K9:K10"/>
    </sheetView>
  </sheetViews>
  <sheetFormatPr defaultRowHeight="12.75" x14ac:dyDescent="0.2"/>
  <cols>
    <col min="1" max="1" width="48" style="1" customWidth="1"/>
    <col min="2" max="2" width="52.5703125" style="1" customWidth="1"/>
    <col min="3" max="3" width="65.7109375" style="1" customWidth="1"/>
    <col min="4" max="4" width="106.28515625" style="1" customWidth="1"/>
    <col min="5" max="5" width="66.42578125" style="6" customWidth="1"/>
    <col min="6" max="6" width="58.5703125" style="1" customWidth="1"/>
    <col min="7" max="7" width="55.42578125" style="1" customWidth="1"/>
    <col min="8" max="8" width="48.140625" style="1" customWidth="1"/>
    <col min="9" max="9" width="32.7109375" style="1" customWidth="1"/>
    <col min="10" max="10" width="50.5703125" style="6" customWidth="1"/>
    <col min="11" max="11" width="52.5703125" style="6" customWidth="1"/>
    <col min="12" max="12" width="56.140625" style="1" customWidth="1"/>
    <col min="13" max="13" width="54.85546875" style="1" customWidth="1"/>
    <col min="14" max="14" width="45.28515625" style="1" bestFit="1" customWidth="1"/>
    <col min="15" max="15" width="45.28515625" style="1" hidden="1" customWidth="1"/>
    <col min="16" max="16" width="52.7109375" style="1" bestFit="1" customWidth="1"/>
    <col min="17" max="17" width="86.28515625" style="6" customWidth="1"/>
    <col min="18" max="18" width="52.140625" customWidth="1"/>
    <col min="19" max="19" width="66.42578125" bestFit="1" customWidth="1"/>
    <col min="21" max="21" width="24.7109375" bestFit="1" customWidth="1"/>
  </cols>
  <sheetData>
    <row r="1" spans="1:19" ht="45.75" x14ac:dyDescent="0.2">
      <c r="D1" s="8"/>
      <c r="E1" s="279"/>
      <c r="F1" s="277"/>
      <c r="G1" s="279"/>
      <c r="H1" s="279"/>
      <c r="I1" s="279"/>
      <c r="J1" s="279"/>
      <c r="K1" s="279"/>
      <c r="L1" s="279"/>
      <c r="M1" s="279"/>
      <c r="N1" s="279"/>
      <c r="O1" s="459" t="s">
        <v>89</v>
      </c>
      <c r="P1" s="459"/>
      <c r="Q1" s="459"/>
    </row>
    <row r="2" spans="1:19" ht="45.75" x14ac:dyDescent="0.2">
      <c r="A2" s="8"/>
      <c r="B2" s="8"/>
      <c r="C2" s="8"/>
      <c r="D2" s="8"/>
      <c r="E2" s="279"/>
      <c r="F2" s="277"/>
      <c r="G2" s="279"/>
      <c r="H2" s="279"/>
      <c r="I2" s="279"/>
      <c r="J2" s="279"/>
      <c r="K2" s="279"/>
      <c r="L2" s="279"/>
      <c r="M2" s="279"/>
      <c r="N2" s="279"/>
      <c r="O2" s="459" t="s">
        <v>629</v>
      </c>
      <c r="P2" s="459"/>
      <c r="Q2" s="460"/>
    </row>
    <row r="3" spans="1:19" ht="40.5" customHeight="1" x14ac:dyDescent="0.2">
      <c r="A3" s="8"/>
      <c r="B3" s="8"/>
      <c r="C3" s="8"/>
      <c r="D3" s="8"/>
      <c r="E3" s="279"/>
      <c r="F3" s="277"/>
      <c r="G3" s="279"/>
      <c r="H3" s="279"/>
      <c r="I3" s="279"/>
      <c r="J3" s="279"/>
      <c r="K3" s="279"/>
      <c r="L3" s="279"/>
      <c r="M3" s="279"/>
      <c r="N3" s="279"/>
      <c r="O3" s="459"/>
      <c r="P3" s="459"/>
      <c r="Q3" s="460"/>
    </row>
    <row r="4" spans="1:19" ht="45.75" hidden="1" x14ac:dyDescent="0.2">
      <c r="A4" s="8"/>
      <c r="B4" s="8"/>
      <c r="C4" s="8"/>
      <c r="D4" s="8"/>
      <c r="E4" s="279"/>
      <c r="F4" s="277"/>
      <c r="G4" s="279"/>
      <c r="H4" s="279"/>
      <c r="I4" s="279"/>
      <c r="J4" s="279"/>
      <c r="K4" s="279"/>
      <c r="L4" s="279"/>
      <c r="M4" s="279"/>
      <c r="N4" s="279"/>
      <c r="O4" s="278"/>
      <c r="P4" s="388"/>
      <c r="Q4" s="10"/>
    </row>
    <row r="5" spans="1:19" ht="45" x14ac:dyDescent="0.2">
      <c r="A5" s="462" t="s">
        <v>88</v>
      </c>
      <c r="B5" s="462"/>
      <c r="C5" s="462"/>
      <c r="D5" s="462"/>
      <c r="E5" s="462"/>
      <c r="F5" s="462"/>
      <c r="G5" s="462"/>
      <c r="H5" s="462"/>
      <c r="I5" s="462"/>
      <c r="J5" s="462"/>
      <c r="K5" s="462"/>
      <c r="L5" s="462"/>
      <c r="M5" s="462"/>
      <c r="N5" s="462"/>
      <c r="O5" s="462"/>
      <c r="P5" s="462"/>
      <c r="Q5" s="462"/>
    </row>
    <row r="6" spans="1:19" ht="45" x14ac:dyDescent="0.2">
      <c r="A6" s="462" t="s">
        <v>671</v>
      </c>
      <c r="B6" s="462"/>
      <c r="C6" s="462"/>
      <c r="D6" s="462"/>
      <c r="E6" s="462"/>
      <c r="F6" s="462"/>
      <c r="G6" s="462"/>
      <c r="H6" s="462"/>
      <c r="I6" s="462"/>
      <c r="J6" s="462"/>
      <c r="K6" s="462"/>
      <c r="L6" s="462"/>
      <c r="M6" s="462"/>
      <c r="N6" s="462"/>
      <c r="O6" s="462"/>
      <c r="P6" s="462"/>
      <c r="Q6" s="462"/>
    </row>
    <row r="7" spans="1:19" ht="53.25" customHeight="1" x14ac:dyDescent="0.2">
      <c r="A7" s="9"/>
      <c r="B7" s="9"/>
      <c r="C7" s="9"/>
      <c r="D7" s="9"/>
      <c r="E7" s="279"/>
      <c r="F7" s="277"/>
      <c r="G7" s="279"/>
      <c r="H7" s="279"/>
      <c r="I7" s="279"/>
      <c r="J7" s="279"/>
      <c r="K7" s="279"/>
      <c r="L7" s="279"/>
      <c r="M7" s="279"/>
      <c r="N7" s="279"/>
      <c r="O7" s="279"/>
      <c r="P7" s="389"/>
      <c r="Q7" s="11" t="s">
        <v>672</v>
      </c>
    </row>
    <row r="8" spans="1:19" ht="62.25" customHeight="1" x14ac:dyDescent="0.2">
      <c r="A8" s="464" t="s">
        <v>29</v>
      </c>
      <c r="B8" s="464" t="s">
        <v>675</v>
      </c>
      <c r="C8" s="464" t="s">
        <v>682</v>
      </c>
      <c r="D8" s="464" t="s">
        <v>676</v>
      </c>
      <c r="E8" s="461" t="s">
        <v>25</v>
      </c>
      <c r="F8" s="461"/>
      <c r="G8" s="461"/>
      <c r="H8" s="461"/>
      <c r="I8" s="461"/>
      <c r="J8" s="468" t="s">
        <v>84</v>
      </c>
      <c r="K8" s="469"/>
      <c r="L8" s="469"/>
      <c r="M8" s="469"/>
      <c r="N8" s="469"/>
      <c r="O8" s="469"/>
      <c r="P8" s="470"/>
      <c r="Q8" s="461" t="s">
        <v>24</v>
      </c>
    </row>
    <row r="9" spans="1:19" ht="255" customHeight="1" x14ac:dyDescent="0.2">
      <c r="A9" s="465"/>
      <c r="B9" s="467"/>
      <c r="C9" s="467"/>
      <c r="D9" s="465"/>
      <c r="E9" s="463" t="s">
        <v>668</v>
      </c>
      <c r="F9" s="463" t="s">
        <v>85</v>
      </c>
      <c r="G9" s="463" t="s">
        <v>26</v>
      </c>
      <c r="H9" s="463"/>
      <c r="I9" s="463" t="s">
        <v>87</v>
      </c>
      <c r="J9" s="463" t="s">
        <v>668</v>
      </c>
      <c r="K9" s="463" t="s">
        <v>669</v>
      </c>
      <c r="L9" s="463" t="s">
        <v>85</v>
      </c>
      <c r="M9" s="463" t="s">
        <v>26</v>
      </c>
      <c r="N9" s="463"/>
      <c r="O9" s="463" t="s">
        <v>87</v>
      </c>
      <c r="P9" s="463" t="s">
        <v>87</v>
      </c>
      <c r="Q9" s="461"/>
    </row>
    <row r="10" spans="1:19" ht="135" x14ac:dyDescent="0.2">
      <c r="A10" s="466"/>
      <c r="B10" s="466"/>
      <c r="C10" s="466"/>
      <c r="D10" s="466"/>
      <c r="E10" s="463"/>
      <c r="F10" s="463"/>
      <c r="G10" s="280" t="s">
        <v>86</v>
      </c>
      <c r="H10" s="280" t="s">
        <v>28</v>
      </c>
      <c r="I10" s="463"/>
      <c r="J10" s="463"/>
      <c r="K10" s="463"/>
      <c r="L10" s="463"/>
      <c r="M10" s="280" t="s">
        <v>86</v>
      </c>
      <c r="N10" s="280" t="s">
        <v>28</v>
      </c>
      <c r="O10" s="463"/>
      <c r="P10" s="463"/>
      <c r="Q10" s="461"/>
    </row>
    <row r="11" spans="1:19" s="2" customFormat="1" ht="111" customHeight="1" x14ac:dyDescent="0.2">
      <c r="A11" s="12" t="s">
        <v>4</v>
      </c>
      <c r="B11" s="12" t="s">
        <v>5</v>
      </c>
      <c r="C11" s="12" t="s">
        <v>27</v>
      </c>
      <c r="D11" s="12" t="s">
        <v>7</v>
      </c>
      <c r="E11" s="12" t="s">
        <v>685</v>
      </c>
      <c r="F11" s="12" t="s">
        <v>686</v>
      </c>
      <c r="G11" s="12" t="s">
        <v>687</v>
      </c>
      <c r="H11" s="12" t="s">
        <v>688</v>
      </c>
      <c r="I11" s="12" t="s">
        <v>689</v>
      </c>
      <c r="J11" s="12" t="s">
        <v>690</v>
      </c>
      <c r="K11" s="12" t="s">
        <v>691</v>
      </c>
      <c r="L11" s="12" t="s">
        <v>692</v>
      </c>
      <c r="M11" s="12" t="s">
        <v>693</v>
      </c>
      <c r="N11" s="12" t="s">
        <v>694</v>
      </c>
      <c r="O11" s="12" t="s">
        <v>695</v>
      </c>
      <c r="P11" s="12" t="s">
        <v>695</v>
      </c>
      <c r="Q11" s="12" t="s">
        <v>696</v>
      </c>
    </row>
    <row r="12" spans="1:19" s="2" customFormat="1" ht="135" x14ac:dyDescent="0.2">
      <c r="A12" s="290" t="s">
        <v>235</v>
      </c>
      <c r="B12" s="290"/>
      <c r="C12" s="290"/>
      <c r="D12" s="355" t="s">
        <v>237</v>
      </c>
      <c r="E12" s="373">
        <f>E13</f>
        <v>85998150</v>
      </c>
      <c r="F12" s="373">
        <f t="shared" ref="F12:N12" si="0">F13</f>
        <v>85998150</v>
      </c>
      <c r="G12" s="373">
        <f t="shared" si="0"/>
        <v>54985000</v>
      </c>
      <c r="H12" s="373">
        <f t="shared" si="0"/>
        <v>2450700</v>
      </c>
      <c r="I12" s="373">
        <f t="shared" si="0"/>
        <v>0</v>
      </c>
      <c r="J12" s="373">
        <f t="shared" si="0"/>
        <v>3985100</v>
      </c>
      <c r="K12" s="373">
        <f t="shared" si="0"/>
        <v>1710000</v>
      </c>
      <c r="L12" s="373">
        <f t="shared" si="0"/>
        <v>2225100</v>
      </c>
      <c r="M12" s="373">
        <f t="shared" si="0"/>
        <v>0</v>
      </c>
      <c r="N12" s="373">
        <f t="shared" si="0"/>
        <v>0</v>
      </c>
      <c r="O12" s="373">
        <f t="shared" ref="O12:Q12" si="1">O13</f>
        <v>50000</v>
      </c>
      <c r="P12" s="373">
        <f>K12+O12</f>
        <v>1760000</v>
      </c>
      <c r="Q12" s="373">
        <f t="shared" si="1"/>
        <v>89983250</v>
      </c>
    </row>
    <row r="13" spans="1:19" s="2" customFormat="1" ht="135" x14ac:dyDescent="0.2">
      <c r="A13" s="294" t="s">
        <v>236</v>
      </c>
      <c r="B13" s="294"/>
      <c r="C13" s="294"/>
      <c r="D13" s="356" t="s">
        <v>238</v>
      </c>
      <c r="E13" s="292">
        <f>SUM(E14:E21)</f>
        <v>85998150</v>
      </c>
      <c r="F13" s="292">
        <f>SUM(F14:F21)</f>
        <v>85998150</v>
      </c>
      <c r="G13" s="292">
        <f>SUM(G14:G21)</f>
        <v>54985000</v>
      </c>
      <c r="H13" s="292">
        <f>SUM(H14:H21)</f>
        <v>2450700</v>
      </c>
      <c r="I13" s="292">
        <f>SUM(I14:I21)</f>
        <v>0</v>
      </c>
      <c r="J13" s="292">
        <f>L13+P13</f>
        <v>3985100</v>
      </c>
      <c r="K13" s="292">
        <f>SUM(K14:K21)</f>
        <v>1710000</v>
      </c>
      <c r="L13" s="292">
        <f>SUM(L14:L21)</f>
        <v>2225100</v>
      </c>
      <c r="M13" s="292">
        <f>SUM(M14:M21)</f>
        <v>0</v>
      </c>
      <c r="N13" s="292">
        <f>SUM(N14:N21)</f>
        <v>0</v>
      </c>
      <c r="O13" s="292">
        <f>SUM(O14:O21)</f>
        <v>50000</v>
      </c>
      <c r="P13" s="386">
        <f t="shared" ref="P13:P75" si="2">K13+O13</f>
        <v>1760000</v>
      </c>
      <c r="Q13" s="292">
        <f>E13+J13</f>
        <v>89983250</v>
      </c>
      <c r="R13" s="166" t="b">
        <f>Q14+Q15+Q16+Q17+Q20+Q21+Q18=Q13</f>
        <v>1</v>
      </c>
      <c r="S13" s="166" t="b">
        <f>K13='dod5'!I6</f>
        <v>1</v>
      </c>
    </row>
    <row r="14" spans="1:19" ht="320.25" x14ac:dyDescent="0.2">
      <c r="A14" s="343" t="s">
        <v>340</v>
      </c>
      <c r="B14" s="343" t="s">
        <v>341</v>
      </c>
      <c r="C14" s="343" t="s">
        <v>342</v>
      </c>
      <c r="D14" s="343" t="s">
        <v>339</v>
      </c>
      <c r="E14" s="345">
        <f t="shared" ref="E14:E21" si="3">F14</f>
        <v>77586750</v>
      </c>
      <c r="F14" s="133">
        <v>77586750</v>
      </c>
      <c r="G14" s="133">
        <v>54985000</v>
      </c>
      <c r="H14" s="133">
        <v>2450700</v>
      </c>
      <c r="I14" s="133"/>
      <c r="J14" s="345">
        <f>L14+P14</f>
        <v>210000</v>
      </c>
      <c r="K14" s="133">
        <v>210000</v>
      </c>
      <c r="L14" s="181"/>
      <c r="M14" s="359"/>
      <c r="N14" s="359"/>
      <c r="O14" s="346">
        <v>0</v>
      </c>
      <c r="P14" s="396">
        <f t="shared" si="2"/>
        <v>210000</v>
      </c>
      <c r="Q14" s="345">
        <f>+J14+E14</f>
        <v>77796750</v>
      </c>
    </row>
    <row r="15" spans="1:19" ht="91.5" x14ac:dyDescent="0.2">
      <c r="A15" s="343" t="s">
        <v>356</v>
      </c>
      <c r="B15" s="343" t="s">
        <v>71</v>
      </c>
      <c r="C15" s="343" t="s">
        <v>70</v>
      </c>
      <c r="D15" s="343" t="s">
        <v>357</v>
      </c>
      <c r="E15" s="345">
        <f t="shared" ref="E15:E18" si="4">F15</f>
        <v>1305000</v>
      </c>
      <c r="F15" s="346">
        <v>1305000</v>
      </c>
      <c r="G15" s="346"/>
      <c r="H15" s="346"/>
      <c r="I15" s="346"/>
      <c r="J15" s="390">
        <f t="shared" ref="J15:J21" si="5">L15+P15</f>
        <v>0</v>
      </c>
      <c r="K15" s="346"/>
      <c r="L15" s="346"/>
      <c r="M15" s="346"/>
      <c r="N15" s="346"/>
      <c r="O15" s="346"/>
      <c r="P15" s="396">
        <f t="shared" si="2"/>
        <v>0</v>
      </c>
      <c r="Q15" s="345">
        <f>E15+J15</f>
        <v>1305000</v>
      </c>
    </row>
    <row r="16" spans="1:19" ht="91.5" x14ac:dyDescent="0.2">
      <c r="A16" s="343" t="s">
        <v>346</v>
      </c>
      <c r="B16" s="343" t="s">
        <v>347</v>
      </c>
      <c r="C16" s="343" t="s">
        <v>348</v>
      </c>
      <c r="D16" s="343" t="s">
        <v>345</v>
      </c>
      <c r="E16" s="345">
        <f t="shared" si="4"/>
        <v>3236400</v>
      </c>
      <c r="F16" s="346">
        <v>3236400</v>
      </c>
      <c r="G16" s="346">
        <f>H16+I16</f>
        <v>0</v>
      </c>
      <c r="H16" s="346"/>
      <c r="I16" s="346"/>
      <c r="J16" s="390">
        <f t="shared" si="5"/>
        <v>1500000</v>
      </c>
      <c r="K16" s="346">
        <v>1500000</v>
      </c>
      <c r="L16" s="346"/>
      <c r="M16" s="346"/>
      <c r="N16" s="346"/>
      <c r="O16" s="346"/>
      <c r="P16" s="396">
        <f t="shared" si="2"/>
        <v>1500000</v>
      </c>
      <c r="Q16" s="345">
        <f>+J16+E16</f>
        <v>4736400</v>
      </c>
    </row>
    <row r="17" spans="1:21" ht="137.25" x14ac:dyDescent="0.2">
      <c r="A17" s="343" t="s">
        <v>448</v>
      </c>
      <c r="B17" s="343" t="s">
        <v>449</v>
      </c>
      <c r="C17" s="343" t="s">
        <v>257</v>
      </c>
      <c r="D17" s="342" t="s">
        <v>447</v>
      </c>
      <c r="E17" s="345">
        <f t="shared" si="4"/>
        <v>165000</v>
      </c>
      <c r="F17" s="346">
        <v>165000</v>
      </c>
      <c r="G17" s="346"/>
      <c r="H17" s="346"/>
      <c r="I17" s="346"/>
      <c r="J17" s="390">
        <f t="shared" si="5"/>
        <v>0</v>
      </c>
      <c r="K17" s="346"/>
      <c r="L17" s="346"/>
      <c r="M17" s="346"/>
      <c r="N17" s="346"/>
      <c r="O17" s="346"/>
      <c r="P17" s="396">
        <f t="shared" si="2"/>
        <v>0</v>
      </c>
      <c r="Q17" s="345">
        <f>+J17+E17</f>
        <v>165000</v>
      </c>
    </row>
    <row r="18" spans="1:21" s="146" customFormat="1" ht="409.5" x14ac:dyDescent="0.2">
      <c r="A18" s="442" t="s">
        <v>542</v>
      </c>
      <c r="B18" s="442" t="s">
        <v>541</v>
      </c>
      <c r="C18" s="442" t="s">
        <v>257</v>
      </c>
      <c r="D18" s="360" t="s">
        <v>552</v>
      </c>
      <c r="E18" s="440">
        <f t="shared" si="4"/>
        <v>0</v>
      </c>
      <c r="F18" s="444"/>
      <c r="G18" s="444"/>
      <c r="H18" s="444"/>
      <c r="I18" s="444"/>
      <c r="J18" s="447">
        <f t="shared" si="5"/>
        <v>2275100</v>
      </c>
      <c r="K18" s="444"/>
      <c r="L18" s="444">
        <v>2225100</v>
      </c>
      <c r="M18" s="444"/>
      <c r="N18" s="444"/>
      <c r="O18" s="444">
        <v>50000</v>
      </c>
      <c r="P18" s="448">
        <f t="shared" si="2"/>
        <v>50000</v>
      </c>
      <c r="Q18" s="440">
        <f>E18+J18</f>
        <v>2275100</v>
      </c>
      <c r="R18" s="408">
        <f>Q18</f>
        <v>2275100</v>
      </c>
    </row>
    <row r="19" spans="1:21" s="146" customFormat="1" ht="137.25" x14ac:dyDescent="0.2">
      <c r="A19" s="443"/>
      <c r="B19" s="443"/>
      <c r="C19" s="443"/>
      <c r="D19" s="370" t="s">
        <v>553</v>
      </c>
      <c r="E19" s="441"/>
      <c r="F19" s="445"/>
      <c r="G19" s="445"/>
      <c r="H19" s="445"/>
      <c r="I19" s="445"/>
      <c r="J19" s="439"/>
      <c r="K19" s="443"/>
      <c r="L19" s="445"/>
      <c r="M19" s="445"/>
      <c r="N19" s="445"/>
      <c r="O19" s="445"/>
      <c r="P19" s="449"/>
      <c r="Q19" s="441"/>
    </row>
    <row r="20" spans="1:21" ht="91.5" x14ac:dyDescent="0.2">
      <c r="A20" s="343" t="s">
        <v>349</v>
      </c>
      <c r="B20" s="343" t="s">
        <v>350</v>
      </c>
      <c r="C20" s="343" t="s">
        <v>351</v>
      </c>
      <c r="D20" s="342" t="s">
        <v>352</v>
      </c>
      <c r="E20" s="345">
        <f>F20</f>
        <v>3515000</v>
      </c>
      <c r="F20" s="346">
        <v>3515000</v>
      </c>
      <c r="G20" s="346"/>
      <c r="H20" s="346"/>
      <c r="I20" s="346"/>
      <c r="J20" s="390">
        <f t="shared" si="5"/>
        <v>0</v>
      </c>
      <c r="K20" s="346"/>
      <c r="L20" s="346"/>
      <c r="M20" s="346"/>
      <c r="N20" s="346"/>
      <c r="O20" s="346"/>
      <c r="P20" s="396">
        <f t="shared" si="2"/>
        <v>0</v>
      </c>
      <c r="Q20" s="345">
        <f>E20+J20</f>
        <v>3515000</v>
      </c>
    </row>
    <row r="21" spans="1:21" ht="274.5" x14ac:dyDescent="0.2">
      <c r="A21" s="343" t="s">
        <v>353</v>
      </c>
      <c r="B21" s="343" t="s">
        <v>354</v>
      </c>
      <c r="C21" s="343" t="s">
        <v>71</v>
      </c>
      <c r="D21" s="343" t="s">
        <v>355</v>
      </c>
      <c r="E21" s="345">
        <f t="shared" si="3"/>
        <v>190000</v>
      </c>
      <c r="F21" s="346">
        <v>190000</v>
      </c>
      <c r="G21" s="346"/>
      <c r="H21" s="346"/>
      <c r="I21" s="346"/>
      <c r="J21" s="390">
        <f t="shared" si="5"/>
        <v>0</v>
      </c>
      <c r="K21" s="346"/>
      <c r="L21" s="346"/>
      <c r="M21" s="346"/>
      <c r="N21" s="346"/>
      <c r="O21" s="346"/>
      <c r="P21" s="396">
        <f t="shared" si="2"/>
        <v>0</v>
      </c>
      <c r="Q21" s="345">
        <f>E21+J21</f>
        <v>190000</v>
      </c>
    </row>
    <row r="22" spans="1:21" ht="135" x14ac:dyDescent="0.2">
      <c r="A22" s="290" t="s">
        <v>239</v>
      </c>
      <c r="B22" s="290"/>
      <c r="C22" s="290"/>
      <c r="D22" s="355" t="s">
        <v>0</v>
      </c>
      <c r="E22" s="373">
        <f>E23</f>
        <v>955304293</v>
      </c>
      <c r="F22" s="373">
        <f t="shared" ref="F22" si="6">F23</f>
        <v>955304293</v>
      </c>
      <c r="G22" s="373">
        <f t="shared" ref="G22" si="7">G23</f>
        <v>644533535</v>
      </c>
      <c r="H22" s="373">
        <f>H23</f>
        <v>68543703</v>
      </c>
      <c r="I22" s="373">
        <f t="shared" ref="I22" si="8">I23</f>
        <v>0</v>
      </c>
      <c r="J22" s="373">
        <f>J23</f>
        <v>116070990</v>
      </c>
      <c r="K22" s="373">
        <f>K23</f>
        <v>13109000</v>
      </c>
      <c r="L22" s="373">
        <f>L23</f>
        <v>101650540</v>
      </c>
      <c r="M22" s="373">
        <f t="shared" ref="M22" si="9">M23</f>
        <v>26627480</v>
      </c>
      <c r="N22" s="373">
        <f>N23</f>
        <v>8054210</v>
      </c>
      <c r="O22" s="291">
        <f t="shared" ref="O22:Q22" si="10">O23</f>
        <v>1311450</v>
      </c>
      <c r="P22" s="373">
        <f>K22+O22</f>
        <v>14420450</v>
      </c>
      <c r="Q22" s="291">
        <f t="shared" si="10"/>
        <v>1071375283</v>
      </c>
    </row>
    <row r="23" spans="1:21" ht="135" x14ac:dyDescent="0.2">
      <c r="A23" s="294" t="s">
        <v>240</v>
      </c>
      <c r="B23" s="294"/>
      <c r="C23" s="294"/>
      <c r="D23" s="356" t="s">
        <v>1</v>
      </c>
      <c r="E23" s="292">
        <f>SUM(E24:E32)</f>
        <v>955304293</v>
      </c>
      <c r="F23" s="292">
        <f t="shared" ref="F23:O23" si="11">SUM(F24:F32)</f>
        <v>955304293</v>
      </c>
      <c r="G23" s="292">
        <f>SUM(G24:G32)</f>
        <v>644533535</v>
      </c>
      <c r="H23" s="292">
        <f t="shared" si="11"/>
        <v>68543703</v>
      </c>
      <c r="I23" s="292">
        <f t="shared" si="11"/>
        <v>0</v>
      </c>
      <c r="J23" s="292">
        <f>L23+P23</f>
        <v>116070990</v>
      </c>
      <c r="K23" s="292">
        <f t="shared" si="11"/>
        <v>13109000</v>
      </c>
      <c r="L23" s="292">
        <f t="shared" si="11"/>
        <v>101650540</v>
      </c>
      <c r="M23" s="292">
        <f t="shared" si="11"/>
        <v>26627480</v>
      </c>
      <c r="N23" s="292">
        <f t="shared" si="11"/>
        <v>8054210</v>
      </c>
      <c r="O23" s="292">
        <f t="shared" si="11"/>
        <v>1311450</v>
      </c>
      <c r="P23" s="386">
        <f t="shared" si="2"/>
        <v>14420450</v>
      </c>
      <c r="Q23" s="292">
        <f>E23+J23</f>
        <v>1071375283</v>
      </c>
      <c r="R23" s="166" t="b">
        <f>Q23=Q24+Q25+Q26+Q27+Q28+Q29+Q30+Q31+Q32</f>
        <v>1</v>
      </c>
      <c r="S23" s="166" t="b">
        <f>K23='dod5'!I11</f>
        <v>1</v>
      </c>
    </row>
    <row r="24" spans="1:21" ht="46.5" x14ac:dyDescent="0.55000000000000004">
      <c r="A24" s="343" t="s">
        <v>297</v>
      </c>
      <c r="B24" s="343" t="s">
        <v>298</v>
      </c>
      <c r="C24" s="343" t="s">
        <v>300</v>
      </c>
      <c r="D24" s="343" t="s">
        <v>301</v>
      </c>
      <c r="E24" s="345">
        <f>F24</f>
        <v>259096280</v>
      </c>
      <c r="F24" s="346">
        <f>165508870+36411952+4442800+121320+24563500+1338350+273720+18519120+1241048+6540100+35500+100000</f>
        <v>259096280</v>
      </c>
      <c r="G24" s="346">
        <v>165508870</v>
      </c>
      <c r="H24" s="346">
        <f>18519120+1241048+6540100</f>
        <v>26300268</v>
      </c>
      <c r="I24" s="346"/>
      <c r="J24" s="390">
        <f t="shared" ref="J24:J85" si="12">L24+P24</f>
        <v>42872420</v>
      </c>
      <c r="K24" s="346">
        <f>252000+2500000</f>
        <v>2752000</v>
      </c>
      <c r="L24" s="346">
        <v>39787420</v>
      </c>
      <c r="M24" s="346">
        <v>7603840</v>
      </c>
      <c r="N24" s="346">
        <v>826450</v>
      </c>
      <c r="O24" s="346">
        <v>333000</v>
      </c>
      <c r="P24" s="396">
        <f t="shared" si="2"/>
        <v>3085000</v>
      </c>
      <c r="Q24" s="345">
        <f t="shared" ref="Q24:Q32" si="13">E24+J24</f>
        <v>301968700</v>
      </c>
      <c r="R24" s="15"/>
      <c r="S24" s="15"/>
    </row>
    <row r="25" spans="1:21" ht="366" x14ac:dyDescent="0.55000000000000004">
      <c r="A25" s="343" t="s">
        <v>303</v>
      </c>
      <c r="B25" s="343" t="s">
        <v>299</v>
      </c>
      <c r="C25" s="343" t="s">
        <v>304</v>
      </c>
      <c r="D25" s="343" t="s">
        <v>633</v>
      </c>
      <c r="E25" s="345">
        <f t="shared" ref="E25:E31" si="14">F25</f>
        <v>531289067</v>
      </c>
      <c r="F25" s="346">
        <f>377515910+83053501+7371100+178740+32183400+3499459+415560+30995614+945670+7256140+593970+178740+8163+2093100-15000000</f>
        <v>531289067</v>
      </c>
      <c r="G25" s="346">
        <v>377515910</v>
      </c>
      <c r="H25" s="346">
        <f>30995614+945670+7256140+593970-15000000</f>
        <v>24791394</v>
      </c>
      <c r="I25" s="346"/>
      <c r="J25" s="390">
        <f t="shared" si="12"/>
        <v>44968360</v>
      </c>
      <c r="K25" s="346">
        <f>171000+2450000+400000</f>
        <v>3021000</v>
      </c>
      <c r="L25" s="346">
        <v>41102910</v>
      </c>
      <c r="M25" s="346">
        <v>13732800</v>
      </c>
      <c r="N25" s="346">
        <v>963180</v>
      </c>
      <c r="O25" s="346">
        <v>844450</v>
      </c>
      <c r="P25" s="396">
        <f t="shared" si="2"/>
        <v>3865450</v>
      </c>
      <c r="Q25" s="345">
        <f t="shared" si="13"/>
        <v>576257427</v>
      </c>
      <c r="R25" s="15"/>
      <c r="S25" s="15"/>
      <c r="U25" s="134"/>
    </row>
    <row r="26" spans="1:21" ht="366" x14ac:dyDescent="0.2">
      <c r="A26" s="343" t="s">
        <v>307</v>
      </c>
      <c r="B26" s="343" t="s">
        <v>306</v>
      </c>
      <c r="C26" s="343" t="s">
        <v>308</v>
      </c>
      <c r="D26" s="343" t="s">
        <v>32</v>
      </c>
      <c r="E26" s="345">
        <f t="shared" si="14"/>
        <v>16875606</v>
      </c>
      <c r="F26" s="346">
        <f>11987275+2637201+297700+3970+635400+74400+12000+1090080+19380+107800+5400+5000</f>
        <v>16875606</v>
      </c>
      <c r="G26" s="346">
        <v>11987275</v>
      </c>
      <c r="H26" s="346">
        <f>1090080+19380+107800</f>
        <v>1217260</v>
      </c>
      <c r="I26" s="346"/>
      <c r="J26" s="390">
        <f t="shared" si="12"/>
        <v>59000</v>
      </c>
      <c r="K26" s="346">
        <v>9000</v>
      </c>
      <c r="L26" s="346">
        <v>50000</v>
      </c>
      <c r="M26" s="346"/>
      <c r="N26" s="346">
        <v>29400</v>
      </c>
      <c r="O26" s="346"/>
      <c r="P26" s="396">
        <f t="shared" si="2"/>
        <v>9000</v>
      </c>
      <c r="Q26" s="345">
        <f t="shared" si="13"/>
        <v>16934606</v>
      </c>
    </row>
    <row r="27" spans="1:21" ht="183" x14ac:dyDescent="0.2">
      <c r="A27" s="343" t="s">
        <v>309</v>
      </c>
      <c r="B27" s="343" t="s">
        <v>288</v>
      </c>
      <c r="C27" s="343" t="s">
        <v>276</v>
      </c>
      <c r="D27" s="343" t="s">
        <v>33</v>
      </c>
      <c r="E27" s="345">
        <f t="shared" si="14"/>
        <v>27335937</v>
      </c>
      <c r="F27" s="346">
        <f>19190813+4221979+572200+13650+0+820000+23640+304700+1254870+46020+589810+263715+3840+30500+200</f>
        <v>27335937</v>
      </c>
      <c r="G27" s="346">
        <v>19190813</v>
      </c>
      <c r="H27" s="346">
        <f>1254870+46020+589810+263715</f>
        <v>2154415</v>
      </c>
      <c r="I27" s="346"/>
      <c r="J27" s="390">
        <f t="shared" si="12"/>
        <v>7031670</v>
      </c>
      <c r="K27" s="346">
        <f>18000+2000000+300000</f>
        <v>2318000</v>
      </c>
      <c r="L27" s="346">
        <v>4579670</v>
      </c>
      <c r="M27" s="346">
        <v>1037200</v>
      </c>
      <c r="N27" s="346">
        <v>348290</v>
      </c>
      <c r="O27" s="346">
        <v>134000</v>
      </c>
      <c r="P27" s="396">
        <f t="shared" si="2"/>
        <v>2452000</v>
      </c>
      <c r="Q27" s="345">
        <f t="shared" si="13"/>
        <v>34367607</v>
      </c>
    </row>
    <row r="28" spans="1:21" ht="137.25" x14ac:dyDescent="0.2">
      <c r="A28" s="343" t="s">
        <v>310</v>
      </c>
      <c r="B28" s="343" t="s">
        <v>311</v>
      </c>
      <c r="C28" s="343" t="s">
        <v>312</v>
      </c>
      <c r="D28" s="343" t="s">
        <v>313</v>
      </c>
      <c r="E28" s="345">
        <f t="shared" si="14"/>
        <v>99743470</v>
      </c>
      <c r="F28" s="346">
        <f>55361620+12179557+98200+14420+3078726+14900+65640+8051698+582633+3183200+1360000+15250000+502876</f>
        <v>99743470</v>
      </c>
      <c r="G28" s="346">
        <v>55361620</v>
      </c>
      <c r="H28" s="346">
        <f>8051698+582633+3183200+1360000</f>
        <v>13177531</v>
      </c>
      <c r="I28" s="346"/>
      <c r="J28" s="390">
        <f t="shared" si="12"/>
        <v>15728160</v>
      </c>
      <c r="K28" s="346"/>
      <c r="L28" s="346">
        <v>15728160</v>
      </c>
      <c r="M28" s="346">
        <v>4054000</v>
      </c>
      <c r="N28" s="346">
        <v>5883570</v>
      </c>
      <c r="O28" s="346"/>
      <c r="P28" s="396">
        <f t="shared" si="2"/>
        <v>0</v>
      </c>
      <c r="Q28" s="345">
        <f t="shared" si="13"/>
        <v>115471630</v>
      </c>
    </row>
    <row r="29" spans="1:21" ht="91.5" x14ac:dyDescent="0.2">
      <c r="A29" s="343" t="s">
        <v>315</v>
      </c>
      <c r="B29" s="343" t="s">
        <v>316</v>
      </c>
      <c r="C29" s="343" t="s">
        <v>317</v>
      </c>
      <c r="D29" s="343" t="s">
        <v>314</v>
      </c>
      <c r="E29" s="345">
        <f t="shared" si="14"/>
        <v>4604366</v>
      </c>
      <c r="F29" s="346">
        <f>3056197+672364+210900+430000+3120+40000+126900+4845+57140+400+2500</f>
        <v>4604366</v>
      </c>
      <c r="G29" s="346">
        <v>3056197</v>
      </c>
      <c r="H29" s="346">
        <f>126900+4845+57140</f>
        <v>188885</v>
      </c>
      <c r="I29" s="346"/>
      <c r="J29" s="390">
        <f t="shared" si="12"/>
        <v>73740</v>
      </c>
      <c r="K29" s="346"/>
      <c r="L29" s="346">
        <v>73740</v>
      </c>
      <c r="M29" s="346"/>
      <c r="N29" s="346"/>
      <c r="O29" s="346"/>
      <c r="P29" s="396">
        <f t="shared" si="2"/>
        <v>0</v>
      </c>
      <c r="Q29" s="345">
        <f t="shared" si="13"/>
        <v>4678106</v>
      </c>
    </row>
    <row r="30" spans="1:21" s="146" customFormat="1" ht="91.5" x14ac:dyDescent="0.2">
      <c r="A30" s="342" t="s">
        <v>506</v>
      </c>
      <c r="B30" s="342" t="s">
        <v>507</v>
      </c>
      <c r="C30" s="342" t="s">
        <v>317</v>
      </c>
      <c r="D30" s="342" t="s">
        <v>505</v>
      </c>
      <c r="E30" s="345">
        <f t="shared" si="14"/>
        <v>16210607</v>
      </c>
      <c r="F30" s="346">
        <f>11912850+2620827+577800+1200+362900+12480+440620+8475+262150+2705+4360+400+3840</f>
        <v>16210607</v>
      </c>
      <c r="G30" s="346">
        <v>11912850</v>
      </c>
      <c r="H30" s="346">
        <f>440620+8475+262150+2705</f>
        <v>713950</v>
      </c>
      <c r="I30" s="344"/>
      <c r="J30" s="390">
        <f t="shared" si="12"/>
        <v>337640</v>
      </c>
      <c r="K30" s="346">
        <v>9000</v>
      </c>
      <c r="L30" s="346">
        <v>328640</v>
      </c>
      <c r="M30" s="346">
        <v>199640</v>
      </c>
      <c r="N30" s="346">
        <v>3320</v>
      </c>
      <c r="O30" s="346"/>
      <c r="P30" s="396">
        <f t="shared" si="2"/>
        <v>9000</v>
      </c>
      <c r="Q30" s="345">
        <f t="shared" si="13"/>
        <v>16548247</v>
      </c>
    </row>
    <row r="31" spans="1:21" s="146" customFormat="1" ht="91.5" x14ac:dyDescent="0.2">
      <c r="A31" s="342" t="s">
        <v>539</v>
      </c>
      <c r="B31" s="342" t="s">
        <v>540</v>
      </c>
      <c r="C31" s="342" t="s">
        <v>317</v>
      </c>
      <c r="D31" s="343" t="s">
        <v>538</v>
      </c>
      <c r="E31" s="341">
        <f t="shared" si="14"/>
        <v>148960</v>
      </c>
      <c r="F31" s="344">
        <v>148960</v>
      </c>
      <c r="G31" s="344"/>
      <c r="H31" s="344"/>
      <c r="I31" s="344"/>
      <c r="J31" s="390">
        <f t="shared" si="12"/>
        <v>0</v>
      </c>
      <c r="K31" s="344"/>
      <c r="L31" s="344"/>
      <c r="M31" s="344"/>
      <c r="N31" s="344"/>
      <c r="O31" s="344"/>
      <c r="P31" s="396">
        <f t="shared" si="2"/>
        <v>0</v>
      </c>
      <c r="Q31" s="345">
        <f t="shared" si="13"/>
        <v>148960</v>
      </c>
    </row>
    <row r="32" spans="1:21" s="146" customFormat="1" ht="46.5" x14ac:dyDescent="0.2">
      <c r="A32" s="343" t="s">
        <v>319</v>
      </c>
      <c r="B32" s="343" t="s">
        <v>320</v>
      </c>
      <c r="C32" s="343" t="s">
        <v>321</v>
      </c>
      <c r="D32" s="343" t="s">
        <v>67</v>
      </c>
      <c r="E32" s="341"/>
      <c r="F32" s="344"/>
      <c r="G32" s="344"/>
      <c r="H32" s="344"/>
      <c r="I32" s="344"/>
      <c r="J32" s="390">
        <f t="shared" si="12"/>
        <v>5000000</v>
      </c>
      <c r="K32" s="344">
        <v>5000000</v>
      </c>
      <c r="L32" s="344"/>
      <c r="M32" s="344"/>
      <c r="N32" s="344"/>
      <c r="O32" s="344"/>
      <c r="P32" s="396">
        <f t="shared" si="2"/>
        <v>5000000</v>
      </c>
      <c r="Q32" s="345">
        <f t="shared" si="13"/>
        <v>5000000</v>
      </c>
    </row>
    <row r="33" spans="1:23" ht="135" x14ac:dyDescent="0.2">
      <c r="A33" s="361" t="s">
        <v>241</v>
      </c>
      <c r="B33" s="362"/>
      <c r="C33" s="362"/>
      <c r="D33" s="355" t="s">
        <v>36</v>
      </c>
      <c r="E33" s="373">
        <f>E34</f>
        <v>335180818</v>
      </c>
      <c r="F33" s="373">
        <f t="shared" ref="F33" si="15">F34</f>
        <v>335180818</v>
      </c>
      <c r="G33" s="373">
        <f t="shared" ref="G33" si="16">G34</f>
        <v>3641900</v>
      </c>
      <c r="H33" s="373">
        <f>H34</f>
        <v>212270</v>
      </c>
      <c r="I33" s="373">
        <f t="shared" ref="I33" si="17">I34</f>
        <v>0</v>
      </c>
      <c r="J33" s="373">
        <f>J34</f>
        <v>22172971</v>
      </c>
      <c r="K33" s="373">
        <f>K34</f>
        <v>5499500</v>
      </c>
      <c r="L33" s="373">
        <f>L34</f>
        <v>15931071</v>
      </c>
      <c r="M33" s="373">
        <f t="shared" ref="M33" si="18">M34</f>
        <v>0</v>
      </c>
      <c r="N33" s="373">
        <f>N34</f>
        <v>0</v>
      </c>
      <c r="O33" s="363">
        <f t="shared" ref="O33:Q33" si="19">O34</f>
        <v>742400</v>
      </c>
      <c r="P33" s="373">
        <f t="shared" si="2"/>
        <v>6241900</v>
      </c>
      <c r="Q33" s="363">
        <f t="shared" si="19"/>
        <v>357353789</v>
      </c>
    </row>
    <row r="34" spans="1:23" ht="135" x14ac:dyDescent="0.2">
      <c r="A34" s="294" t="s">
        <v>242</v>
      </c>
      <c r="B34" s="294"/>
      <c r="C34" s="294"/>
      <c r="D34" s="356" t="s">
        <v>59</v>
      </c>
      <c r="E34" s="292">
        <f>SUM(E35:E44)</f>
        <v>335180818</v>
      </c>
      <c r="F34" s="292">
        <f t="shared" ref="F34:O34" si="20">SUM(F35:F44)</f>
        <v>335180818</v>
      </c>
      <c r="G34" s="292">
        <f t="shared" si="20"/>
        <v>3641900</v>
      </c>
      <c r="H34" s="292">
        <f t="shared" si="20"/>
        <v>212270</v>
      </c>
      <c r="I34" s="292">
        <f t="shared" si="20"/>
        <v>0</v>
      </c>
      <c r="J34" s="292">
        <f>L34+P34</f>
        <v>22172971</v>
      </c>
      <c r="K34" s="292">
        <f>SUM(K35:K44)</f>
        <v>5499500</v>
      </c>
      <c r="L34" s="292">
        <f t="shared" si="20"/>
        <v>15931071</v>
      </c>
      <c r="M34" s="292">
        <f t="shared" si="20"/>
        <v>0</v>
      </c>
      <c r="N34" s="292">
        <f t="shared" si="20"/>
        <v>0</v>
      </c>
      <c r="O34" s="292">
        <f t="shared" si="20"/>
        <v>742400</v>
      </c>
      <c r="P34" s="386">
        <f>K34+O34</f>
        <v>6241900</v>
      </c>
      <c r="Q34" s="292">
        <f>E34+J34</f>
        <v>357353789</v>
      </c>
      <c r="R34" s="166" t="b">
        <f>Q34=Q36+Q37+Q38+Q39+Q40+Q41+Q42+Q43+Q44+Q35</f>
        <v>1</v>
      </c>
      <c r="S34" s="166" t="b">
        <f>K34='dod5'!I21</f>
        <v>1</v>
      </c>
    </row>
    <row r="35" spans="1:23" ht="228.75" x14ac:dyDescent="0.2">
      <c r="A35" s="343" t="s">
        <v>753</v>
      </c>
      <c r="B35" s="343" t="s">
        <v>344</v>
      </c>
      <c r="C35" s="343" t="s">
        <v>342</v>
      </c>
      <c r="D35" s="343" t="s">
        <v>343</v>
      </c>
      <c r="E35" s="345">
        <f>F35</f>
        <v>2501100</v>
      </c>
      <c r="F35" s="346">
        <v>2501100</v>
      </c>
      <c r="G35" s="346">
        <v>1884600</v>
      </c>
      <c r="H35" s="346">
        <v>101500</v>
      </c>
      <c r="I35" s="346"/>
      <c r="J35" s="390">
        <f t="shared" si="12"/>
        <v>0</v>
      </c>
      <c r="K35" s="345"/>
      <c r="L35" s="345"/>
      <c r="M35" s="345"/>
      <c r="N35" s="345"/>
      <c r="O35" s="345"/>
      <c r="P35" s="396">
        <f t="shared" si="2"/>
        <v>0</v>
      </c>
      <c r="Q35" s="345">
        <f t="shared" ref="Q35:Q44" si="21">E35+J35</f>
        <v>2501100</v>
      </c>
      <c r="R35" s="166"/>
      <c r="S35" s="166"/>
    </row>
    <row r="36" spans="1:23" ht="91.5" x14ac:dyDescent="0.2">
      <c r="A36" s="343" t="s">
        <v>322</v>
      </c>
      <c r="B36" s="343" t="s">
        <v>318</v>
      </c>
      <c r="C36" s="343" t="s">
        <v>323</v>
      </c>
      <c r="D36" s="343" t="s">
        <v>37</v>
      </c>
      <c r="E36" s="345">
        <f>F36</f>
        <v>190671412</v>
      </c>
      <c r="F36" s="346">
        <v>190671412</v>
      </c>
      <c r="G36" s="346"/>
      <c r="H36" s="346"/>
      <c r="I36" s="346"/>
      <c r="J36" s="390">
        <f t="shared" si="12"/>
        <v>9050900</v>
      </c>
      <c r="K36" s="346">
        <v>4532900</v>
      </c>
      <c r="L36" s="346">
        <v>4218000</v>
      </c>
      <c r="M36" s="346"/>
      <c r="N36" s="346"/>
      <c r="O36" s="346">
        <v>300000</v>
      </c>
      <c r="P36" s="396">
        <f t="shared" si="2"/>
        <v>4832900</v>
      </c>
      <c r="Q36" s="345">
        <f t="shared" si="21"/>
        <v>199722312</v>
      </c>
    </row>
    <row r="37" spans="1:23" ht="137.25" x14ac:dyDescent="0.2">
      <c r="A37" s="343" t="s">
        <v>324</v>
      </c>
      <c r="B37" s="343" t="s">
        <v>325</v>
      </c>
      <c r="C37" s="343" t="s">
        <v>326</v>
      </c>
      <c r="D37" s="343" t="s">
        <v>327</v>
      </c>
      <c r="E37" s="345">
        <f t="shared" ref="E37:E40" si="22">F37</f>
        <v>59783500</v>
      </c>
      <c r="F37" s="346">
        <v>59783500</v>
      </c>
      <c r="G37" s="346"/>
      <c r="H37" s="346"/>
      <c r="I37" s="346"/>
      <c r="J37" s="390">
        <f t="shared" si="12"/>
        <v>1164271</v>
      </c>
      <c r="K37" s="346">
        <v>126000</v>
      </c>
      <c r="L37" s="346">
        <v>1038271</v>
      </c>
      <c r="M37" s="346"/>
      <c r="N37" s="346"/>
      <c r="O37" s="346"/>
      <c r="P37" s="396">
        <f>K37+O37</f>
        <v>126000</v>
      </c>
      <c r="Q37" s="345">
        <f t="shared" si="21"/>
        <v>60947771</v>
      </c>
    </row>
    <row r="38" spans="1:23" ht="137.25" x14ac:dyDescent="0.2">
      <c r="A38" s="343" t="s">
        <v>328</v>
      </c>
      <c r="B38" s="343" t="s">
        <v>329</v>
      </c>
      <c r="C38" s="343" t="s">
        <v>330</v>
      </c>
      <c r="D38" s="343" t="s">
        <v>554</v>
      </c>
      <c r="E38" s="345">
        <f t="shared" si="22"/>
        <v>57684870</v>
      </c>
      <c r="F38" s="346">
        <v>57684870</v>
      </c>
      <c r="G38" s="346"/>
      <c r="H38" s="346"/>
      <c r="I38" s="346"/>
      <c r="J38" s="390">
        <f t="shared" si="12"/>
        <v>6437900</v>
      </c>
      <c r="K38" s="346">
        <f>939600-99000</f>
        <v>840600</v>
      </c>
      <c r="L38" s="346">
        <v>5254900</v>
      </c>
      <c r="M38" s="346"/>
      <c r="N38" s="346"/>
      <c r="O38" s="346">
        <v>342400</v>
      </c>
      <c r="P38" s="396">
        <f t="shared" si="2"/>
        <v>1183000</v>
      </c>
      <c r="Q38" s="345">
        <f t="shared" si="21"/>
        <v>64122770</v>
      </c>
    </row>
    <row r="39" spans="1:23" ht="91.5" x14ac:dyDescent="0.2">
      <c r="A39" s="343" t="s">
        <v>331</v>
      </c>
      <c r="B39" s="343" t="s">
        <v>332</v>
      </c>
      <c r="C39" s="343" t="s">
        <v>333</v>
      </c>
      <c r="D39" s="343" t="s">
        <v>334</v>
      </c>
      <c r="E39" s="345">
        <f t="shared" si="22"/>
        <v>9871950</v>
      </c>
      <c r="F39" s="346">
        <v>9871950</v>
      </c>
      <c r="G39" s="346"/>
      <c r="H39" s="346"/>
      <c r="I39" s="346"/>
      <c r="J39" s="390">
        <f t="shared" si="12"/>
        <v>5497900</v>
      </c>
      <c r="K39" s="346"/>
      <c r="L39" s="346">
        <v>5397900</v>
      </c>
      <c r="M39" s="346"/>
      <c r="N39" s="346"/>
      <c r="O39" s="346">
        <v>100000</v>
      </c>
      <c r="P39" s="396">
        <f t="shared" si="2"/>
        <v>100000</v>
      </c>
      <c r="Q39" s="345">
        <f t="shared" si="21"/>
        <v>15369850</v>
      </c>
    </row>
    <row r="40" spans="1:23" ht="183" x14ac:dyDescent="0.2">
      <c r="A40" s="343" t="s">
        <v>335</v>
      </c>
      <c r="B40" s="342" t="s">
        <v>336</v>
      </c>
      <c r="C40" s="342" t="s">
        <v>555</v>
      </c>
      <c r="D40" s="343" t="s">
        <v>337</v>
      </c>
      <c r="E40" s="345">
        <f t="shared" si="22"/>
        <v>8891316</v>
      </c>
      <c r="F40" s="346">
        <v>8891316</v>
      </c>
      <c r="G40" s="346"/>
      <c r="H40" s="346"/>
      <c r="I40" s="346"/>
      <c r="J40" s="390">
        <f t="shared" si="12"/>
        <v>0</v>
      </c>
      <c r="K40" s="346"/>
      <c r="L40" s="346"/>
      <c r="M40" s="346"/>
      <c r="N40" s="346"/>
      <c r="O40" s="346"/>
      <c r="P40" s="396">
        <f t="shared" si="2"/>
        <v>0</v>
      </c>
      <c r="Q40" s="345">
        <f t="shared" si="21"/>
        <v>8891316</v>
      </c>
    </row>
    <row r="41" spans="1:23" ht="183" hidden="1" x14ac:dyDescent="0.2">
      <c r="A41" s="343" t="s">
        <v>594</v>
      </c>
      <c r="B41" s="343" t="s">
        <v>595</v>
      </c>
      <c r="C41" s="342" t="s">
        <v>338</v>
      </c>
      <c r="D41" s="314" t="s">
        <v>596</v>
      </c>
      <c r="E41" s="345">
        <f t="shared" ref="E41:E42" si="23">F41</f>
        <v>0</v>
      </c>
      <c r="F41" s="346"/>
      <c r="G41" s="346"/>
      <c r="H41" s="346"/>
      <c r="I41" s="346"/>
      <c r="J41" s="390">
        <f t="shared" si="12"/>
        <v>0</v>
      </c>
      <c r="K41" s="346"/>
      <c r="L41" s="346"/>
      <c r="M41" s="346"/>
      <c r="N41" s="346"/>
      <c r="O41" s="346"/>
      <c r="P41" s="396">
        <f t="shared" si="2"/>
        <v>0</v>
      </c>
      <c r="Q41" s="345">
        <f t="shared" si="21"/>
        <v>0</v>
      </c>
    </row>
    <row r="42" spans="1:23" ht="183" hidden="1" x14ac:dyDescent="0.2">
      <c r="A42" s="343" t="s">
        <v>599</v>
      </c>
      <c r="B42" s="343" t="s">
        <v>598</v>
      </c>
      <c r="C42" s="342" t="s">
        <v>338</v>
      </c>
      <c r="D42" s="314" t="s">
        <v>597</v>
      </c>
      <c r="E42" s="345">
        <f t="shared" si="23"/>
        <v>0</v>
      </c>
      <c r="F42" s="346"/>
      <c r="G42" s="346"/>
      <c r="H42" s="346"/>
      <c r="I42" s="346"/>
      <c r="J42" s="390">
        <f t="shared" si="12"/>
        <v>0</v>
      </c>
      <c r="K42" s="346"/>
      <c r="L42" s="346"/>
      <c r="M42" s="346"/>
      <c r="N42" s="346"/>
      <c r="O42" s="346"/>
      <c r="P42" s="396">
        <f t="shared" si="2"/>
        <v>0</v>
      </c>
      <c r="Q42" s="345">
        <f t="shared" si="21"/>
        <v>0</v>
      </c>
    </row>
    <row r="43" spans="1:23" s="146" customFormat="1" ht="137.25" x14ac:dyDescent="0.2">
      <c r="A43" s="343" t="s">
        <v>510</v>
      </c>
      <c r="B43" s="343" t="s">
        <v>512</v>
      </c>
      <c r="C43" s="342" t="s">
        <v>338</v>
      </c>
      <c r="D43" s="314" t="s">
        <v>508</v>
      </c>
      <c r="E43" s="345">
        <f t="shared" ref="E43:E44" si="24">F43</f>
        <v>2416670</v>
      </c>
      <c r="F43" s="346">
        <v>2416670</v>
      </c>
      <c r="G43" s="346">
        <v>1757300</v>
      </c>
      <c r="H43" s="346">
        <v>110770</v>
      </c>
      <c r="I43" s="346"/>
      <c r="J43" s="390">
        <f t="shared" si="12"/>
        <v>22000</v>
      </c>
      <c r="K43" s="346"/>
      <c r="L43" s="346">
        <v>22000</v>
      </c>
      <c r="M43" s="346"/>
      <c r="N43" s="346"/>
      <c r="O43" s="346"/>
      <c r="P43" s="396">
        <f t="shared" si="2"/>
        <v>0</v>
      </c>
      <c r="Q43" s="345">
        <f t="shared" si="21"/>
        <v>2438670</v>
      </c>
    </row>
    <row r="44" spans="1:23" s="146" customFormat="1" ht="91.5" x14ac:dyDescent="0.2">
      <c r="A44" s="343" t="s">
        <v>511</v>
      </c>
      <c r="B44" s="343" t="s">
        <v>513</v>
      </c>
      <c r="C44" s="342" t="s">
        <v>338</v>
      </c>
      <c r="D44" s="314" t="s">
        <v>509</v>
      </c>
      <c r="E44" s="345">
        <f t="shared" si="24"/>
        <v>3360000</v>
      </c>
      <c r="F44" s="346">
        <v>3360000</v>
      </c>
      <c r="G44" s="346"/>
      <c r="H44" s="346"/>
      <c r="I44" s="346"/>
      <c r="J44" s="390">
        <f t="shared" si="12"/>
        <v>0</v>
      </c>
      <c r="K44" s="346"/>
      <c r="L44" s="346"/>
      <c r="M44" s="346"/>
      <c r="N44" s="346"/>
      <c r="O44" s="346"/>
      <c r="P44" s="396">
        <f t="shared" si="2"/>
        <v>0</v>
      </c>
      <c r="Q44" s="345">
        <f t="shared" si="21"/>
        <v>3360000</v>
      </c>
    </row>
    <row r="45" spans="1:23" ht="225" x14ac:dyDescent="0.2">
      <c r="A45" s="290" t="s">
        <v>243</v>
      </c>
      <c r="B45" s="290"/>
      <c r="C45" s="290"/>
      <c r="D45" s="355" t="s">
        <v>60</v>
      </c>
      <c r="E45" s="373">
        <f>E46</f>
        <v>783412946</v>
      </c>
      <c r="F45" s="373">
        <f t="shared" ref="F45" si="25">F46</f>
        <v>783412946</v>
      </c>
      <c r="G45" s="373">
        <f t="shared" ref="G45" si="26">G46</f>
        <v>45023549</v>
      </c>
      <c r="H45" s="373">
        <f>H46</f>
        <v>1897264</v>
      </c>
      <c r="I45" s="373">
        <f t="shared" ref="I45" si="27">I46</f>
        <v>0</v>
      </c>
      <c r="J45" s="373">
        <f>J46</f>
        <v>8150400</v>
      </c>
      <c r="K45" s="373">
        <f>K46</f>
        <v>7475000</v>
      </c>
      <c r="L45" s="373">
        <f>L46</f>
        <v>675400</v>
      </c>
      <c r="M45" s="373">
        <f t="shared" ref="M45" si="28">M46</f>
        <v>60000</v>
      </c>
      <c r="N45" s="373">
        <f>N46</f>
        <v>4000</v>
      </c>
      <c r="O45" s="291">
        <f t="shared" ref="O45" si="29">O46</f>
        <v>0</v>
      </c>
      <c r="P45" s="373">
        <f t="shared" si="2"/>
        <v>7475000</v>
      </c>
      <c r="Q45" s="291">
        <f>Q46</f>
        <v>791563346</v>
      </c>
    </row>
    <row r="46" spans="1:23" ht="225" x14ac:dyDescent="0.2">
      <c r="A46" s="294" t="s">
        <v>244</v>
      </c>
      <c r="B46" s="294"/>
      <c r="C46" s="294"/>
      <c r="D46" s="356" t="s">
        <v>61</v>
      </c>
      <c r="E46" s="292">
        <f>SUM(E47:E86)</f>
        <v>783412946</v>
      </c>
      <c r="F46" s="292">
        <f t="shared" ref="F46:O46" si="30">SUM(F47:F86)</f>
        <v>783412946</v>
      </c>
      <c r="G46" s="292">
        <f>SUM(G47:G86)</f>
        <v>45023549</v>
      </c>
      <c r="H46" s="292">
        <f t="shared" si="30"/>
        <v>1897264</v>
      </c>
      <c r="I46" s="292">
        <f t="shared" si="30"/>
        <v>0</v>
      </c>
      <c r="J46" s="292">
        <f>L46+P46</f>
        <v>8150400</v>
      </c>
      <c r="K46" s="292">
        <f t="shared" si="30"/>
        <v>7475000</v>
      </c>
      <c r="L46" s="292">
        <f t="shared" si="30"/>
        <v>675400</v>
      </c>
      <c r="M46" s="292">
        <f t="shared" si="30"/>
        <v>60000</v>
      </c>
      <c r="N46" s="292">
        <f t="shared" si="30"/>
        <v>4000</v>
      </c>
      <c r="O46" s="292">
        <f t="shared" si="30"/>
        <v>0</v>
      </c>
      <c r="P46" s="386">
        <f t="shared" si="2"/>
        <v>7475000</v>
      </c>
      <c r="Q46" s="292">
        <f>E46+J46</f>
        <v>791563346</v>
      </c>
      <c r="R46" s="179" t="b">
        <f>Q46=Q48+Q49+Q50+Q51+Q52+Q53+Q54+Q55+Q56+Q57+Q58+Q59+Q60+Q61+Q62+Q63+Q64+Q65+Q66+Q67+Q68+Q69+Q70+Q71+Q72+Q73+Q74+Q75+Q76+Q77+Q79+Q81+Q82+Q83+Q78+Q84+Q47+Q85</f>
        <v>1</v>
      </c>
      <c r="S46" s="182" t="b">
        <f>K46='dod5'!I30</f>
        <v>1</v>
      </c>
      <c r="T46" s="180"/>
      <c r="U46" s="179"/>
      <c r="V46" s="180"/>
      <c r="W46" s="180"/>
    </row>
    <row r="47" spans="1:23" ht="228.75" x14ac:dyDescent="0.2">
      <c r="A47" s="343" t="s">
        <v>752</v>
      </c>
      <c r="B47" s="343" t="s">
        <v>344</v>
      </c>
      <c r="C47" s="343" t="s">
        <v>342</v>
      </c>
      <c r="D47" s="343" t="s">
        <v>343</v>
      </c>
      <c r="E47" s="341">
        <f t="shared" ref="E47:E51" si="31">F47</f>
        <v>35993100</v>
      </c>
      <c r="F47" s="346">
        <v>35993100</v>
      </c>
      <c r="G47" s="346">
        <v>26800000</v>
      </c>
      <c r="H47" s="346">
        <v>991000</v>
      </c>
      <c r="I47" s="346"/>
      <c r="J47" s="390">
        <f t="shared" si="12"/>
        <v>450000</v>
      </c>
      <c r="K47" s="346">
        <v>450000</v>
      </c>
      <c r="L47" s="346"/>
      <c r="M47" s="346"/>
      <c r="N47" s="346"/>
      <c r="O47" s="346"/>
      <c r="P47" s="396">
        <f t="shared" si="2"/>
        <v>450000</v>
      </c>
      <c r="Q47" s="341">
        <f t="shared" ref="Q47:Q64" si="32">E47+J47</f>
        <v>36443100</v>
      </c>
      <c r="R47" s="179"/>
      <c r="S47" s="182"/>
      <c r="T47" s="180"/>
      <c r="U47" s="179"/>
      <c r="V47" s="180"/>
      <c r="W47" s="180"/>
    </row>
    <row r="48" spans="1:23" ht="183" x14ac:dyDescent="0.2">
      <c r="A48" s="248" t="s">
        <v>359</v>
      </c>
      <c r="B48" s="248" t="s">
        <v>360</v>
      </c>
      <c r="C48" s="248" t="s">
        <v>305</v>
      </c>
      <c r="D48" s="317" t="s">
        <v>358</v>
      </c>
      <c r="E48" s="313">
        <f t="shared" si="31"/>
        <v>44000000</v>
      </c>
      <c r="F48" s="308">
        <v>44000000</v>
      </c>
      <c r="G48" s="308"/>
      <c r="H48" s="308"/>
      <c r="I48" s="308"/>
      <c r="J48" s="390">
        <f t="shared" si="12"/>
        <v>0</v>
      </c>
      <c r="K48" s="344"/>
      <c r="L48" s="344"/>
      <c r="M48" s="344"/>
      <c r="N48" s="344"/>
      <c r="O48" s="344"/>
      <c r="P48" s="396">
        <f t="shared" si="2"/>
        <v>0</v>
      </c>
      <c r="Q48" s="309">
        <f t="shared" si="32"/>
        <v>44000000</v>
      </c>
    </row>
    <row r="49" spans="1:17" ht="183" x14ac:dyDescent="0.2">
      <c r="A49" s="318" t="s">
        <v>378</v>
      </c>
      <c r="B49" s="248" t="s">
        <v>379</v>
      </c>
      <c r="C49" s="248" t="s">
        <v>79</v>
      </c>
      <c r="D49" s="249" t="s">
        <v>8</v>
      </c>
      <c r="E49" s="322">
        <f t="shared" si="31"/>
        <v>200838400</v>
      </c>
      <c r="F49" s="287">
        <v>200838400</v>
      </c>
      <c r="G49" s="287"/>
      <c r="H49" s="287"/>
      <c r="I49" s="287"/>
      <c r="J49" s="390">
        <f t="shared" si="12"/>
        <v>0</v>
      </c>
      <c r="K49" s="344"/>
      <c r="L49" s="346"/>
      <c r="M49" s="346"/>
      <c r="N49" s="346"/>
      <c r="O49" s="346"/>
      <c r="P49" s="396">
        <f t="shared" si="2"/>
        <v>0</v>
      </c>
      <c r="Q49" s="250">
        <f t="shared" si="32"/>
        <v>200838400</v>
      </c>
    </row>
    <row r="50" spans="1:17" ht="274.5" x14ac:dyDescent="0.2">
      <c r="A50" s="249" t="s">
        <v>381</v>
      </c>
      <c r="B50" s="249" t="s">
        <v>382</v>
      </c>
      <c r="C50" s="249" t="s">
        <v>305</v>
      </c>
      <c r="D50" s="319" t="s">
        <v>380</v>
      </c>
      <c r="E50" s="313">
        <f t="shared" si="31"/>
        <v>3000</v>
      </c>
      <c r="F50" s="308">
        <v>3000</v>
      </c>
      <c r="G50" s="308"/>
      <c r="H50" s="308"/>
      <c r="I50" s="308"/>
      <c r="J50" s="390">
        <f t="shared" si="12"/>
        <v>0</v>
      </c>
      <c r="K50" s="344"/>
      <c r="L50" s="344"/>
      <c r="M50" s="344"/>
      <c r="N50" s="344"/>
      <c r="O50" s="344"/>
      <c r="P50" s="396">
        <f t="shared" si="2"/>
        <v>0</v>
      </c>
      <c r="Q50" s="309">
        <f t="shared" si="32"/>
        <v>3000</v>
      </c>
    </row>
    <row r="51" spans="1:17" ht="228.75" x14ac:dyDescent="0.2">
      <c r="A51" s="249" t="s">
        <v>383</v>
      </c>
      <c r="B51" s="249" t="s">
        <v>384</v>
      </c>
      <c r="C51" s="319">
        <v>1060</v>
      </c>
      <c r="D51" s="320" t="s">
        <v>19</v>
      </c>
      <c r="E51" s="312">
        <f t="shared" si="31"/>
        <v>44700</v>
      </c>
      <c r="F51" s="287">
        <v>44700</v>
      </c>
      <c r="G51" s="287"/>
      <c r="H51" s="287"/>
      <c r="I51" s="287"/>
      <c r="J51" s="390">
        <f t="shared" si="12"/>
        <v>0</v>
      </c>
      <c r="K51" s="287"/>
      <c r="L51" s="287"/>
      <c r="M51" s="287"/>
      <c r="N51" s="287"/>
      <c r="O51" s="287"/>
      <c r="P51" s="396">
        <f>K51+O51</f>
        <v>0</v>
      </c>
      <c r="Q51" s="250">
        <f t="shared" si="32"/>
        <v>44700</v>
      </c>
    </row>
    <row r="52" spans="1:17" s="146" customFormat="1" ht="137.25" x14ac:dyDescent="0.2">
      <c r="A52" s="248" t="s">
        <v>409</v>
      </c>
      <c r="B52" s="248" t="s">
        <v>410</v>
      </c>
      <c r="C52" s="248" t="s">
        <v>305</v>
      </c>
      <c r="D52" s="321" t="s">
        <v>411</v>
      </c>
      <c r="E52" s="313">
        <f>F52</f>
        <v>322970</v>
      </c>
      <c r="F52" s="308">
        <v>322970</v>
      </c>
      <c r="G52" s="308"/>
      <c r="H52" s="308"/>
      <c r="I52" s="308"/>
      <c r="J52" s="390">
        <f t="shared" si="12"/>
        <v>100000</v>
      </c>
      <c r="K52" s="308">
        <v>100000</v>
      </c>
      <c r="L52" s="308"/>
      <c r="M52" s="308"/>
      <c r="N52" s="308"/>
      <c r="O52" s="308"/>
      <c r="P52" s="396">
        <f t="shared" si="2"/>
        <v>100000</v>
      </c>
      <c r="Q52" s="309">
        <f t="shared" si="32"/>
        <v>422970</v>
      </c>
    </row>
    <row r="53" spans="1:17" s="146" customFormat="1" ht="137.25" x14ac:dyDescent="0.2">
      <c r="A53" s="249" t="s">
        <v>412</v>
      </c>
      <c r="B53" s="249" t="s">
        <v>413</v>
      </c>
      <c r="C53" s="249" t="s">
        <v>306</v>
      </c>
      <c r="D53" s="249" t="s">
        <v>16</v>
      </c>
      <c r="E53" s="312">
        <f t="shared" ref="E53:E75" si="33">F53</f>
        <v>1360000</v>
      </c>
      <c r="F53" s="287">
        <v>1360000</v>
      </c>
      <c r="G53" s="287"/>
      <c r="H53" s="287"/>
      <c r="I53" s="287"/>
      <c r="J53" s="390">
        <f t="shared" si="12"/>
        <v>0</v>
      </c>
      <c r="K53" s="287"/>
      <c r="L53" s="287"/>
      <c r="M53" s="287"/>
      <c r="N53" s="287"/>
      <c r="O53" s="287"/>
      <c r="P53" s="396">
        <f t="shared" si="2"/>
        <v>0</v>
      </c>
      <c r="Q53" s="250">
        <f t="shared" si="32"/>
        <v>1360000</v>
      </c>
    </row>
    <row r="54" spans="1:17" s="146" customFormat="1" ht="183" x14ac:dyDescent="0.2">
      <c r="A54" s="249" t="s">
        <v>415</v>
      </c>
      <c r="B54" s="249" t="s">
        <v>416</v>
      </c>
      <c r="C54" s="249" t="s">
        <v>306</v>
      </c>
      <c r="D54" s="248" t="s">
        <v>17</v>
      </c>
      <c r="E54" s="312">
        <f t="shared" si="33"/>
        <v>8000000</v>
      </c>
      <c r="F54" s="287">
        <v>8000000</v>
      </c>
      <c r="G54" s="287"/>
      <c r="H54" s="287"/>
      <c r="I54" s="287"/>
      <c r="J54" s="390">
        <f t="shared" si="12"/>
        <v>0</v>
      </c>
      <c r="K54" s="287"/>
      <c r="L54" s="287"/>
      <c r="M54" s="287"/>
      <c r="N54" s="287"/>
      <c r="O54" s="287"/>
      <c r="P54" s="396">
        <f t="shared" si="2"/>
        <v>0</v>
      </c>
      <c r="Q54" s="250">
        <f t="shared" si="32"/>
        <v>8000000</v>
      </c>
    </row>
    <row r="55" spans="1:17" s="146" customFormat="1" ht="183" x14ac:dyDescent="0.2">
      <c r="A55" s="248" t="s">
        <v>417</v>
      </c>
      <c r="B55" s="248" t="s">
        <v>414</v>
      </c>
      <c r="C55" s="248" t="s">
        <v>306</v>
      </c>
      <c r="D55" s="248" t="s">
        <v>18</v>
      </c>
      <c r="E55" s="312">
        <f t="shared" si="33"/>
        <v>600000</v>
      </c>
      <c r="F55" s="287">
        <v>600000</v>
      </c>
      <c r="G55" s="287"/>
      <c r="H55" s="287"/>
      <c r="I55" s="287"/>
      <c r="J55" s="390">
        <f t="shared" si="12"/>
        <v>0</v>
      </c>
      <c r="K55" s="287"/>
      <c r="L55" s="287"/>
      <c r="M55" s="287"/>
      <c r="N55" s="287"/>
      <c r="O55" s="287"/>
      <c r="P55" s="396">
        <f t="shared" si="2"/>
        <v>0</v>
      </c>
      <c r="Q55" s="250">
        <f t="shared" si="32"/>
        <v>600000</v>
      </c>
    </row>
    <row r="56" spans="1:17" s="146" customFormat="1" ht="183" x14ac:dyDescent="0.2">
      <c r="A56" s="248" t="s">
        <v>418</v>
      </c>
      <c r="B56" s="248" t="s">
        <v>419</v>
      </c>
      <c r="C56" s="248" t="s">
        <v>306</v>
      </c>
      <c r="D56" s="248" t="s">
        <v>21</v>
      </c>
      <c r="E56" s="312">
        <f t="shared" si="33"/>
        <v>82000000</v>
      </c>
      <c r="F56" s="287">
        <v>82000000</v>
      </c>
      <c r="G56" s="287"/>
      <c r="H56" s="287"/>
      <c r="I56" s="287"/>
      <c r="J56" s="390">
        <f t="shared" si="12"/>
        <v>0</v>
      </c>
      <c r="K56" s="287"/>
      <c r="L56" s="287"/>
      <c r="M56" s="287"/>
      <c r="N56" s="287"/>
      <c r="O56" s="287"/>
      <c r="P56" s="396">
        <f t="shared" si="2"/>
        <v>0</v>
      </c>
      <c r="Q56" s="250">
        <f t="shared" si="32"/>
        <v>82000000</v>
      </c>
    </row>
    <row r="57" spans="1:17" s="146" customFormat="1" ht="91.5" x14ac:dyDescent="0.2">
      <c r="A57" s="249" t="s">
        <v>369</v>
      </c>
      <c r="B57" s="249" t="s">
        <v>361</v>
      </c>
      <c r="C57" s="249" t="s">
        <v>280</v>
      </c>
      <c r="D57" s="249" t="s">
        <v>10</v>
      </c>
      <c r="E57" s="312">
        <f t="shared" si="33"/>
        <v>2814000</v>
      </c>
      <c r="F57" s="287">
        <v>2814000</v>
      </c>
      <c r="G57" s="287"/>
      <c r="H57" s="287"/>
      <c r="I57" s="287"/>
      <c r="J57" s="390">
        <f t="shared" si="12"/>
        <v>0</v>
      </c>
      <c r="K57" s="287"/>
      <c r="L57" s="287"/>
      <c r="M57" s="287"/>
      <c r="N57" s="287"/>
      <c r="O57" s="287"/>
      <c r="P57" s="396">
        <f t="shared" si="2"/>
        <v>0</v>
      </c>
      <c r="Q57" s="250">
        <f t="shared" si="32"/>
        <v>2814000</v>
      </c>
    </row>
    <row r="58" spans="1:17" s="146" customFormat="1" ht="91.5" x14ac:dyDescent="0.2">
      <c r="A58" s="249" t="s">
        <v>370</v>
      </c>
      <c r="B58" s="249" t="s">
        <v>362</v>
      </c>
      <c r="C58" s="249" t="s">
        <v>280</v>
      </c>
      <c r="D58" s="249" t="s">
        <v>368</v>
      </c>
      <c r="E58" s="312">
        <f>F58</f>
        <v>371520</v>
      </c>
      <c r="F58" s="287">
        <v>371520</v>
      </c>
      <c r="G58" s="287"/>
      <c r="H58" s="287"/>
      <c r="I58" s="287"/>
      <c r="J58" s="390">
        <f t="shared" si="12"/>
        <v>0</v>
      </c>
      <c r="K58" s="287"/>
      <c r="L58" s="287"/>
      <c r="M58" s="287"/>
      <c r="N58" s="287"/>
      <c r="O58" s="287"/>
      <c r="P58" s="396">
        <f t="shared" si="2"/>
        <v>0</v>
      </c>
      <c r="Q58" s="250">
        <f t="shared" si="32"/>
        <v>371520</v>
      </c>
    </row>
    <row r="59" spans="1:17" s="146" customFormat="1" ht="91.5" x14ac:dyDescent="0.2">
      <c r="A59" s="249" t="s">
        <v>371</v>
      </c>
      <c r="B59" s="249" t="s">
        <v>363</v>
      </c>
      <c r="C59" s="249" t="s">
        <v>280</v>
      </c>
      <c r="D59" s="249" t="s">
        <v>11</v>
      </c>
      <c r="E59" s="312">
        <f t="shared" si="33"/>
        <v>157736000</v>
      </c>
      <c r="F59" s="287">
        <v>157736000</v>
      </c>
      <c r="G59" s="287"/>
      <c r="H59" s="287"/>
      <c r="I59" s="287"/>
      <c r="J59" s="390">
        <f t="shared" si="12"/>
        <v>0</v>
      </c>
      <c r="K59" s="287"/>
      <c r="L59" s="287"/>
      <c r="M59" s="287"/>
      <c r="N59" s="287"/>
      <c r="O59" s="287"/>
      <c r="P59" s="396">
        <f t="shared" si="2"/>
        <v>0</v>
      </c>
      <c r="Q59" s="250">
        <f t="shared" si="32"/>
        <v>157736000</v>
      </c>
    </row>
    <row r="60" spans="1:17" s="146" customFormat="1" ht="137.25" x14ac:dyDescent="0.2">
      <c r="A60" s="249" t="s">
        <v>372</v>
      </c>
      <c r="B60" s="249" t="s">
        <v>364</v>
      </c>
      <c r="C60" s="249" t="s">
        <v>280</v>
      </c>
      <c r="D60" s="249" t="s">
        <v>12</v>
      </c>
      <c r="E60" s="312">
        <f t="shared" si="33"/>
        <v>4266000</v>
      </c>
      <c r="F60" s="287">
        <v>4266000</v>
      </c>
      <c r="G60" s="287"/>
      <c r="H60" s="287"/>
      <c r="I60" s="287"/>
      <c r="J60" s="390">
        <f t="shared" si="12"/>
        <v>0</v>
      </c>
      <c r="K60" s="287"/>
      <c r="L60" s="287"/>
      <c r="M60" s="287"/>
      <c r="N60" s="287"/>
      <c r="O60" s="287"/>
      <c r="P60" s="396">
        <f t="shared" si="2"/>
        <v>0</v>
      </c>
      <c r="Q60" s="250">
        <f t="shared" si="32"/>
        <v>4266000</v>
      </c>
    </row>
    <row r="61" spans="1:17" s="146" customFormat="1" ht="91.5" x14ac:dyDescent="0.2">
      <c r="A61" s="249" t="s">
        <v>373</v>
      </c>
      <c r="B61" s="249" t="s">
        <v>365</v>
      </c>
      <c r="C61" s="249" t="s">
        <v>280</v>
      </c>
      <c r="D61" s="249" t="s">
        <v>13</v>
      </c>
      <c r="E61" s="312">
        <f t="shared" si="33"/>
        <v>27062400</v>
      </c>
      <c r="F61" s="287">
        <v>27062400</v>
      </c>
      <c r="G61" s="287"/>
      <c r="H61" s="287"/>
      <c r="I61" s="287"/>
      <c r="J61" s="390">
        <f t="shared" si="12"/>
        <v>0</v>
      </c>
      <c r="K61" s="287"/>
      <c r="L61" s="287"/>
      <c r="M61" s="287"/>
      <c r="N61" s="287"/>
      <c r="O61" s="287"/>
      <c r="P61" s="396">
        <f t="shared" si="2"/>
        <v>0</v>
      </c>
      <c r="Q61" s="250">
        <f t="shared" si="32"/>
        <v>27062400</v>
      </c>
    </row>
    <row r="62" spans="1:17" s="146" customFormat="1" ht="91.5" x14ac:dyDescent="0.2">
      <c r="A62" s="249" t="s">
        <v>374</v>
      </c>
      <c r="B62" s="249" t="s">
        <v>366</v>
      </c>
      <c r="C62" s="249" t="s">
        <v>280</v>
      </c>
      <c r="D62" s="249" t="s">
        <v>14</v>
      </c>
      <c r="E62" s="312">
        <f t="shared" si="33"/>
        <v>2700000</v>
      </c>
      <c r="F62" s="287">
        <v>2700000</v>
      </c>
      <c r="G62" s="287"/>
      <c r="H62" s="287"/>
      <c r="I62" s="287"/>
      <c r="J62" s="390">
        <f t="shared" si="12"/>
        <v>0</v>
      </c>
      <c r="K62" s="287"/>
      <c r="L62" s="287"/>
      <c r="M62" s="287"/>
      <c r="N62" s="287"/>
      <c r="O62" s="287"/>
      <c r="P62" s="396">
        <f t="shared" si="2"/>
        <v>0</v>
      </c>
      <c r="Q62" s="250">
        <f t="shared" si="32"/>
        <v>2700000</v>
      </c>
    </row>
    <row r="63" spans="1:17" s="146" customFormat="1" ht="137.25" x14ac:dyDescent="0.2">
      <c r="A63" s="249" t="s">
        <v>375</v>
      </c>
      <c r="B63" s="249" t="s">
        <v>367</v>
      </c>
      <c r="C63" s="249" t="s">
        <v>280</v>
      </c>
      <c r="D63" s="249" t="s">
        <v>15</v>
      </c>
      <c r="E63" s="312">
        <f t="shared" si="33"/>
        <v>39337958</v>
      </c>
      <c r="F63" s="287">
        <v>39337958</v>
      </c>
      <c r="G63" s="287"/>
      <c r="H63" s="287"/>
      <c r="I63" s="287"/>
      <c r="J63" s="390">
        <f t="shared" si="12"/>
        <v>0</v>
      </c>
      <c r="K63" s="287"/>
      <c r="L63" s="287"/>
      <c r="M63" s="287"/>
      <c r="N63" s="287"/>
      <c r="O63" s="287"/>
      <c r="P63" s="396">
        <f t="shared" si="2"/>
        <v>0</v>
      </c>
      <c r="Q63" s="250">
        <f t="shared" si="32"/>
        <v>39337958</v>
      </c>
    </row>
    <row r="64" spans="1:17" ht="183" x14ac:dyDescent="0.2">
      <c r="A64" s="249" t="s">
        <v>385</v>
      </c>
      <c r="B64" s="249" t="s">
        <v>376</v>
      </c>
      <c r="C64" s="249" t="s">
        <v>306</v>
      </c>
      <c r="D64" s="249" t="s">
        <v>9</v>
      </c>
      <c r="E64" s="312">
        <f t="shared" si="33"/>
        <v>179080</v>
      </c>
      <c r="F64" s="287">
        <v>179080</v>
      </c>
      <c r="G64" s="287"/>
      <c r="H64" s="287"/>
      <c r="I64" s="287"/>
      <c r="J64" s="390">
        <f t="shared" si="12"/>
        <v>0</v>
      </c>
      <c r="K64" s="250"/>
      <c r="L64" s="287"/>
      <c r="M64" s="287"/>
      <c r="N64" s="287"/>
      <c r="O64" s="287"/>
      <c r="P64" s="396">
        <f t="shared" si="2"/>
        <v>0</v>
      </c>
      <c r="Q64" s="250">
        <f t="shared" si="32"/>
        <v>179080</v>
      </c>
    </row>
    <row r="65" spans="1:17" s="146" customFormat="1" ht="183" x14ac:dyDescent="0.2">
      <c r="A65" s="249" t="s">
        <v>559</v>
      </c>
      <c r="B65" s="249" t="s">
        <v>560</v>
      </c>
      <c r="C65" s="249" t="s">
        <v>298</v>
      </c>
      <c r="D65" s="249" t="s">
        <v>558</v>
      </c>
      <c r="E65" s="312">
        <f t="shared" ref="E65:E69" si="34">F65</f>
        <v>78472603.400000006</v>
      </c>
      <c r="F65" s="287">
        <v>78472603.400000006</v>
      </c>
      <c r="G65" s="287"/>
      <c r="H65" s="287"/>
      <c r="I65" s="287"/>
      <c r="J65" s="390">
        <f t="shared" si="12"/>
        <v>0</v>
      </c>
      <c r="K65" s="287"/>
      <c r="L65" s="287"/>
      <c r="M65" s="287"/>
      <c r="N65" s="287"/>
      <c r="O65" s="287"/>
      <c r="P65" s="396">
        <f t="shared" si="2"/>
        <v>0</v>
      </c>
      <c r="Q65" s="250">
        <f t="shared" ref="Q65:Q72" si="35">E65+J65</f>
        <v>78472603.400000006</v>
      </c>
    </row>
    <row r="66" spans="1:17" s="146" customFormat="1" ht="228.75" x14ac:dyDescent="0.2">
      <c r="A66" s="249" t="s">
        <v>619</v>
      </c>
      <c r="B66" s="249" t="s">
        <v>620</v>
      </c>
      <c r="C66" s="249" t="s">
        <v>298</v>
      </c>
      <c r="D66" s="249" t="s">
        <v>621</v>
      </c>
      <c r="E66" s="312">
        <f t="shared" ref="E66" si="36">F66</f>
        <v>25694626.600000001</v>
      </c>
      <c r="F66" s="287">
        <v>25694626.600000001</v>
      </c>
      <c r="G66" s="287"/>
      <c r="H66" s="287"/>
      <c r="I66" s="287"/>
      <c r="J66" s="390">
        <f t="shared" si="12"/>
        <v>0</v>
      </c>
      <c r="K66" s="287"/>
      <c r="L66" s="287"/>
      <c r="M66" s="287"/>
      <c r="N66" s="287"/>
      <c r="O66" s="287"/>
      <c r="P66" s="396">
        <f t="shared" si="2"/>
        <v>0</v>
      </c>
      <c r="Q66" s="250">
        <f t="shared" si="35"/>
        <v>25694626.600000001</v>
      </c>
    </row>
    <row r="67" spans="1:17" s="146" customFormat="1" ht="183" x14ac:dyDescent="0.2">
      <c r="A67" s="249" t="s">
        <v>556</v>
      </c>
      <c r="B67" s="249" t="s">
        <v>557</v>
      </c>
      <c r="C67" s="249" t="s">
        <v>298</v>
      </c>
      <c r="D67" s="249" t="s">
        <v>514</v>
      </c>
      <c r="E67" s="312">
        <f t="shared" ref="E67:E68" si="37">F67</f>
        <v>14110200</v>
      </c>
      <c r="F67" s="287">
        <v>14110200</v>
      </c>
      <c r="G67" s="287"/>
      <c r="H67" s="287"/>
      <c r="I67" s="287"/>
      <c r="J67" s="390">
        <f t="shared" si="12"/>
        <v>0</v>
      </c>
      <c r="K67" s="287"/>
      <c r="L67" s="287"/>
      <c r="M67" s="287"/>
      <c r="N67" s="287"/>
      <c r="O67" s="287"/>
      <c r="P67" s="396">
        <f t="shared" si="2"/>
        <v>0</v>
      </c>
      <c r="Q67" s="250">
        <f t="shared" si="35"/>
        <v>14110200</v>
      </c>
    </row>
    <row r="68" spans="1:17" s="146" customFormat="1" ht="274.5" x14ac:dyDescent="0.2">
      <c r="A68" s="249" t="s">
        <v>563</v>
      </c>
      <c r="B68" s="249" t="s">
        <v>564</v>
      </c>
      <c r="C68" s="249" t="s">
        <v>298</v>
      </c>
      <c r="D68" s="249" t="s">
        <v>565</v>
      </c>
      <c r="E68" s="312">
        <f t="shared" si="37"/>
        <v>1200000</v>
      </c>
      <c r="F68" s="287">
        <v>1200000</v>
      </c>
      <c r="G68" s="287"/>
      <c r="H68" s="287"/>
      <c r="I68" s="287"/>
      <c r="J68" s="390">
        <f t="shared" si="12"/>
        <v>0</v>
      </c>
      <c r="K68" s="287"/>
      <c r="L68" s="287"/>
      <c r="M68" s="287"/>
      <c r="N68" s="287"/>
      <c r="O68" s="287"/>
      <c r="P68" s="396">
        <f t="shared" si="2"/>
        <v>0</v>
      </c>
      <c r="Q68" s="250">
        <f t="shared" si="35"/>
        <v>1200000</v>
      </c>
    </row>
    <row r="69" spans="1:17" s="146" customFormat="1" ht="320.25" x14ac:dyDescent="0.2">
      <c r="A69" s="249" t="s">
        <v>561</v>
      </c>
      <c r="B69" s="249" t="s">
        <v>562</v>
      </c>
      <c r="C69" s="249" t="s">
        <v>298</v>
      </c>
      <c r="D69" s="249" t="s">
        <v>566</v>
      </c>
      <c r="E69" s="312">
        <f t="shared" si="34"/>
        <v>264192</v>
      </c>
      <c r="F69" s="287">
        <v>264192</v>
      </c>
      <c r="G69" s="287"/>
      <c r="H69" s="287"/>
      <c r="I69" s="287"/>
      <c r="J69" s="390">
        <f t="shared" si="12"/>
        <v>0</v>
      </c>
      <c r="K69" s="287"/>
      <c r="L69" s="287"/>
      <c r="M69" s="287"/>
      <c r="N69" s="287"/>
      <c r="O69" s="287"/>
      <c r="P69" s="396">
        <f t="shared" si="2"/>
        <v>0</v>
      </c>
      <c r="Q69" s="250">
        <f t="shared" si="35"/>
        <v>264192</v>
      </c>
    </row>
    <row r="70" spans="1:17" ht="163.5" customHeight="1" x14ac:dyDescent="0.2">
      <c r="A70" s="249" t="s">
        <v>386</v>
      </c>
      <c r="B70" s="249" t="s">
        <v>377</v>
      </c>
      <c r="C70" s="249" t="s">
        <v>305</v>
      </c>
      <c r="D70" s="249" t="s">
        <v>515</v>
      </c>
      <c r="E70" s="312">
        <f t="shared" si="33"/>
        <v>152280</v>
      </c>
      <c r="F70" s="287">
        <v>152280</v>
      </c>
      <c r="G70" s="287"/>
      <c r="H70" s="287"/>
      <c r="I70" s="287"/>
      <c r="J70" s="390">
        <f t="shared" si="12"/>
        <v>0</v>
      </c>
      <c r="K70" s="250"/>
      <c r="L70" s="287"/>
      <c r="M70" s="287"/>
      <c r="N70" s="287"/>
      <c r="O70" s="287"/>
      <c r="P70" s="396">
        <f t="shared" si="2"/>
        <v>0</v>
      </c>
      <c r="Q70" s="250">
        <f t="shared" si="35"/>
        <v>152280</v>
      </c>
    </row>
    <row r="71" spans="1:17" ht="301.5" customHeight="1" x14ac:dyDescent="0.2">
      <c r="A71" s="249" t="s">
        <v>407</v>
      </c>
      <c r="B71" s="249" t="s">
        <v>405</v>
      </c>
      <c r="C71" s="249" t="s">
        <v>299</v>
      </c>
      <c r="D71" s="249" t="s">
        <v>35</v>
      </c>
      <c r="E71" s="312">
        <f t="shared" si="33"/>
        <v>17332984</v>
      </c>
      <c r="F71" s="287">
        <v>17332984</v>
      </c>
      <c r="G71" s="287">
        <v>11859350</v>
      </c>
      <c r="H71" s="287">
        <v>241174</v>
      </c>
      <c r="I71" s="287"/>
      <c r="J71" s="390">
        <f t="shared" si="12"/>
        <v>284400</v>
      </c>
      <c r="K71" s="287">
        <v>175000</v>
      </c>
      <c r="L71" s="287">
        <v>109400</v>
      </c>
      <c r="M71" s="287">
        <v>60000</v>
      </c>
      <c r="N71" s="287">
        <v>4000</v>
      </c>
      <c r="O71" s="287"/>
      <c r="P71" s="396">
        <f t="shared" si="2"/>
        <v>175000</v>
      </c>
      <c r="Q71" s="250">
        <f t="shared" si="35"/>
        <v>17617384</v>
      </c>
    </row>
    <row r="72" spans="1:17" ht="137.25" x14ac:dyDescent="0.2">
      <c r="A72" s="249" t="s">
        <v>408</v>
      </c>
      <c r="B72" s="249" t="s">
        <v>406</v>
      </c>
      <c r="C72" s="249" t="s">
        <v>298</v>
      </c>
      <c r="D72" s="249" t="s">
        <v>516</v>
      </c>
      <c r="E72" s="312">
        <f t="shared" si="33"/>
        <v>5162423</v>
      </c>
      <c r="F72" s="287">
        <v>5162423</v>
      </c>
      <c r="G72" s="287">
        <v>3617760</v>
      </c>
      <c r="H72" s="287">
        <v>286645</v>
      </c>
      <c r="I72" s="287"/>
      <c r="J72" s="390">
        <f t="shared" si="12"/>
        <v>0</v>
      </c>
      <c r="K72" s="287"/>
      <c r="L72" s="287"/>
      <c r="M72" s="287"/>
      <c r="N72" s="287"/>
      <c r="O72" s="287"/>
      <c r="P72" s="396">
        <f>K72+O72</f>
        <v>0</v>
      </c>
      <c r="Q72" s="250">
        <f t="shared" si="35"/>
        <v>5162423</v>
      </c>
    </row>
    <row r="73" spans="1:17" ht="409.5" x14ac:dyDescent="0.2">
      <c r="A73" s="249" t="s">
        <v>403</v>
      </c>
      <c r="B73" s="249" t="s">
        <v>404</v>
      </c>
      <c r="C73" s="249" t="s">
        <v>298</v>
      </c>
      <c r="D73" s="249" t="s">
        <v>517</v>
      </c>
      <c r="E73" s="312">
        <f t="shared" si="33"/>
        <v>1554600</v>
      </c>
      <c r="F73" s="287">
        <v>1554600</v>
      </c>
      <c r="G73" s="287"/>
      <c r="H73" s="287"/>
      <c r="I73" s="287"/>
      <c r="J73" s="390">
        <f t="shared" si="12"/>
        <v>0</v>
      </c>
      <c r="K73" s="250"/>
      <c r="L73" s="287"/>
      <c r="M73" s="287"/>
      <c r="N73" s="287"/>
      <c r="O73" s="287"/>
      <c r="P73" s="396">
        <f t="shared" si="2"/>
        <v>0</v>
      </c>
      <c r="Q73" s="250">
        <f>+J73+E73</f>
        <v>1554600</v>
      </c>
    </row>
    <row r="74" spans="1:17" ht="274.5" x14ac:dyDescent="0.2">
      <c r="A74" s="249" t="s">
        <v>518</v>
      </c>
      <c r="B74" s="249" t="s">
        <v>519</v>
      </c>
      <c r="C74" s="249" t="s">
        <v>298</v>
      </c>
      <c r="D74" s="249" t="s">
        <v>567</v>
      </c>
      <c r="E74" s="312">
        <f t="shared" si="33"/>
        <v>135534</v>
      </c>
      <c r="F74" s="287">
        <v>135534</v>
      </c>
      <c r="G74" s="452"/>
      <c r="H74" s="287"/>
      <c r="I74" s="287"/>
      <c r="J74" s="390">
        <f t="shared" si="12"/>
        <v>0</v>
      </c>
      <c r="K74" s="287"/>
      <c r="L74" s="287"/>
      <c r="M74" s="287"/>
      <c r="N74" s="287"/>
      <c r="O74" s="287"/>
      <c r="P74" s="396">
        <f t="shared" si="2"/>
        <v>0</v>
      </c>
      <c r="Q74" s="250">
        <f>+J74+E74</f>
        <v>135534</v>
      </c>
    </row>
    <row r="75" spans="1:17" ht="112.5" customHeight="1" x14ac:dyDescent="0.2">
      <c r="A75" s="249" t="s">
        <v>520</v>
      </c>
      <c r="B75" s="249" t="s">
        <v>521</v>
      </c>
      <c r="C75" s="249" t="s">
        <v>298</v>
      </c>
      <c r="D75" s="249" t="s">
        <v>568</v>
      </c>
      <c r="E75" s="312">
        <f t="shared" si="33"/>
        <v>168</v>
      </c>
      <c r="F75" s="287">
        <v>168</v>
      </c>
      <c r="G75" s="453"/>
      <c r="H75" s="287"/>
      <c r="I75" s="287"/>
      <c r="J75" s="390">
        <f t="shared" si="12"/>
        <v>0</v>
      </c>
      <c r="K75" s="287"/>
      <c r="L75" s="287"/>
      <c r="M75" s="287"/>
      <c r="N75" s="287"/>
      <c r="O75" s="287"/>
      <c r="P75" s="396">
        <f t="shared" si="2"/>
        <v>0</v>
      </c>
      <c r="Q75" s="250">
        <f>+J75+E75</f>
        <v>168</v>
      </c>
    </row>
    <row r="76" spans="1:17" ht="366" x14ac:dyDescent="0.2">
      <c r="A76" s="249" t="s">
        <v>571</v>
      </c>
      <c r="B76" s="249" t="s">
        <v>570</v>
      </c>
      <c r="C76" s="249" t="s">
        <v>79</v>
      </c>
      <c r="D76" s="249" t="s">
        <v>569</v>
      </c>
      <c r="E76" s="312">
        <f t="shared" ref="E76" si="38">F76</f>
        <v>1808500</v>
      </c>
      <c r="F76" s="287">
        <v>1808500</v>
      </c>
      <c r="G76" s="287"/>
      <c r="H76" s="287"/>
      <c r="I76" s="287"/>
      <c r="J76" s="390">
        <f t="shared" si="12"/>
        <v>0</v>
      </c>
      <c r="K76" s="250"/>
      <c r="L76" s="287"/>
      <c r="M76" s="287"/>
      <c r="N76" s="287"/>
      <c r="O76" s="287"/>
      <c r="P76" s="396">
        <f t="shared" ref="P76:P85" si="39">K76+O76</f>
        <v>0</v>
      </c>
      <c r="Q76" s="250">
        <f>E76+J76</f>
        <v>1808500</v>
      </c>
    </row>
    <row r="77" spans="1:17" ht="228.75" x14ac:dyDescent="0.2">
      <c r="A77" s="249" t="s">
        <v>522</v>
      </c>
      <c r="B77" s="249" t="s">
        <v>523</v>
      </c>
      <c r="C77" s="249" t="s">
        <v>305</v>
      </c>
      <c r="D77" s="249" t="s">
        <v>572</v>
      </c>
      <c r="E77" s="312">
        <f t="shared" ref="E77:E82" si="40">F77</f>
        <v>550000</v>
      </c>
      <c r="F77" s="287">
        <v>550000</v>
      </c>
      <c r="G77" s="287"/>
      <c r="H77" s="287"/>
      <c r="I77" s="287"/>
      <c r="J77" s="390">
        <f t="shared" si="12"/>
        <v>0</v>
      </c>
      <c r="K77" s="287"/>
      <c r="L77" s="287"/>
      <c r="M77" s="287"/>
      <c r="N77" s="287"/>
      <c r="O77" s="287"/>
      <c r="P77" s="396">
        <f t="shared" si="39"/>
        <v>0</v>
      </c>
      <c r="Q77" s="250">
        <f>E77+J77</f>
        <v>550000</v>
      </c>
    </row>
    <row r="78" spans="1:17" ht="91.5" x14ac:dyDescent="0.2">
      <c r="A78" s="343" t="s">
        <v>639</v>
      </c>
      <c r="B78" s="343" t="s">
        <v>640</v>
      </c>
      <c r="C78" s="343" t="s">
        <v>641</v>
      </c>
      <c r="D78" s="343" t="s">
        <v>638</v>
      </c>
      <c r="E78" s="345">
        <f t="shared" ref="E78" si="41">F78</f>
        <v>250000</v>
      </c>
      <c r="F78" s="346">
        <v>250000</v>
      </c>
      <c r="G78" s="346">
        <v>205000</v>
      </c>
      <c r="H78" s="346"/>
      <c r="I78" s="346"/>
      <c r="J78" s="390">
        <f t="shared" si="12"/>
        <v>0</v>
      </c>
      <c r="K78" s="346"/>
      <c r="L78" s="346"/>
      <c r="M78" s="346"/>
      <c r="N78" s="346"/>
      <c r="O78" s="346"/>
      <c r="P78" s="396">
        <f t="shared" si="39"/>
        <v>0</v>
      </c>
      <c r="Q78" s="345">
        <f>E78+J78</f>
        <v>250000</v>
      </c>
    </row>
    <row r="79" spans="1:17" ht="409.5" x14ac:dyDescent="0.2">
      <c r="A79" s="442" t="s">
        <v>402</v>
      </c>
      <c r="B79" s="442" t="s">
        <v>287</v>
      </c>
      <c r="C79" s="450" t="s">
        <v>280</v>
      </c>
      <c r="D79" s="311" t="s">
        <v>524</v>
      </c>
      <c r="E79" s="455">
        <f>F79</f>
        <v>1030700</v>
      </c>
      <c r="F79" s="452">
        <v>1030700</v>
      </c>
      <c r="G79" s="452"/>
      <c r="H79" s="452"/>
      <c r="I79" s="452"/>
      <c r="J79" s="447">
        <f t="shared" si="12"/>
        <v>0</v>
      </c>
      <c r="K79" s="447"/>
      <c r="L79" s="452"/>
      <c r="M79" s="452"/>
      <c r="N79" s="452"/>
      <c r="O79" s="452"/>
      <c r="P79" s="448">
        <f t="shared" si="39"/>
        <v>0</v>
      </c>
      <c r="Q79" s="447">
        <f>E79+J79</f>
        <v>1030700</v>
      </c>
    </row>
    <row r="80" spans="1:17" ht="327.75" customHeight="1" x14ac:dyDescent="0.2">
      <c r="A80" s="443"/>
      <c r="B80" s="443"/>
      <c r="C80" s="451"/>
      <c r="D80" s="316" t="s">
        <v>525</v>
      </c>
      <c r="E80" s="456"/>
      <c r="F80" s="443"/>
      <c r="G80" s="443"/>
      <c r="H80" s="443"/>
      <c r="I80" s="443"/>
      <c r="J80" s="439"/>
      <c r="K80" s="439"/>
      <c r="L80" s="443"/>
      <c r="M80" s="443"/>
      <c r="N80" s="443"/>
      <c r="O80" s="443"/>
      <c r="P80" s="449"/>
      <c r="Q80" s="471"/>
    </row>
    <row r="81" spans="1:19" ht="183" x14ac:dyDescent="0.2">
      <c r="A81" s="249" t="s">
        <v>526</v>
      </c>
      <c r="B81" s="249" t="s">
        <v>528</v>
      </c>
      <c r="C81" s="249" t="s">
        <v>288</v>
      </c>
      <c r="D81" s="314" t="s">
        <v>530</v>
      </c>
      <c r="E81" s="312">
        <f t="shared" si="40"/>
        <v>4578467</v>
      </c>
      <c r="F81" s="287">
        <v>4578467</v>
      </c>
      <c r="G81" s="133">
        <v>2541439</v>
      </c>
      <c r="H81" s="133">
        <v>378445</v>
      </c>
      <c r="I81" s="287"/>
      <c r="J81" s="390">
        <f t="shared" si="12"/>
        <v>2030000</v>
      </c>
      <c r="K81" s="287">
        <f>1380000+650000</f>
        <v>2030000</v>
      </c>
      <c r="L81" s="287"/>
      <c r="M81" s="287"/>
      <c r="N81" s="287"/>
      <c r="O81" s="287"/>
      <c r="P81" s="396">
        <f t="shared" si="39"/>
        <v>2030000</v>
      </c>
      <c r="Q81" s="250">
        <f>E81+J81</f>
        <v>6608467</v>
      </c>
    </row>
    <row r="82" spans="1:19" ht="137.25" x14ac:dyDescent="0.2">
      <c r="A82" s="249" t="s">
        <v>527</v>
      </c>
      <c r="B82" s="249" t="s">
        <v>529</v>
      </c>
      <c r="C82" s="249" t="s">
        <v>288</v>
      </c>
      <c r="D82" s="314" t="s">
        <v>531</v>
      </c>
      <c r="E82" s="312">
        <f t="shared" si="40"/>
        <v>23486540</v>
      </c>
      <c r="F82" s="287">
        <v>23486540</v>
      </c>
      <c r="G82" s="287"/>
      <c r="H82" s="287"/>
      <c r="I82" s="287"/>
      <c r="J82" s="390">
        <f t="shared" si="12"/>
        <v>220000</v>
      </c>
      <c r="K82" s="287">
        <v>220000</v>
      </c>
      <c r="L82" s="287"/>
      <c r="M82" s="287"/>
      <c r="N82" s="287"/>
      <c r="O82" s="287"/>
      <c r="P82" s="396">
        <f t="shared" si="39"/>
        <v>220000</v>
      </c>
      <c r="Q82" s="250">
        <f>E82+J82</f>
        <v>23706540</v>
      </c>
    </row>
    <row r="83" spans="1:19" ht="137.25" x14ac:dyDescent="0.2">
      <c r="A83" s="249" t="s">
        <v>612</v>
      </c>
      <c r="B83" s="249" t="s">
        <v>610</v>
      </c>
      <c r="C83" s="249" t="s">
        <v>545</v>
      </c>
      <c r="D83" s="314" t="s">
        <v>611</v>
      </c>
      <c r="E83" s="312">
        <f t="shared" ref="E83:E85" si="42">F83</f>
        <v>0</v>
      </c>
      <c r="F83" s="287"/>
      <c r="G83" s="287"/>
      <c r="H83" s="287"/>
      <c r="I83" s="287"/>
      <c r="J83" s="390">
        <f t="shared" si="12"/>
        <v>3500000</v>
      </c>
      <c r="K83" s="287">
        <v>3500000</v>
      </c>
      <c r="L83" s="287"/>
      <c r="M83" s="287"/>
      <c r="N83" s="287"/>
      <c r="O83" s="287"/>
      <c r="P83" s="396">
        <f t="shared" si="39"/>
        <v>3500000</v>
      </c>
      <c r="Q83" s="250">
        <f>E83+J83</f>
        <v>3500000</v>
      </c>
    </row>
    <row r="84" spans="1:19" ht="91.5" x14ac:dyDescent="0.2">
      <c r="A84" s="249" t="s">
        <v>728</v>
      </c>
      <c r="B84" s="249" t="s">
        <v>729</v>
      </c>
      <c r="C84" s="249" t="s">
        <v>453</v>
      </c>
      <c r="D84" s="314" t="s">
        <v>730</v>
      </c>
      <c r="E84" s="345">
        <f t="shared" si="42"/>
        <v>0</v>
      </c>
      <c r="F84" s="287"/>
      <c r="G84" s="287"/>
      <c r="H84" s="287"/>
      <c r="I84" s="287"/>
      <c r="J84" s="390">
        <f t="shared" si="12"/>
        <v>1000000</v>
      </c>
      <c r="K84" s="287">
        <v>1000000</v>
      </c>
      <c r="L84" s="287"/>
      <c r="M84" s="287"/>
      <c r="N84" s="287"/>
      <c r="O84" s="287"/>
      <c r="P84" s="396">
        <f t="shared" si="39"/>
        <v>1000000</v>
      </c>
      <c r="Q84" s="250">
        <f>E84+J84</f>
        <v>1000000</v>
      </c>
    </row>
    <row r="85" spans="1:19" ht="409.5" x14ac:dyDescent="0.2">
      <c r="A85" s="442" t="s">
        <v>778</v>
      </c>
      <c r="B85" s="442" t="s">
        <v>541</v>
      </c>
      <c r="C85" s="442" t="s">
        <v>257</v>
      </c>
      <c r="D85" s="360" t="s">
        <v>552</v>
      </c>
      <c r="E85" s="440">
        <f t="shared" si="42"/>
        <v>0</v>
      </c>
      <c r="F85" s="444"/>
      <c r="G85" s="444"/>
      <c r="H85" s="444"/>
      <c r="I85" s="444"/>
      <c r="J85" s="447">
        <f t="shared" si="12"/>
        <v>566000</v>
      </c>
      <c r="K85" s="444"/>
      <c r="L85" s="444">
        <v>566000</v>
      </c>
      <c r="M85" s="444"/>
      <c r="N85" s="444"/>
      <c r="O85" s="444"/>
      <c r="P85" s="448">
        <f t="shared" si="39"/>
        <v>0</v>
      </c>
      <c r="Q85" s="440">
        <f>E85+J85</f>
        <v>566000</v>
      </c>
      <c r="R85" s="143">
        <f>Q85</f>
        <v>566000</v>
      </c>
    </row>
    <row r="86" spans="1:19" ht="137.25" x14ac:dyDescent="0.2">
      <c r="A86" s="443"/>
      <c r="B86" s="443"/>
      <c r="C86" s="443"/>
      <c r="D86" s="370" t="s">
        <v>553</v>
      </c>
      <c r="E86" s="441"/>
      <c r="F86" s="445"/>
      <c r="G86" s="445"/>
      <c r="H86" s="445"/>
      <c r="I86" s="445"/>
      <c r="J86" s="439"/>
      <c r="K86" s="443"/>
      <c r="L86" s="445"/>
      <c r="M86" s="445"/>
      <c r="N86" s="445"/>
      <c r="O86" s="445"/>
      <c r="P86" s="449"/>
      <c r="Q86" s="441"/>
    </row>
    <row r="87" spans="1:19" ht="180" x14ac:dyDescent="0.2">
      <c r="A87" s="289">
        <v>1000000</v>
      </c>
      <c r="B87" s="289"/>
      <c r="C87" s="289"/>
      <c r="D87" s="290" t="s">
        <v>43</v>
      </c>
      <c r="E87" s="373">
        <f>E88</f>
        <v>80851044</v>
      </c>
      <c r="F87" s="373">
        <f t="shared" ref="F87" si="43">F88</f>
        <v>80851044</v>
      </c>
      <c r="G87" s="373">
        <f t="shared" ref="G87" si="44">G88</f>
        <v>56675325</v>
      </c>
      <c r="H87" s="373">
        <f>H88</f>
        <v>3158297</v>
      </c>
      <c r="I87" s="373">
        <f t="shared" ref="I87" si="45">I88</f>
        <v>0</v>
      </c>
      <c r="J87" s="373">
        <f>J88</f>
        <v>11373222</v>
      </c>
      <c r="K87" s="373">
        <f>K88</f>
        <v>3886442</v>
      </c>
      <c r="L87" s="373">
        <f>L88</f>
        <v>7451780</v>
      </c>
      <c r="M87" s="373">
        <f t="shared" ref="M87" si="46">M88</f>
        <v>5409770</v>
      </c>
      <c r="N87" s="373">
        <f>N88</f>
        <v>197280</v>
      </c>
      <c r="O87" s="292">
        <f t="shared" ref="O87:Q87" si="47">O88</f>
        <v>35000</v>
      </c>
      <c r="P87" s="373">
        <f>K87+O87</f>
        <v>3921442</v>
      </c>
      <c r="Q87" s="291">
        <f t="shared" si="47"/>
        <v>92224266</v>
      </c>
    </row>
    <row r="88" spans="1:19" ht="180" x14ac:dyDescent="0.2">
      <c r="A88" s="293">
        <v>1010000</v>
      </c>
      <c r="B88" s="293"/>
      <c r="C88" s="293"/>
      <c r="D88" s="294" t="s">
        <v>62</v>
      </c>
      <c r="E88" s="292">
        <f>F88</f>
        <v>80851044</v>
      </c>
      <c r="F88" s="292">
        <f>SUM(F89:F95)</f>
        <v>80851044</v>
      </c>
      <c r="G88" s="292">
        <f t="shared" ref="G88:I88" si="48">SUM(G89:G95)</f>
        <v>56675325</v>
      </c>
      <c r="H88" s="292">
        <f t="shared" si="48"/>
        <v>3158297</v>
      </c>
      <c r="I88" s="292">
        <f t="shared" si="48"/>
        <v>0</v>
      </c>
      <c r="J88" s="292">
        <f>L88+P88</f>
        <v>11373222</v>
      </c>
      <c r="K88" s="292">
        <f t="shared" ref="K88:O88" si="49">SUM(K89:K95)</f>
        <v>3886442</v>
      </c>
      <c r="L88" s="292">
        <f t="shared" si="49"/>
        <v>7451780</v>
      </c>
      <c r="M88" s="292">
        <f t="shared" si="49"/>
        <v>5409770</v>
      </c>
      <c r="N88" s="292">
        <f t="shared" si="49"/>
        <v>197280</v>
      </c>
      <c r="O88" s="292">
        <f t="shared" si="49"/>
        <v>35000</v>
      </c>
      <c r="P88" s="386">
        <f t="shared" ref="P88:P112" si="50">K88+O88</f>
        <v>3921442</v>
      </c>
      <c r="Q88" s="292">
        <f>E88+J88</f>
        <v>92224266</v>
      </c>
      <c r="R88" s="179" t="b">
        <f>Q88=Q89+Q90+Q91+Q92+Q93+Q94+Q95</f>
        <v>1</v>
      </c>
      <c r="S88" s="182" t="b">
        <f>K88='dod5'!I40</f>
        <v>1</v>
      </c>
    </row>
    <row r="89" spans="1:19" ht="274.5" x14ac:dyDescent="0.2">
      <c r="A89" s="249" t="s">
        <v>34</v>
      </c>
      <c r="B89" s="249" t="s">
        <v>275</v>
      </c>
      <c r="C89" s="249" t="s">
        <v>276</v>
      </c>
      <c r="D89" s="249" t="s">
        <v>274</v>
      </c>
      <c r="E89" s="312">
        <f>F89</f>
        <v>46221680</v>
      </c>
      <c r="F89" s="287">
        <v>46221680</v>
      </c>
      <c r="G89" s="287">
        <v>35856900</v>
      </c>
      <c r="H89" s="287">
        <v>1889830</v>
      </c>
      <c r="I89" s="287"/>
      <c r="J89" s="390">
        <f t="shared" ref="J89:J129" si="51">L89+P89</f>
        <v>7217822</v>
      </c>
      <c r="K89" s="287">
        <v>386442</v>
      </c>
      <c r="L89" s="287">
        <v>6805480</v>
      </c>
      <c r="M89" s="287">
        <v>5170040</v>
      </c>
      <c r="N89" s="287">
        <v>138080</v>
      </c>
      <c r="O89" s="287">
        <v>25900</v>
      </c>
      <c r="P89" s="396">
        <f t="shared" si="50"/>
        <v>412342</v>
      </c>
      <c r="Q89" s="250">
        <f t="shared" ref="Q89:Q95" si="52">E89+J89</f>
        <v>53439502</v>
      </c>
    </row>
    <row r="90" spans="1:19" ht="46.5" x14ac:dyDescent="0.2">
      <c r="A90" s="249" t="s">
        <v>258</v>
      </c>
      <c r="B90" s="249" t="s">
        <v>259</v>
      </c>
      <c r="C90" s="249" t="s">
        <v>262</v>
      </c>
      <c r="D90" s="249" t="s">
        <v>263</v>
      </c>
      <c r="E90" s="312">
        <f t="shared" ref="E90:E93" si="53">F90</f>
        <v>726700</v>
      </c>
      <c r="F90" s="287">
        <v>726700</v>
      </c>
      <c r="G90" s="287"/>
      <c r="H90" s="287"/>
      <c r="I90" s="287"/>
      <c r="J90" s="390">
        <f t="shared" si="51"/>
        <v>0</v>
      </c>
      <c r="K90" s="287"/>
      <c r="L90" s="287"/>
      <c r="M90" s="287"/>
      <c r="N90" s="287"/>
      <c r="O90" s="287"/>
      <c r="P90" s="396">
        <f t="shared" si="50"/>
        <v>0</v>
      </c>
      <c r="Q90" s="250">
        <f t="shared" si="52"/>
        <v>726700</v>
      </c>
    </row>
    <row r="91" spans="1:19" ht="91.5" x14ac:dyDescent="0.2">
      <c r="A91" s="249" t="s">
        <v>264</v>
      </c>
      <c r="B91" s="249" t="s">
        <v>265</v>
      </c>
      <c r="C91" s="249" t="s">
        <v>266</v>
      </c>
      <c r="D91" s="249" t="s">
        <v>267</v>
      </c>
      <c r="E91" s="312">
        <f t="shared" si="53"/>
        <v>7716225</v>
      </c>
      <c r="F91" s="287">
        <v>7716225</v>
      </c>
      <c r="G91" s="287">
        <v>5790700</v>
      </c>
      <c r="H91" s="287">
        <v>449025</v>
      </c>
      <c r="I91" s="287"/>
      <c r="J91" s="390">
        <f t="shared" si="51"/>
        <v>85000</v>
      </c>
      <c r="K91" s="287"/>
      <c r="L91" s="287">
        <v>85000</v>
      </c>
      <c r="M91" s="287">
        <v>9800</v>
      </c>
      <c r="N91" s="287">
        <v>18500</v>
      </c>
      <c r="O91" s="287"/>
      <c r="P91" s="396">
        <f t="shared" si="50"/>
        <v>0</v>
      </c>
      <c r="Q91" s="250">
        <f t="shared" si="52"/>
        <v>7801225</v>
      </c>
    </row>
    <row r="92" spans="1:19" ht="91.5" x14ac:dyDescent="0.2">
      <c r="A92" s="249" t="s">
        <v>268</v>
      </c>
      <c r="B92" s="249" t="s">
        <v>269</v>
      </c>
      <c r="C92" s="249" t="s">
        <v>266</v>
      </c>
      <c r="D92" s="249" t="s">
        <v>270</v>
      </c>
      <c r="E92" s="312">
        <f t="shared" si="53"/>
        <v>1220535</v>
      </c>
      <c r="F92" s="287">
        <v>1220535</v>
      </c>
      <c r="G92" s="287">
        <v>796025</v>
      </c>
      <c r="H92" s="287">
        <v>199670</v>
      </c>
      <c r="I92" s="287"/>
      <c r="J92" s="390">
        <f t="shared" si="51"/>
        <v>3075000</v>
      </c>
      <c r="K92" s="287">
        <v>3000000</v>
      </c>
      <c r="L92" s="287">
        <v>75000</v>
      </c>
      <c r="M92" s="287">
        <v>6100</v>
      </c>
      <c r="N92" s="287">
        <v>3300</v>
      </c>
      <c r="O92" s="287"/>
      <c r="P92" s="396">
        <f t="shared" si="50"/>
        <v>3000000</v>
      </c>
      <c r="Q92" s="250">
        <f t="shared" si="52"/>
        <v>4295535</v>
      </c>
    </row>
    <row r="93" spans="1:19" ht="183" x14ac:dyDescent="0.2">
      <c r="A93" s="249" t="s">
        <v>271</v>
      </c>
      <c r="B93" s="249" t="s">
        <v>260</v>
      </c>
      <c r="C93" s="249" t="s">
        <v>272</v>
      </c>
      <c r="D93" s="249" t="s">
        <v>273</v>
      </c>
      <c r="E93" s="312">
        <f t="shared" si="53"/>
        <v>5699642</v>
      </c>
      <c r="F93" s="287">
        <v>5699642</v>
      </c>
      <c r="G93" s="287">
        <v>4068700</v>
      </c>
      <c r="H93" s="287">
        <v>585642</v>
      </c>
      <c r="I93" s="287"/>
      <c r="J93" s="390">
        <f t="shared" si="51"/>
        <v>865400</v>
      </c>
      <c r="K93" s="287">
        <v>500000</v>
      </c>
      <c r="L93" s="287">
        <v>356300</v>
      </c>
      <c r="M93" s="287">
        <v>218030</v>
      </c>
      <c r="N93" s="287">
        <v>37400</v>
      </c>
      <c r="O93" s="287">
        <v>9100</v>
      </c>
      <c r="P93" s="396">
        <f t="shared" si="50"/>
        <v>509100</v>
      </c>
      <c r="Q93" s="250">
        <f t="shared" si="52"/>
        <v>6565042</v>
      </c>
    </row>
    <row r="94" spans="1:19" ht="137.25" x14ac:dyDescent="0.2">
      <c r="A94" s="249" t="s">
        <v>533</v>
      </c>
      <c r="B94" s="249" t="s">
        <v>534</v>
      </c>
      <c r="C94" s="249" t="s">
        <v>277</v>
      </c>
      <c r="D94" s="249" t="s">
        <v>532</v>
      </c>
      <c r="E94" s="312">
        <f>F94</f>
        <v>13266262</v>
      </c>
      <c r="F94" s="287">
        <v>13266262</v>
      </c>
      <c r="G94" s="287">
        <v>10163000</v>
      </c>
      <c r="H94" s="287">
        <v>34130</v>
      </c>
      <c r="I94" s="287"/>
      <c r="J94" s="390">
        <f t="shared" si="51"/>
        <v>130000</v>
      </c>
      <c r="K94" s="287"/>
      <c r="L94" s="287">
        <v>130000</v>
      </c>
      <c r="M94" s="287">
        <v>5800</v>
      </c>
      <c r="N94" s="287"/>
      <c r="O94" s="287"/>
      <c r="P94" s="396">
        <f t="shared" si="50"/>
        <v>0</v>
      </c>
      <c r="Q94" s="250">
        <f t="shared" si="52"/>
        <v>13396262</v>
      </c>
    </row>
    <row r="95" spans="1:19" ht="91.5" x14ac:dyDescent="0.2">
      <c r="A95" s="249" t="s">
        <v>535</v>
      </c>
      <c r="B95" s="249" t="s">
        <v>536</v>
      </c>
      <c r="C95" s="249" t="s">
        <v>277</v>
      </c>
      <c r="D95" s="249" t="s">
        <v>537</v>
      </c>
      <c r="E95" s="312">
        <f>F95</f>
        <v>6000000</v>
      </c>
      <c r="F95" s="287">
        <v>6000000</v>
      </c>
      <c r="G95" s="287"/>
      <c r="H95" s="287"/>
      <c r="I95" s="287"/>
      <c r="J95" s="390">
        <f t="shared" si="51"/>
        <v>0</v>
      </c>
      <c r="K95" s="287"/>
      <c r="L95" s="287"/>
      <c r="M95" s="287"/>
      <c r="N95" s="287"/>
      <c r="O95" s="287"/>
      <c r="P95" s="396">
        <f t="shared" si="50"/>
        <v>0</v>
      </c>
      <c r="Q95" s="250">
        <f t="shared" si="52"/>
        <v>6000000</v>
      </c>
    </row>
    <row r="96" spans="1:19" ht="135" x14ac:dyDescent="0.2">
      <c r="A96" s="290" t="s">
        <v>40</v>
      </c>
      <c r="B96" s="290"/>
      <c r="C96" s="290"/>
      <c r="D96" s="290" t="s">
        <v>41</v>
      </c>
      <c r="E96" s="373">
        <f>E97</f>
        <v>50014852</v>
      </c>
      <c r="F96" s="373">
        <f t="shared" ref="F96" si="54">F97</f>
        <v>50014852</v>
      </c>
      <c r="G96" s="373">
        <f t="shared" ref="G96" si="55">G97</f>
        <v>18072174</v>
      </c>
      <c r="H96" s="373">
        <f>H97</f>
        <v>1632525</v>
      </c>
      <c r="I96" s="373">
        <f t="shared" ref="I96" si="56">I97</f>
        <v>0</v>
      </c>
      <c r="J96" s="373">
        <f>J97</f>
        <v>3425177</v>
      </c>
      <c r="K96" s="373">
        <f>K97</f>
        <v>1408533</v>
      </c>
      <c r="L96" s="373">
        <f>L97</f>
        <v>2016644</v>
      </c>
      <c r="M96" s="373">
        <f t="shared" ref="M96" si="57">M97</f>
        <v>946255</v>
      </c>
      <c r="N96" s="373">
        <f>N97</f>
        <v>338236</v>
      </c>
      <c r="O96" s="291">
        <f t="shared" ref="O96:Q96" si="58">O97</f>
        <v>0</v>
      </c>
      <c r="P96" s="373">
        <f t="shared" si="50"/>
        <v>1408533</v>
      </c>
      <c r="Q96" s="291">
        <f t="shared" si="58"/>
        <v>53440029</v>
      </c>
    </row>
    <row r="97" spans="1:19" ht="135" x14ac:dyDescent="0.2">
      <c r="A97" s="294" t="s">
        <v>39</v>
      </c>
      <c r="B97" s="294"/>
      <c r="C97" s="294"/>
      <c r="D97" s="294" t="s">
        <v>58</v>
      </c>
      <c r="E97" s="292">
        <f t="shared" ref="E97:O97" si="59">SUM(E98:E109)</f>
        <v>50014852</v>
      </c>
      <c r="F97" s="292">
        <f t="shared" si="59"/>
        <v>50014852</v>
      </c>
      <c r="G97" s="292">
        <f t="shared" si="59"/>
        <v>18072174</v>
      </c>
      <c r="H97" s="292">
        <f t="shared" si="59"/>
        <v>1632525</v>
      </c>
      <c r="I97" s="292">
        <f t="shared" si="59"/>
        <v>0</v>
      </c>
      <c r="J97" s="292">
        <f>L97+P97</f>
        <v>3425177</v>
      </c>
      <c r="K97" s="292">
        <f t="shared" si="59"/>
        <v>1408533</v>
      </c>
      <c r="L97" s="292">
        <f t="shared" si="59"/>
        <v>2016644</v>
      </c>
      <c r="M97" s="292">
        <f t="shared" si="59"/>
        <v>946255</v>
      </c>
      <c r="N97" s="292">
        <f t="shared" si="59"/>
        <v>338236</v>
      </c>
      <c r="O97" s="292">
        <f t="shared" si="59"/>
        <v>0</v>
      </c>
      <c r="P97" s="386">
        <f t="shared" si="50"/>
        <v>1408533</v>
      </c>
      <c r="Q97" s="292">
        <f>E97+J97</f>
        <v>53440029</v>
      </c>
      <c r="R97" s="179" t="b">
        <f>Q97=Q98+Q99+Q100+Q101+Q102+Q103+Q104+Q105+Q106+Q107+Q108+Q109</f>
        <v>1</v>
      </c>
      <c r="S97" s="182" t="b">
        <f>K97='dod5'!I47</f>
        <v>1</v>
      </c>
    </row>
    <row r="98" spans="1:19" ht="137.25" x14ac:dyDescent="0.2">
      <c r="A98" s="249" t="s">
        <v>278</v>
      </c>
      <c r="B98" s="249" t="s">
        <v>279</v>
      </c>
      <c r="C98" s="249" t="s">
        <v>280</v>
      </c>
      <c r="D98" s="249" t="s">
        <v>281</v>
      </c>
      <c r="E98" s="167">
        <f t="shared" ref="E98:E101" si="60">F98</f>
        <v>3278423</v>
      </c>
      <c r="F98" s="133">
        <v>3278423</v>
      </c>
      <c r="G98" s="133">
        <v>2517500</v>
      </c>
      <c r="H98" s="133">
        <v>65293</v>
      </c>
      <c r="I98" s="133"/>
      <c r="J98" s="390">
        <f t="shared" si="51"/>
        <v>0</v>
      </c>
      <c r="K98" s="133"/>
      <c r="L98" s="181"/>
      <c r="M98" s="181"/>
      <c r="N98" s="181"/>
      <c r="O98" s="181"/>
      <c r="P98" s="396">
        <f t="shared" si="50"/>
        <v>0</v>
      </c>
      <c r="Q98" s="250">
        <f>+J98+E98</f>
        <v>3278423</v>
      </c>
    </row>
    <row r="99" spans="1:19" ht="228.75" x14ac:dyDescent="0.2">
      <c r="A99" s="249" t="s">
        <v>72</v>
      </c>
      <c r="B99" s="249" t="s">
        <v>261</v>
      </c>
      <c r="C99" s="249" t="s">
        <v>280</v>
      </c>
      <c r="D99" s="249" t="s">
        <v>22</v>
      </c>
      <c r="E99" s="167">
        <f t="shared" si="60"/>
        <v>875790</v>
      </c>
      <c r="F99" s="133">
        <v>875790</v>
      </c>
      <c r="G99" s="133"/>
      <c r="H99" s="133"/>
      <c r="I99" s="133"/>
      <c r="J99" s="390">
        <f t="shared" si="51"/>
        <v>0</v>
      </c>
      <c r="K99" s="133"/>
      <c r="L99" s="181"/>
      <c r="M99" s="181"/>
      <c r="N99" s="181"/>
      <c r="O99" s="181"/>
      <c r="P99" s="396">
        <f t="shared" si="50"/>
        <v>0</v>
      </c>
      <c r="Q99" s="250">
        <f>+J99+E99</f>
        <v>875790</v>
      </c>
    </row>
    <row r="100" spans="1:19" ht="91.5" x14ac:dyDescent="0.2">
      <c r="A100" s="249" t="s">
        <v>285</v>
      </c>
      <c r="B100" s="249" t="s">
        <v>286</v>
      </c>
      <c r="C100" s="249" t="s">
        <v>280</v>
      </c>
      <c r="D100" s="249" t="s">
        <v>23</v>
      </c>
      <c r="E100" s="167">
        <f t="shared" si="60"/>
        <v>3054118</v>
      </c>
      <c r="F100" s="133">
        <v>3054118</v>
      </c>
      <c r="G100" s="133">
        <v>1623800</v>
      </c>
      <c r="H100" s="133">
        <v>435988</v>
      </c>
      <c r="I100" s="133"/>
      <c r="J100" s="390">
        <f t="shared" si="51"/>
        <v>917430</v>
      </c>
      <c r="K100" s="133">
        <v>592430</v>
      </c>
      <c r="L100" s="181">
        <v>325000</v>
      </c>
      <c r="M100" s="181">
        <v>189100</v>
      </c>
      <c r="N100" s="181">
        <v>89400</v>
      </c>
      <c r="O100" s="181"/>
      <c r="P100" s="396">
        <f t="shared" si="50"/>
        <v>592430</v>
      </c>
      <c r="Q100" s="250">
        <f t="shared" ref="Q100:Q110" si="61">E100+J100</f>
        <v>3971548</v>
      </c>
    </row>
    <row r="101" spans="1:19" ht="91.5" x14ac:dyDescent="0.2">
      <c r="A101" s="249" t="s">
        <v>577</v>
      </c>
      <c r="B101" s="249" t="s">
        <v>578</v>
      </c>
      <c r="C101" s="249" t="s">
        <v>280</v>
      </c>
      <c r="D101" s="249" t="s">
        <v>579</v>
      </c>
      <c r="E101" s="167">
        <f t="shared" si="60"/>
        <v>5941879</v>
      </c>
      <c r="F101" s="133">
        <f>5640576+301303</f>
        <v>5941879</v>
      </c>
      <c r="G101" s="133">
        <v>714843</v>
      </c>
      <c r="H101" s="133">
        <v>110000</v>
      </c>
      <c r="I101" s="133"/>
      <c r="J101" s="390">
        <f t="shared" si="51"/>
        <v>816103</v>
      </c>
      <c r="K101" s="133">
        <v>816103</v>
      </c>
      <c r="L101" s="181"/>
      <c r="M101" s="181"/>
      <c r="N101" s="181"/>
      <c r="O101" s="181"/>
      <c r="P101" s="396">
        <f t="shared" si="50"/>
        <v>816103</v>
      </c>
      <c r="Q101" s="250">
        <f t="shared" si="61"/>
        <v>6757982</v>
      </c>
    </row>
    <row r="102" spans="1:19" ht="137.25" x14ac:dyDescent="0.2">
      <c r="A102" s="249" t="s">
        <v>73</v>
      </c>
      <c r="B102" s="249" t="s">
        <v>282</v>
      </c>
      <c r="C102" s="249" t="s">
        <v>292</v>
      </c>
      <c r="D102" s="249" t="s">
        <v>74</v>
      </c>
      <c r="E102" s="167">
        <f t="shared" ref="E102:E107" si="62">F102</f>
        <v>10002475</v>
      </c>
      <c r="F102" s="133">
        <v>10002475</v>
      </c>
      <c r="G102" s="287"/>
      <c r="H102" s="287"/>
      <c r="I102" s="287"/>
      <c r="J102" s="390">
        <f t="shared" si="51"/>
        <v>0</v>
      </c>
      <c r="K102" s="287"/>
      <c r="L102" s="287"/>
      <c r="M102" s="287"/>
      <c r="N102" s="287"/>
      <c r="O102" s="181"/>
      <c r="P102" s="396">
        <f t="shared" si="50"/>
        <v>0</v>
      </c>
      <c r="Q102" s="250">
        <f t="shared" si="61"/>
        <v>10002475</v>
      </c>
    </row>
    <row r="103" spans="1:19" ht="137.25" x14ac:dyDescent="0.2">
      <c r="A103" s="249" t="s">
        <v>75</v>
      </c>
      <c r="B103" s="249" t="s">
        <v>283</v>
      </c>
      <c r="C103" s="249" t="s">
        <v>292</v>
      </c>
      <c r="D103" s="249" t="s">
        <v>6</v>
      </c>
      <c r="E103" s="167">
        <f t="shared" si="62"/>
        <v>1727513</v>
      </c>
      <c r="F103" s="133">
        <v>1727513</v>
      </c>
      <c r="G103" s="287"/>
      <c r="H103" s="287"/>
      <c r="I103" s="287"/>
      <c r="J103" s="390">
        <f t="shared" si="51"/>
        <v>0</v>
      </c>
      <c r="K103" s="287"/>
      <c r="L103" s="287"/>
      <c r="M103" s="287"/>
      <c r="N103" s="287"/>
      <c r="O103" s="181"/>
      <c r="P103" s="396">
        <f t="shared" si="50"/>
        <v>0</v>
      </c>
      <c r="Q103" s="250">
        <f t="shared" si="61"/>
        <v>1727513</v>
      </c>
    </row>
    <row r="104" spans="1:19" ht="183" x14ac:dyDescent="0.2">
      <c r="A104" s="249" t="s">
        <v>76</v>
      </c>
      <c r="B104" s="249" t="s">
        <v>284</v>
      </c>
      <c r="C104" s="249" t="s">
        <v>292</v>
      </c>
      <c r="D104" s="249" t="s">
        <v>573</v>
      </c>
      <c r="E104" s="167">
        <f>F104</f>
        <v>53014</v>
      </c>
      <c r="F104" s="133">
        <v>53014</v>
      </c>
      <c r="G104" s="133"/>
      <c r="H104" s="133"/>
      <c r="I104" s="287"/>
      <c r="J104" s="390">
        <f t="shared" si="51"/>
        <v>0</v>
      </c>
      <c r="K104" s="287"/>
      <c r="L104" s="133"/>
      <c r="M104" s="133"/>
      <c r="N104" s="133"/>
      <c r="O104" s="181"/>
      <c r="P104" s="396">
        <f t="shared" si="50"/>
        <v>0</v>
      </c>
      <c r="Q104" s="250">
        <f t="shared" si="61"/>
        <v>53014</v>
      </c>
    </row>
    <row r="105" spans="1:19" ht="183" x14ac:dyDescent="0.2">
      <c r="A105" s="249" t="s">
        <v>49</v>
      </c>
      <c r="B105" s="249" t="s">
        <v>289</v>
      </c>
      <c r="C105" s="249" t="s">
        <v>292</v>
      </c>
      <c r="D105" s="249" t="s">
        <v>77</v>
      </c>
      <c r="E105" s="167">
        <f t="shared" si="62"/>
        <v>18126095</v>
      </c>
      <c r="F105" s="133">
        <v>18126095</v>
      </c>
      <c r="G105" s="133">
        <f>12402731</f>
        <v>12402731</v>
      </c>
      <c r="H105" s="133">
        <v>1021244</v>
      </c>
      <c r="I105" s="133"/>
      <c r="J105" s="390">
        <f t="shared" si="51"/>
        <v>1649644</v>
      </c>
      <c r="K105" s="133"/>
      <c r="L105" s="133">
        <v>1649644</v>
      </c>
      <c r="M105" s="133">
        <v>757155</v>
      </c>
      <c r="N105" s="133">
        <v>248836</v>
      </c>
      <c r="O105" s="181"/>
      <c r="P105" s="396">
        <f t="shared" si="50"/>
        <v>0</v>
      </c>
      <c r="Q105" s="250">
        <f t="shared" si="61"/>
        <v>19775739</v>
      </c>
    </row>
    <row r="106" spans="1:19" ht="183" x14ac:dyDescent="0.2">
      <c r="A106" s="249" t="s">
        <v>50</v>
      </c>
      <c r="B106" s="249" t="s">
        <v>290</v>
      </c>
      <c r="C106" s="249" t="s">
        <v>292</v>
      </c>
      <c r="D106" s="249" t="s">
        <v>78</v>
      </c>
      <c r="E106" s="167">
        <f t="shared" si="62"/>
        <v>4254685</v>
      </c>
      <c r="F106" s="133">
        <v>4254685</v>
      </c>
      <c r="G106" s="133"/>
      <c r="H106" s="133"/>
      <c r="I106" s="133"/>
      <c r="J106" s="390">
        <f t="shared" si="51"/>
        <v>0</v>
      </c>
      <c r="K106" s="133"/>
      <c r="L106" s="133"/>
      <c r="M106" s="133"/>
      <c r="N106" s="133"/>
      <c r="O106" s="181"/>
      <c r="P106" s="396">
        <f t="shared" si="50"/>
        <v>0</v>
      </c>
      <c r="Q106" s="250">
        <f t="shared" si="61"/>
        <v>4254685</v>
      </c>
    </row>
    <row r="107" spans="1:19" ht="274.5" x14ac:dyDescent="0.2">
      <c r="A107" s="297" t="s">
        <v>51</v>
      </c>
      <c r="B107" s="297" t="s">
        <v>291</v>
      </c>
      <c r="C107" s="297" t="s">
        <v>292</v>
      </c>
      <c r="D107" s="249" t="s">
        <v>52</v>
      </c>
      <c r="E107" s="167">
        <f t="shared" si="62"/>
        <v>1500611</v>
      </c>
      <c r="F107" s="133">
        <v>1500611</v>
      </c>
      <c r="G107" s="287"/>
      <c r="H107" s="287"/>
      <c r="I107" s="287"/>
      <c r="J107" s="390">
        <f t="shared" si="51"/>
        <v>0</v>
      </c>
      <c r="K107" s="287"/>
      <c r="L107" s="287"/>
      <c r="M107" s="287"/>
      <c r="N107" s="287"/>
      <c r="O107" s="181"/>
      <c r="P107" s="396">
        <f t="shared" si="50"/>
        <v>0</v>
      </c>
      <c r="Q107" s="250">
        <f t="shared" si="61"/>
        <v>1500611</v>
      </c>
    </row>
    <row r="108" spans="1:19" ht="91.5" x14ac:dyDescent="0.2">
      <c r="A108" s="297" t="s">
        <v>53</v>
      </c>
      <c r="B108" s="297" t="s">
        <v>293</v>
      </c>
      <c r="C108" s="297" t="s">
        <v>292</v>
      </c>
      <c r="D108" s="249" t="s">
        <v>54</v>
      </c>
      <c r="E108" s="167">
        <f>F108</f>
        <v>1179249</v>
      </c>
      <c r="F108" s="133">
        <v>1179249</v>
      </c>
      <c r="G108" s="287">
        <v>813300</v>
      </c>
      <c r="H108" s="287"/>
      <c r="I108" s="287"/>
      <c r="J108" s="390">
        <f t="shared" si="51"/>
        <v>42000</v>
      </c>
      <c r="K108" s="287"/>
      <c r="L108" s="287">
        <v>42000</v>
      </c>
      <c r="M108" s="287"/>
      <c r="N108" s="287"/>
      <c r="O108" s="181"/>
      <c r="P108" s="396">
        <f t="shared" si="50"/>
        <v>0</v>
      </c>
      <c r="Q108" s="250">
        <f t="shared" si="61"/>
        <v>1221249</v>
      </c>
    </row>
    <row r="109" spans="1:19" ht="274.5" x14ac:dyDescent="0.2">
      <c r="A109" s="297" t="s">
        <v>547</v>
      </c>
      <c r="B109" s="297" t="s">
        <v>546</v>
      </c>
      <c r="C109" s="297" t="s">
        <v>545</v>
      </c>
      <c r="D109" s="249" t="s">
        <v>544</v>
      </c>
      <c r="E109" s="167">
        <f>F109</f>
        <v>21000</v>
      </c>
      <c r="F109" s="133">
        <v>21000</v>
      </c>
      <c r="G109" s="287"/>
      <c r="H109" s="287"/>
      <c r="I109" s="287"/>
      <c r="J109" s="390">
        <f t="shared" si="51"/>
        <v>0</v>
      </c>
      <c r="K109" s="287"/>
      <c r="L109" s="287"/>
      <c r="M109" s="287"/>
      <c r="N109" s="287"/>
      <c r="O109" s="181"/>
      <c r="P109" s="396">
        <f t="shared" si="50"/>
        <v>0</v>
      </c>
      <c r="Q109" s="250">
        <f t="shared" si="61"/>
        <v>21000</v>
      </c>
    </row>
    <row r="110" spans="1:19" ht="91.5" hidden="1" x14ac:dyDescent="0.2">
      <c r="A110" s="203" t="s">
        <v>647</v>
      </c>
      <c r="B110" s="202" t="s">
        <v>604</v>
      </c>
      <c r="C110" s="202" t="s">
        <v>71</v>
      </c>
      <c r="D110" s="202" t="s">
        <v>605</v>
      </c>
      <c r="E110" s="167">
        <f>F110</f>
        <v>0</v>
      </c>
      <c r="F110" s="133">
        <f>30000-30000</f>
        <v>0</v>
      </c>
      <c r="G110" s="133"/>
      <c r="H110" s="133"/>
      <c r="I110" s="133"/>
      <c r="J110" s="390" t="e">
        <f t="shared" si="51"/>
        <v>#REF!</v>
      </c>
      <c r="K110" s="250"/>
      <c r="L110" s="133"/>
      <c r="M110" s="133"/>
      <c r="N110" s="133"/>
      <c r="O110" s="181" t="e">
        <f>#REF!</f>
        <v>#REF!</v>
      </c>
      <c r="P110" s="373" t="e">
        <f t="shared" si="50"/>
        <v>#REF!</v>
      </c>
      <c r="Q110" s="250" t="e">
        <f t="shared" si="61"/>
        <v>#REF!</v>
      </c>
    </row>
    <row r="111" spans="1:19" ht="180" x14ac:dyDescent="0.2">
      <c r="A111" s="290" t="s">
        <v>245</v>
      </c>
      <c r="B111" s="290"/>
      <c r="C111" s="290"/>
      <c r="D111" s="290" t="s">
        <v>42</v>
      </c>
      <c r="E111" s="373">
        <f>E112</f>
        <v>227887687</v>
      </c>
      <c r="F111" s="373">
        <f t="shared" ref="F111" si="63">F112</f>
        <v>227887687</v>
      </c>
      <c r="G111" s="373">
        <f t="shared" ref="G111" si="64">G112</f>
        <v>7972950</v>
      </c>
      <c r="H111" s="373">
        <f>H112</f>
        <v>151500</v>
      </c>
      <c r="I111" s="373">
        <f t="shared" ref="I111" si="65">I112</f>
        <v>0</v>
      </c>
      <c r="J111" s="373">
        <f>J112</f>
        <v>155532314</v>
      </c>
      <c r="K111" s="373">
        <f>K112</f>
        <v>154161314</v>
      </c>
      <c r="L111" s="373">
        <f>L112</f>
        <v>1371000</v>
      </c>
      <c r="M111" s="373">
        <f t="shared" ref="M111" si="66">M112</f>
        <v>0</v>
      </c>
      <c r="N111" s="373">
        <f>N112</f>
        <v>0</v>
      </c>
      <c r="O111" s="291">
        <f t="shared" ref="O111:Q111" si="67">O112</f>
        <v>0</v>
      </c>
      <c r="P111" s="373">
        <f t="shared" si="50"/>
        <v>154161314</v>
      </c>
      <c r="Q111" s="291">
        <f t="shared" si="67"/>
        <v>383420001</v>
      </c>
    </row>
    <row r="112" spans="1:19" ht="180" x14ac:dyDescent="0.2">
      <c r="A112" s="294" t="s">
        <v>246</v>
      </c>
      <c r="B112" s="294"/>
      <c r="C112" s="294"/>
      <c r="D112" s="294" t="s">
        <v>63</v>
      </c>
      <c r="E112" s="292">
        <f>SUM(E113:E129)</f>
        <v>227887687</v>
      </c>
      <c r="F112" s="292">
        <f t="shared" ref="F112:O112" si="68">SUM(F113:F129)</f>
        <v>227887687</v>
      </c>
      <c r="G112" s="292">
        <f t="shared" si="68"/>
        <v>7972950</v>
      </c>
      <c r="H112" s="292">
        <f t="shared" si="68"/>
        <v>151500</v>
      </c>
      <c r="I112" s="292">
        <f t="shared" si="68"/>
        <v>0</v>
      </c>
      <c r="J112" s="292">
        <f>L112+P112</f>
        <v>155532314</v>
      </c>
      <c r="K112" s="292">
        <f t="shared" si="68"/>
        <v>154161314</v>
      </c>
      <c r="L112" s="292">
        <f t="shared" si="68"/>
        <v>1371000</v>
      </c>
      <c r="M112" s="292">
        <f t="shared" si="68"/>
        <v>0</v>
      </c>
      <c r="N112" s="292">
        <f t="shared" si="68"/>
        <v>0</v>
      </c>
      <c r="O112" s="292">
        <f t="shared" si="68"/>
        <v>0</v>
      </c>
      <c r="P112" s="386">
        <f t="shared" si="50"/>
        <v>154161314</v>
      </c>
      <c r="Q112" s="292">
        <f>E112+J112</f>
        <v>383420001</v>
      </c>
      <c r="R112" s="179" t="b">
        <f>Q112=Q114+Q116+Q117+Q118+Q119+Q120+Q121+Q124+Q125+Q126+Q129+Q115+Q113+Q122+Q123+Q127</f>
        <v>1</v>
      </c>
      <c r="S112" s="182" t="b">
        <f>K112='dod5'!I51</f>
        <v>1</v>
      </c>
    </row>
    <row r="113" spans="1:19" ht="228.75" x14ac:dyDescent="0.2">
      <c r="A113" s="343" t="s">
        <v>772</v>
      </c>
      <c r="B113" s="343" t="s">
        <v>344</v>
      </c>
      <c r="C113" s="343" t="s">
        <v>342</v>
      </c>
      <c r="D113" s="343" t="s">
        <v>343</v>
      </c>
      <c r="E113" s="167">
        <f>F113</f>
        <v>9531200</v>
      </c>
      <c r="F113" s="133">
        <v>9531200</v>
      </c>
      <c r="G113" s="133">
        <v>7129200</v>
      </c>
      <c r="H113" s="133">
        <v>130000</v>
      </c>
      <c r="I113" s="133"/>
      <c r="J113" s="390">
        <f t="shared" si="51"/>
        <v>0</v>
      </c>
      <c r="K113" s="133"/>
      <c r="L113" s="181"/>
      <c r="M113" s="181"/>
      <c r="N113" s="181"/>
      <c r="O113" s="181"/>
      <c r="P113" s="396">
        <f>K113+O113</f>
        <v>0</v>
      </c>
      <c r="Q113" s="345">
        <f t="shared" ref="Q113:Q118" si="69">+J113+E113</f>
        <v>9531200</v>
      </c>
      <c r="R113" s="179"/>
      <c r="S113" s="182"/>
    </row>
    <row r="114" spans="1:19" ht="137.25" x14ac:dyDescent="0.2">
      <c r="A114" s="310" t="s">
        <v>420</v>
      </c>
      <c r="B114" s="310" t="s">
        <v>421</v>
      </c>
      <c r="C114" s="310" t="s">
        <v>423</v>
      </c>
      <c r="D114" s="310" t="s">
        <v>422</v>
      </c>
      <c r="E114" s="167">
        <f t="shared" ref="E114:E129" si="70">F114</f>
        <v>50000</v>
      </c>
      <c r="F114" s="133">
        <v>50000</v>
      </c>
      <c r="G114" s="133"/>
      <c r="H114" s="133"/>
      <c r="I114" s="133"/>
      <c r="J114" s="390">
        <f t="shared" si="51"/>
        <v>4550000</v>
      </c>
      <c r="K114" s="133">
        <v>4550000</v>
      </c>
      <c r="L114" s="181"/>
      <c r="M114" s="181"/>
      <c r="N114" s="181"/>
      <c r="O114" s="181"/>
      <c r="P114" s="396">
        <f>K114+O114</f>
        <v>4550000</v>
      </c>
      <c r="Q114" s="312">
        <f t="shared" si="69"/>
        <v>4600000</v>
      </c>
    </row>
    <row r="115" spans="1:19" ht="137.25" x14ac:dyDescent="0.2">
      <c r="A115" s="310" t="s">
        <v>649</v>
      </c>
      <c r="B115" s="310" t="s">
        <v>650</v>
      </c>
      <c r="C115" s="310" t="s">
        <v>423</v>
      </c>
      <c r="D115" s="310" t="s">
        <v>651</v>
      </c>
      <c r="E115" s="167">
        <f t="shared" si="70"/>
        <v>18000000</v>
      </c>
      <c r="F115" s="133">
        <v>18000000</v>
      </c>
      <c r="G115" s="133"/>
      <c r="H115" s="133"/>
      <c r="I115" s="133"/>
      <c r="J115" s="390">
        <f t="shared" si="51"/>
        <v>0</v>
      </c>
      <c r="K115" s="133"/>
      <c r="L115" s="181"/>
      <c r="M115" s="181"/>
      <c r="N115" s="181"/>
      <c r="O115" s="181"/>
      <c r="P115" s="396">
        <f t="shared" ref="P115:P136" si="71">K115+O115</f>
        <v>0</v>
      </c>
      <c r="Q115" s="312">
        <f t="shared" si="69"/>
        <v>18000000</v>
      </c>
    </row>
    <row r="116" spans="1:19" ht="137.25" x14ac:dyDescent="0.2">
      <c r="A116" s="310" t="s">
        <v>427</v>
      </c>
      <c r="B116" s="310" t="s">
        <v>428</v>
      </c>
      <c r="C116" s="310" t="s">
        <v>423</v>
      </c>
      <c r="D116" s="310" t="s">
        <v>429</v>
      </c>
      <c r="E116" s="167">
        <f t="shared" si="70"/>
        <v>553700</v>
      </c>
      <c r="F116" s="133">
        <v>553700</v>
      </c>
      <c r="G116" s="133"/>
      <c r="H116" s="133"/>
      <c r="I116" s="133"/>
      <c r="J116" s="390">
        <f t="shared" si="51"/>
        <v>0</v>
      </c>
      <c r="K116" s="133"/>
      <c r="L116" s="181"/>
      <c r="M116" s="181"/>
      <c r="N116" s="181"/>
      <c r="O116" s="181"/>
      <c r="P116" s="396">
        <f t="shared" si="71"/>
        <v>0</v>
      </c>
      <c r="Q116" s="312">
        <f t="shared" si="69"/>
        <v>553700</v>
      </c>
    </row>
    <row r="117" spans="1:19" ht="137.25" x14ac:dyDescent="0.2">
      <c r="A117" s="310" t="s">
        <v>450</v>
      </c>
      <c r="B117" s="310" t="s">
        <v>451</v>
      </c>
      <c r="C117" s="310" t="s">
        <v>423</v>
      </c>
      <c r="D117" s="310" t="s">
        <v>452</v>
      </c>
      <c r="E117" s="167">
        <f t="shared" si="70"/>
        <v>0</v>
      </c>
      <c r="F117" s="133"/>
      <c r="G117" s="133"/>
      <c r="H117" s="133"/>
      <c r="I117" s="133"/>
      <c r="J117" s="390">
        <f t="shared" si="51"/>
        <v>5000000</v>
      </c>
      <c r="K117" s="133">
        <v>5000000</v>
      </c>
      <c r="L117" s="181"/>
      <c r="M117" s="181"/>
      <c r="N117" s="181"/>
      <c r="O117" s="181"/>
      <c r="P117" s="396">
        <f t="shared" si="71"/>
        <v>5000000</v>
      </c>
      <c r="Q117" s="312">
        <f t="shared" si="69"/>
        <v>5000000</v>
      </c>
    </row>
    <row r="118" spans="1:19" ht="183" x14ac:dyDescent="0.2">
      <c r="A118" s="310" t="s">
        <v>424</v>
      </c>
      <c r="B118" s="310" t="s">
        <v>425</v>
      </c>
      <c r="C118" s="310" t="s">
        <v>423</v>
      </c>
      <c r="D118" s="310" t="s">
        <v>426</v>
      </c>
      <c r="E118" s="167">
        <f t="shared" si="70"/>
        <v>0</v>
      </c>
      <c r="F118" s="133">
        <v>0</v>
      </c>
      <c r="G118" s="133"/>
      <c r="H118" s="133"/>
      <c r="I118" s="133"/>
      <c r="J118" s="390">
        <f t="shared" si="51"/>
        <v>23000000</v>
      </c>
      <c r="K118" s="133">
        <v>23000000</v>
      </c>
      <c r="L118" s="181"/>
      <c r="M118" s="181"/>
      <c r="N118" s="181"/>
      <c r="O118" s="181"/>
      <c r="P118" s="396">
        <f t="shared" si="71"/>
        <v>23000000</v>
      </c>
      <c r="Q118" s="312">
        <f t="shared" si="69"/>
        <v>23000000</v>
      </c>
    </row>
    <row r="119" spans="1:19" ht="228.75" x14ac:dyDescent="0.2">
      <c r="A119" s="310" t="s">
        <v>444</v>
      </c>
      <c r="B119" s="310" t="s">
        <v>445</v>
      </c>
      <c r="C119" s="310" t="s">
        <v>423</v>
      </c>
      <c r="D119" s="310" t="s">
        <v>446</v>
      </c>
      <c r="E119" s="167">
        <f t="shared" si="70"/>
        <v>370575</v>
      </c>
      <c r="F119" s="133">
        <v>370575</v>
      </c>
      <c r="G119" s="133"/>
      <c r="H119" s="133"/>
      <c r="I119" s="133"/>
      <c r="J119" s="390">
        <f t="shared" si="51"/>
        <v>0</v>
      </c>
      <c r="K119" s="315"/>
      <c r="L119" s="133"/>
      <c r="M119" s="133"/>
      <c r="N119" s="133"/>
      <c r="O119" s="181"/>
      <c r="P119" s="396">
        <f t="shared" si="71"/>
        <v>0</v>
      </c>
      <c r="Q119" s="312">
        <f>E119+J119</f>
        <v>370575</v>
      </c>
    </row>
    <row r="120" spans="1:19" ht="91.5" x14ac:dyDescent="0.2">
      <c r="A120" s="310" t="s">
        <v>430</v>
      </c>
      <c r="B120" s="310" t="s">
        <v>431</v>
      </c>
      <c r="C120" s="310" t="s">
        <v>423</v>
      </c>
      <c r="D120" s="310" t="s">
        <v>432</v>
      </c>
      <c r="E120" s="167">
        <f t="shared" si="70"/>
        <v>111566028</v>
      </c>
      <c r="F120" s="133">
        <v>111566028</v>
      </c>
      <c r="G120" s="133"/>
      <c r="H120" s="133">
        <v>10000</v>
      </c>
      <c r="I120" s="133"/>
      <c r="J120" s="390">
        <f t="shared" si="51"/>
        <v>19160721</v>
      </c>
      <c r="K120" s="315">
        <v>19160721</v>
      </c>
      <c r="L120" s="133"/>
      <c r="M120" s="133"/>
      <c r="N120" s="133"/>
      <c r="O120" s="181"/>
      <c r="P120" s="396">
        <f t="shared" si="71"/>
        <v>19160721</v>
      </c>
      <c r="Q120" s="312">
        <f>E120+J120</f>
        <v>130726749</v>
      </c>
    </row>
    <row r="121" spans="1:19" ht="92.25" x14ac:dyDescent="0.2">
      <c r="A121" s="310" t="s">
        <v>454</v>
      </c>
      <c r="B121" s="310" t="s">
        <v>455</v>
      </c>
      <c r="C121" s="310" t="s">
        <v>453</v>
      </c>
      <c r="D121" s="310" t="s">
        <v>456</v>
      </c>
      <c r="E121" s="167">
        <f t="shared" si="70"/>
        <v>0</v>
      </c>
      <c r="F121" s="133"/>
      <c r="G121" s="133"/>
      <c r="H121" s="133"/>
      <c r="I121" s="133"/>
      <c r="J121" s="390">
        <f t="shared" si="51"/>
        <v>9700000</v>
      </c>
      <c r="K121" s="315">
        <v>9700000</v>
      </c>
      <c r="L121" s="133"/>
      <c r="M121" s="133"/>
      <c r="N121" s="133"/>
      <c r="O121" s="181"/>
      <c r="P121" s="396">
        <f t="shared" si="71"/>
        <v>9700000</v>
      </c>
      <c r="Q121" s="312">
        <f>E121+J121</f>
        <v>9700000</v>
      </c>
    </row>
    <row r="122" spans="1:19" ht="91.5" x14ac:dyDescent="0.2">
      <c r="A122" s="343" t="s">
        <v>748</v>
      </c>
      <c r="B122" s="343" t="s">
        <v>749</v>
      </c>
      <c r="C122" s="343" t="s">
        <v>750</v>
      </c>
      <c r="D122" s="343" t="s">
        <v>751</v>
      </c>
      <c r="E122" s="167">
        <f t="shared" si="70"/>
        <v>10620634</v>
      </c>
      <c r="F122" s="133">
        <v>10620634</v>
      </c>
      <c r="G122" s="133"/>
      <c r="H122" s="133"/>
      <c r="I122" s="133"/>
      <c r="J122" s="390">
        <f t="shared" si="51"/>
        <v>0</v>
      </c>
      <c r="K122" s="346"/>
      <c r="L122" s="133"/>
      <c r="M122" s="133"/>
      <c r="N122" s="133"/>
      <c r="O122" s="181"/>
      <c r="P122" s="396">
        <f t="shared" si="71"/>
        <v>0</v>
      </c>
      <c r="Q122" s="345">
        <f>E122+J122</f>
        <v>10620634</v>
      </c>
    </row>
    <row r="123" spans="1:19" ht="91.5" x14ac:dyDescent="0.2">
      <c r="A123" s="343" t="s">
        <v>433</v>
      </c>
      <c r="B123" s="343" t="s">
        <v>434</v>
      </c>
      <c r="C123" s="343" t="s">
        <v>436</v>
      </c>
      <c r="D123" s="343" t="s">
        <v>435</v>
      </c>
      <c r="E123" s="167">
        <f t="shared" si="70"/>
        <v>16217135</v>
      </c>
      <c r="F123" s="133">
        <v>16217135</v>
      </c>
      <c r="G123" s="133"/>
      <c r="H123" s="133"/>
      <c r="I123" s="133"/>
      <c r="J123" s="390">
        <f t="shared" si="51"/>
        <v>0</v>
      </c>
      <c r="K123" s="346"/>
      <c r="L123" s="133"/>
      <c r="M123" s="133"/>
      <c r="N123" s="133"/>
      <c r="O123" s="181"/>
      <c r="P123" s="396">
        <f t="shared" si="71"/>
        <v>0</v>
      </c>
      <c r="Q123" s="345">
        <f>E123+J123</f>
        <v>16217135</v>
      </c>
    </row>
    <row r="124" spans="1:19" ht="228.75" x14ac:dyDescent="0.2">
      <c r="A124" s="310" t="s">
        <v>437</v>
      </c>
      <c r="B124" s="310" t="s">
        <v>438</v>
      </c>
      <c r="C124" s="310" t="s">
        <v>440</v>
      </c>
      <c r="D124" s="310" t="s">
        <v>439</v>
      </c>
      <c r="E124" s="167">
        <f t="shared" si="70"/>
        <v>59477425</v>
      </c>
      <c r="F124" s="133">
        <v>59477425</v>
      </c>
      <c r="G124" s="133"/>
      <c r="H124" s="133"/>
      <c r="I124" s="133"/>
      <c r="J124" s="390">
        <f t="shared" si="51"/>
        <v>82763108</v>
      </c>
      <c r="K124" s="133">
        <v>82763108</v>
      </c>
      <c r="L124" s="181"/>
      <c r="M124" s="181"/>
      <c r="N124" s="181"/>
      <c r="O124" s="181"/>
      <c r="P124" s="396">
        <f t="shared" si="71"/>
        <v>82763108</v>
      </c>
      <c r="Q124" s="312">
        <f>+J124+E124</f>
        <v>142240533</v>
      </c>
    </row>
    <row r="125" spans="1:19" ht="46.5" x14ac:dyDescent="0.2">
      <c r="A125" s="310" t="s">
        <v>441</v>
      </c>
      <c r="B125" s="310" t="s">
        <v>320</v>
      </c>
      <c r="C125" s="310" t="s">
        <v>321</v>
      </c>
      <c r="D125" s="310" t="s">
        <v>67</v>
      </c>
      <c r="E125" s="167">
        <f t="shared" si="70"/>
        <v>250000</v>
      </c>
      <c r="F125" s="133">
        <v>250000</v>
      </c>
      <c r="G125" s="133"/>
      <c r="H125" s="133"/>
      <c r="I125" s="133"/>
      <c r="J125" s="390">
        <f t="shared" si="51"/>
        <v>1250000</v>
      </c>
      <c r="K125" s="315">
        <f>1000000+250000</f>
        <v>1250000</v>
      </c>
      <c r="L125" s="133"/>
      <c r="M125" s="133"/>
      <c r="N125" s="133"/>
      <c r="O125" s="181"/>
      <c r="P125" s="396">
        <f t="shared" si="71"/>
        <v>1250000</v>
      </c>
      <c r="Q125" s="312">
        <f>E125+J125</f>
        <v>1500000</v>
      </c>
    </row>
    <row r="126" spans="1:19" ht="91.5" x14ac:dyDescent="0.65">
      <c r="A126" s="310" t="s">
        <v>458</v>
      </c>
      <c r="B126" s="310" t="s">
        <v>294</v>
      </c>
      <c r="C126" s="310" t="s">
        <v>257</v>
      </c>
      <c r="D126" s="310" t="s">
        <v>57</v>
      </c>
      <c r="E126" s="167">
        <f t="shared" si="70"/>
        <v>0</v>
      </c>
      <c r="F126" s="133"/>
      <c r="G126" s="133"/>
      <c r="H126" s="133"/>
      <c r="I126" s="133"/>
      <c r="J126" s="390">
        <f t="shared" si="51"/>
        <v>8737485</v>
      </c>
      <c r="K126" s="315">
        <f>8180115+557370</f>
        <v>8737485</v>
      </c>
      <c r="L126" s="133"/>
      <c r="M126" s="133"/>
      <c r="N126" s="133"/>
      <c r="O126" s="181"/>
      <c r="P126" s="396">
        <f t="shared" si="71"/>
        <v>8737485</v>
      </c>
      <c r="Q126" s="312">
        <f>E126+J126</f>
        <v>8737485</v>
      </c>
      <c r="R126" s="227"/>
    </row>
    <row r="127" spans="1:19" ht="409.5" x14ac:dyDescent="0.2">
      <c r="A127" s="442" t="s">
        <v>779</v>
      </c>
      <c r="B127" s="442" t="s">
        <v>541</v>
      </c>
      <c r="C127" s="442" t="s">
        <v>257</v>
      </c>
      <c r="D127" s="360" t="s">
        <v>552</v>
      </c>
      <c r="E127" s="440">
        <f t="shared" si="70"/>
        <v>0</v>
      </c>
      <c r="F127" s="444"/>
      <c r="G127" s="444"/>
      <c r="H127" s="444"/>
      <c r="I127" s="444"/>
      <c r="J127" s="447">
        <f t="shared" si="51"/>
        <v>1371000</v>
      </c>
      <c r="K127" s="444"/>
      <c r="L127" s="444">
        <v>1371000</v>
      </c>
      <c r="M127" s="444"/>
      <c r="N127" s="444"/>
      <c r="O127" s="444"/>
      <c r="P127" s="448">
        <f t="shared" si="71"/>
        <v>0</v>
      </c>
      <c r="Q127" s="440">
        <f>E127+J127</f>
        <v>1371000</v>
      </c>
      <c r="R127" s="409">
        <f>Q127</f>
        <v>1371000</v>
      </c>
    </row>
    <row r="128" spans="1:19" ht="137.25" x14ac:dyDescent="0.65">
      <c r="A128" s="443"/>
      <c r="B128" s="443"/>
      <c r="C128" s="443"/>
      <c r="D128" s="370" t="s">
        <v>553</v>
      </c>
      <c r="E128" s="441"/>
      <c r="F128" s="445"/>
      <c r="G128" s="446"/>
      <c r="H128" s="445"/>
      <c r="I128" s="445"/>
      <c r="J128" s="439"/>
      <c r="K128" s="443"/>
      <c r="L128" s="445"/>
      <c r="M128" s="445"/>
      <c r="N128" s="445"/>
      <c r="O128" s="445"/>
      <c r="P128" s="449"/>
      <c r="Q128" s="441"/>
      <c r="R128" s="227"/>
    </row>
    <row r="129" spans="1:19" ht="91.5" x14ac:dyDescent="0.2">
      <c r="A129" s="310" t="s">
        <v>388</v>
      </c>
      <c r="B129" s="310" t="s">
        <v>389</v>
      </c>
      <c r="C129" s="310" t="s">
        <v>390</v>
      </c>
      <c r="D129" s="310" t="s">
        <v>387</v>
      </c>
      <c r="E129" s="167">
        <f t="shared" si="70"/>
        <v>1250990</v>
      </c>
      <c r="F129" s="133">
        <v>1250990</v>
      </c>
      <c r="G129" s="133">
        <v>843750</v>
      </c>
      <c r="H129" s="133">
        <v>11500</v>
      </c>
      <c r="I129" s="133"/>
      <c r="J129" s="390">
        <f t="shared" si="51"/>
        <v>0</v>
      </c>
      <c r="K129" s="315"/>
      <c r="L129" s="133"/>
      <c r="M129" s="133"/>
      <c r="N129" s="133"/>
      <c r="O129" s="181"/>
      <c r="P129" s="396">
        <f t="shared" si="71"/>
        <v>0</v>
      </c>
      <c r="Q129" s="312">
        <f>E129+J129</f>
        <v>1250990</v>
      </c>
    </row>
    <row r="130" spans="1:19" ht="315" x14ac:dyDescent="0.2">
      <c r="A130" s="290" t="s">
        <v>44</v>
      </c>
      <c r="B130" s="290"/>
      <c r="C130" s="290"/>
      <c r="D130" s="290" t="s">
        <v>643</v>
      </c>
      <c r="E130" s="373">
        <f>E131</f>
        <v>2696500</v>
      </c>
      <c r="F130" s="373">
        <f t="shared" ref="F130" si="72">F131</f>
        <v>2696500</v>
      </c>
      <c r="G130" s="373">
        <f t="shared" ref="G130" si="73">G131</f>
        <v>1776300</v>
      </c>
      <c r="H130" s="373">
        <f>H131</f>
        <v>100000</v>
      </c>
      <c r="I130" s="373">
        <f t="shared" ref="I130" si="74">I131</f>
        <v>0</v>
      </c>
      <c r="J130" s="373">
        <f>J131</f>
        <v>53000000</v>
      </c>
      <c r="K130" s="373">
        <f>K131</f>
        <v>53000000</v>
      </c>
      <c r="L130" s="373">
        <f>L131</f>
        <v>0</v>
      </c>
      <c r="M130" s="373">
        <f t="shared" ref="M130" si="75">M131</f>
        <v>0</v>
      </c>
      <c r="N130" s="373">
        <f>N131</f>
        <v>0</v>
      </c>
      <c r="O130" s="291">
        <f t="shared" ref="O130:Q130" si="76">O131</f>
        <v>0</v>
      </c>
      <c r="P130" s="373">
        <f t="shared" si="71"/>
        <v>53000000</v>
      </c>
      <c r="Q130" s="291">
        <f t="shared" si="76"/>
        <v>55696500</v>
      </c>
    </row>
    <row r="131" spans="1:19" ht="270" x14ac:dyDescent="0.2">
      <c r="A131" s="294" t="s">
        <v>45</v>
      </c>
      <c r="B131" s="294"/>
      <c r="C131" s="294"/>
      <c r="D131" s="294" t="s">
        <v>642</v>
      </c>
      <c r="E131" s="292">
        <f t="shared" ref="E131:O131" si="77">SUM(E132:E135)</f>
        <v>2696500</v>
      </c>
      <c r="F131" s="292">
        <f t="shared" si="77"/>
        <v>2696500</v>
      </c>
      <c r="G131" s="292">
        <f t="shared" si="77"/>
        <v>1776300</v>
      </c>
      <c r="H131" s="292">
        <f t="shared" si="77"/>
        <v>100000</v>
      </c>
      <c r="I131" s="292">
        <f t="shared" si="77"/>
        <v>0</v>
      </c>
      <c r="J131" s="292">
        <f>L131+P131</f>
        <v>53000000</v>
      </c>
      <c r="K131" s="292">
        <f t="shared" si="77"/>
        <v>53000000</v>
      </c>
      <c r="L131" s="292">
        <f t="shared" si="77"/>
        <v>0</v>
      </c>
      <c r="M131" s="292">
        <f t="shared" si="77"/>
        <v>0</v>
      </c>
      <c r="N131" s="292">
        <f t="shared" si="77"/>
        <v>0</v>
      </c>
      <c r="O131" s="292">
        <f t="shared" si="77"/>
        <v>0</v>
      </c>
      <c r="P131" s="386">
        <f t="shared" si="71"/>
        <v>53000000</v>
      </c>
      <c r="Q131" s="292">
        <f>E131+J131</f>
        <v>55696500</v>
      </c>
      <c r="R131" s="179" t="b">
        <f>Q131=Q133+Q134+Q135+Q132</f>
        <v>1</v>
      </c>
      <c r="S131" s="182" t="b">
        <f>K131='dod5'!I76</f>
        <v>1</v>
      </c>
    </row>
    <row r="132" spans="1:19" ht="228.75" x14ac:dyDescent="0.2">
      <c r="A132" s="343" t="s">
        <v>768</v>
      </c>
      <c r="B132" s="343" t="s">
        <v>344</v>
      </c>
      <c r="C132" s="343" t="s">
        <v>342</v>
      </c>
      <c r="D132" s="343" t="s">
        <v>343</v>
      </c>
      <c r="E132" s="345">
        <f t="shared" ref="E132" si="78">F132</f>
        <v>2696500</v>
      </c>
      <c r="F132" s="346">
        <v>2696500</v>
      </c>
      <c r="G132" s="346">
        <v>1776300</v>
      </c>
      <c r="H132" s="346">
        <v>100000</v>
      </c>
      <c r="I132" s="346"/>
      <c r="J132" s="390">
        <f t="shared" ref="J132:J135" si="79">L132+P132</f>
        <v>0</v>
      </c>
      <c r="K132" s="346"/>
      <c r="L132" s="346"/>
      <c r="M132" s="346"/>
      <c r="N132" s="346"/>
      <c r="O132" s="346"/>
      <c r="P132" s="396">
        <f t="shared" si="71"/>
        <v>0</v>
      </c>
      <c r="Q132" s="345">
        <f>E132+J132</f>
        <v>2696500</v>
      </c>
      <c r="R132" s="179"/>
      <c r="S132" s="182"/>
    </row>
    <row r="133" spans="1:19" ht="91.5" x14ac:dyDescent="0.2">
      <c r="A133" s="343" t="s">
        <v>472</v>
      </c>
      <c r="B133" s="343" t="s">
        <v>473</v>
      </c>
      <c r="C133" s="343" t="s">
        <v>453</v>
      </c>
      <c r="D133" s="343" t="s">
        <v>471</v>
      </c>
      <c r="E133" s="345">
        <f t="shared" ref="E133:E134" si="80">F133</f>
        <v>0</v>
      </c>
      <c r="F133" s="346"/>
      <c r="G133" s="346"/>
      <c r="H133" s="346"/>
      <c r="I133" s="346"/>
      <c r="J133" s="390">
        <f t="shared" si="79"/>
        <v>37000000</v>
      </c>
      <c r="K133" s="346">
        <v>37000000</v>
      </c>
      <c r="L133" s="346"/>
      <c r="M133" s="346"/>
      <c r="N133" s="346"/>
      <c r="O133" s="346"/>
      <c r="P133" s="396">
        <f t="shared" si="71"/>
        <v>37000000</v>
      </c>
      <c r="Q133" s="345">
        <f>E133+J133</f>
        <v>37000000</v>
      </c>
    </row>
    <row r="134" spans="1:19" ht="137.25" x14ac:dyDescent="0.2">
      <c r="A134" s="343" t="s">
        <v>474</v>
      </c>
      <c r="B134" s="343" t="s">
        <v>475</v>
      </c>
      <c r="C134" s="343" t="s">
        <v>453</v>
      </c>
      <c r="D134" s="343" t="s">
        <v>476</v>
      </c>
      <c r="E134" s="345">
        <f t="shared" si="80"/>
        <v>0</v>
      </c>
      <c r="F134" s="346"/>
      <c r="G134" s="346"/>
      <c r="H134" s="346"/>
      <c r="I134" s="346"/>
      <c r="J134" s="390">
        <f t="shared" si="79"/>
        <v>4500000</v>
      </c>
      <c r="K134" s="346">
        <v>4500000</v>
      </c>
      <c r="L134" s="346"/>
      <c r="M134" s="346"/>
      <c r="N134" s="346"/>
      <c r="O134" s="346"/>
      <c r="P134" s="396">
        <f t="shared" si="71"/>
        <v>4500000</v>
      </c>
      <c r="Q134" s="345">
        <f>E134+J134</f>
        <v>4500000</v>
      </c>
    </row>
    <row r="135" spans="1:19" ht="183" x14ac:dyDescent="0.2">
      <c r="A135" s="343" t="s">
        <v>478</v>
      </c>
      <c r="B135" s="343" t="s">
        <v>479</v>
      </c>
      <c r="C135" s="343" t="s">
        <v>453</v>
      </c>
      <c r="D135" s="343" t="s">
        <v>477</v>
      </c>
      <c r="E135" s="345">
        <f>F135</f>
        <v>0</v>
      </c>
      <c r="F135" s="346"/>
      <c r="G135" s="346"/>
      <c r="H135" s="346"/>
      <c r="I135" s="346"/>
      <c r="J135" s="346">
        <f t="shared" si="79"/>
        <v>11500000</v>
      </c>
      <c r="K135" s="346">
        <v>11500000</v>
      </c>
      <c r="L135" s="346"/>
      <c r="M135" s="346"/>
      <c r="N135" s="346"/>
      <c r="O135" s="346"/>
      <c r="P135" s="396">
        <f t="shared" si="71"/>
        <v>11500000</v>
      </c>
      <c r="Q135" s="345">
        <f>E135+J135</f>
        <v>11500000</v>
      </c>
    </row>
    <row r="136" spans="1:19" ht="270" x14ac:dyDescent="0.2">
      <c r="A136" s="290" t="s">
        <v>247</v>
      </c>
      <c r="B136" s="290"/>
      <c r="C136" s="290"/>
      <c r="D136" s="290" t="s">
        <v>46</v>
      </c>
      <c r="E136" s="373">
        <f>E137</f>
        <v>3880500</v>
      </c>
      <c r="F136" s="373">
        <f t="shared" ref="F136" si="81">F137</f>
        <v>3880500</v>
      </c>
      <c r="G136" s="373">
        <f t="shared" ref="G136" si="82">G137</f>
        <v>2850700</v>
      </c>
      <c r="H136" s="373">
        <f>H137</f>
        <v>107000</v>
      </c>
      <c r="I136" s="373">
        <f t="shared" ref="I136" si="83">I137</f>
        <v>0</v>
      </c>
      <c r="J136" s="373">
        <f>J137</f>
        <v>2000000</v>
      </c>
      <c r="K136" s="373">
        <f>K137</f>
        <v>2000000</v>
      </c>
      <c r="L136" s="373">
        <f>L137</f>
        <v>0</v>
      </c>
      <c r="M136" s="373">
        <f t="shared" ref="M136" si="84">M137</f>
        <v>0</v>
      </c>
      <c r="N136" s="373">
        <f>N137</f>
        <v>0</v>
      </c>
      <c r="O136" s="291">
        <f t="shared" ref="O136:Q136" si="85">O137</f>
        <v>0</v>
      </c>
      <c r="P136" s="373">
        <f t="shared" si="71"/>
        <v>2000000</v>
      </c>
      <c r="Q136" s="291">
        <f t="shared" si="85"/>
        <v>5880500</v>
      </c>
    </row>
    <row r="137" spans="1:19" ht="270" x14ac:dyDescent="0.2">
      <c r="A137" s="294" t="s">
        <v>248</v>
      </c>
      <c r="B137" s="294"/>
      <c r="C137" s="294"/>
      <c r="D137" s="294" t="s">
        <v>64</v>
      </c>
      <c r="E137" s="292">
        <f>SUM(E138:E139)</f>
        <v>3880500</v>
      </c>
      <c r="F137" s="292">
        <f t="shared" ref="F137:O137" si="86">SUM(F138:F139)</f>
        <v>3880500</v>
      </c>
      <c r="G137" s="292">
        <f t="shared" si="86"/>
        <v>2850700</v>
      </c>
      <c r="H137" s="292">
        <f t="shared" si="86"/>
        <v>107000</v>
      </c>
      <c r="I137" s="292">
        <f t="shared" si="86"/>
        <v>0</v>
      </c>
      <c r="J137" s="292">
        <f>L137+P137</f>
        <v>2000000</v>
      </c>
      <c r="K137" s="292">
        <f t="shared" si="86"/>
        <v>2000000</v>
      </c>
      <c r="L137" s="292">
        <f t="shared" si="86"/>
        <v>0</v>
      </c>
      <c r="M137" s="292">
        <f t="shared" si="86"/>
        <v>0</v>
      </c>
      <c r="N137" s="292">
        <f t="shared" si="86"/>
        <v>0</v>
      </c>
      <c r="O137" s="292">
        <f t="shared" si="86"/>
        <v>0</v>
      </c>
      <c r="P137" s="386">
        <f>K137+O137</f>
        <v>2000000</v>
      </c>
      <c r="Q137" s="292">
        <f>E137+J137</f>
        <v>5880500</v>
      </c>
      <c r="R137" s="179" t="b">
        <f>Q137=Q139+Q138</f>
        <v>1</v>
      </c>
      <c r="S137" s="182" t="b">
        <f>K137='dod5'!I100</f>
        <v>1</v>
      </c>
    </row>
    <row r="138" spans="1:19" ht="228.75" x14ac:dyDescent="0.2">
      <c r="A138" s="343" t="s">
        <v>770</v>
      </c>
      <c r="B138" s="343" t="s">
        <v>344</v>
      </c>
      <c r="C138" s="343" t="s">
        <v>342</v>
      </c>
      <c r="D138" s="343" t="s">
        <v>343</v>
      </c>
      <c r="E138" s="345">
        <f>F138</f>
        <v>3880500</v>
      </c>
      <c r="F138" s="346">
        <v>3880500</v>
      </c>
      <c r="G138" s="346">
        <v>2850700</v>
      </c>
      <c r="H138" s="346">
        <v>107000</v>
      </c>
      <c r="I138" s="346"/>
      <c r="J138" s="346">
        <f t="shared" ref="J138:J139" si="87">L138+P138</f>
        <v>0</v>
      </c>
      <c r="K138" s="346"/>
      <c r="L138" s="346"/>
      <c r="M138" s="346"/>
      <c r="N138" s="346"/>
      <c r="O138" s="346"/>
      <c r="P138" s="396">
        <f t="shared" ref="P138:P162" si="88">K138+O138</f>
        <v>0</v>
      </c>
      <c r="Q138" s="345">
        <f>E138+J138</f>
        <v>3880500</v>
      </c>
      <c r="R138" s="179"/>
      <c r="S138" s="182"/>
    </row>
    <row r="139" spans="1:19" ht="137.25" x14ac:dyDescent="0.2">
      <c r="A139" s="310" t="s">
        <v>463</v>
      </c>
      <c r="B139" s="310" t="s">
        <v>464</v>
      </c>
      <c r="C139" s="310" t="s">
        <v>453</v>
      </c>
      <c r="D139" s="310" t="s">
        <v>465</v>
      </c>
      <c r="E139" s="312">
        <f>F139</f>
        <v>0</v>
      </c>
      <c r="F139" s="315">
        <v>0</v>
      </c>
      <c r="G139" s="315"/>
      <c r="H139" s="315"/>
      <c r="I139" s="315"/>
      <c r="J139" s="390">
        <f t="shared" si="87"/>
        <v>2000000</v>
      </c>
      <c r="K139" s="315">
        <v>2000000</v>
      </c>
      <c r="L139" s="315"/>
      <c r="M139" s="315"/>
      <c r="N139" s="315"/>
      <c r="O139" s="315"/>
      <c r="P139" s="396">
        <f t="shared" si="88"/>
        <v>2000000</v>
      </c>
      <c r="Q139" s="312">
        <f>E139+J139</f>
        <v>2000000</v>
      </c>
    </row>
    <row r="140" spans="1:19" ht="135" x14ac:dyDescent="0.2">
      <c r="A140" s="290" t="s">
        <v>253</v>
      </c>
      <c r="B140" s="290"/>
      <c r="C140" s="290"/>
      <c r="D140" s="290" t="s">
        <v>580</v>
      </c>
      <c r="E140" s="373">
        <f>E141</f>
        <v>4870650</v>
      </c>
      <c r="F140" s="373">
        <f t="shared" ref="F140" si="89">F141</f>
        <v>4870650</v>
      </c>
      <c r="G140" s="373">
        <f t="shared" ref="G140" si="90">G141</f>
        <v>0</v>
      </c>
      <c r="H140" s="373">
        <f>H141</f>
        <v>0</v>
      </c>
      <c r="I140" s="373">
        <f t="shared" ref="I140" si="91">I141</f>
        <v>0</v>
      </c>
      <c r="J140" s="373">
        <f>J141</f>
        <v>2000000</v>
      </c>
      <c r="K140" s="373">
        <f>K141</f>
        <v>2000000</v>
      </c>
      <c r="L140" s="373">
        <f>L141</f>
        <v>0</v>
      </c>
      <c r="M140" s="373">
        <f t="shared" ref="M140" si="92">M141</f>
        <v>0</v>
      </c>
      <c r="N140" s="373">
        <f>N141</f>
        <v>0</v>
      </c>
      <c r="O140" s="291">
        <f t="shared" ref="O140:Q140" si="93">O141</f>
        <v>0</v>
      </c>
      <c r="P140" s="373">
        <f t="shared" si="88"/>
        <v>2000000</v>
      </c>
      <c r="Q140" s="291">
        <f t="shared" si="93"/>
        <v>6870650</v>
      </c>
    </row>
    <row r="141" spans="1:19" ht="135" x14ac:dyDescent="0.2">
      <c r="A141" s="294" t="s">
        <v>254</v>
      </c>
      <c r="B141" s="294"/>
      <c r="C141" s="294"/>
      <c r="D141" s="294" t="s">
        <v>581</v>
      </c>
      <c r="E141" s="292">
        <f>SUM(E142:E145)</f>
        <v>4870650</v>
      </c>
      <c r="F141" s="292">
        <f t="shared" ref="F141:O141" si="94">SUM(F142:F145)</f>
        <v>4870650</v>
      </c>
      <c r="G141" s="292">
        <f t="shared" si="94"/>
        <v>0</v>
      </c>
      <c r="H141" s="292">
        <f t="shared" si="94"/>
        <v>0</v>
      </c>
      <c r="I141" s="292">
        <f t="shared" si="94"/>
        <v>0</v>
      </c>
      <c r="J141" s="292">
        <f>L141+P141</f>
        <v>2000000</v>
      </c>
      <c r="K141" s="292">
        <f t="shared" si="94"/>
        <v>2000000</v>
      </c>
      <c r="L141" s="292">
        <f t="shared" si="94"/>
        <v>0</v>
      </c>
      <c r="M141" s="292">
        <f t="shared" si="94"/>
        <v>0</v>
      </c>
      <c r="N141" s="292">
        <f t="shared" si="94"/>
        <v>0</v>
      </c>
      <c r="O141" s="292">
        <f t="shared" si="94"/>
        <v>0</v>
      </c>
      <c r="P141" s="386">
        <f t="shared" si="88"/>
        <v>2000000</v>
      </c>
      <c r="Q141" s="292">
        <f>E141+J141</f>
        <v>6870650</v>
      </c>
      <c r="R141" s="179" t="b">
        <f>Q141=Q142+Q143+Q144+Q145</f>
        <v>1</v>
      </c>
      <c r="S141" s="182" t="b">
        <f>K141='dod5'!I101</f>
        <v>1</v>
      </c>
    </row>
    <row r="142" spans="1:19" ht="137.25" x14ac:dyDescent="0.2">
      <c r="A142" s="343" t="s">
        <v>574</v>
      </c>
      <c r="B142" s="343" t="s">
        <v>575</v>
      </c>
      <c r="C142" s="343" t="s">
        <v>257</v>
      </c>
      <c r="D142" s="343" t="s">
        <v>401</v>
      </c>
      <c r="E142" s="345">
        <f>F142</f>
        <v>0</v>
      </c>
      <c r="F142" s="346"/>
      <c r="G142" s="346"/>
      <c r="H142" s="346"/>
      <c r="I142" s="346"/>
      <c r="J142" s="390">
        <f t="shared" ref="J142:J145" si="95">L142+P142</f>
        <v>2000000</v>
      </c>
      <c r="K142" s="346">
        <v>2000000</v>
      </c>
      <c r="L142" s="346"/>
      <c r="M142" s="346"/>
      <c r="N142" s="346"/>
      <c r="O142" s="346"/>
      <c r="P142" s="396">
        <f t="shared" si="88"/>
        <v>2000000</v>
      </c>
      <c r="Q142" s="345">
        <f>E142+J142</f>
        <v>2000000</v>
      </c>
    </row>
    <row r="143" spans="1:19" ht="91.5" x14ac:dyDescent="0.2">
      <c r="A143" s="343" t="s">
        <v>399</v>
      </c>
      <c r="B143" s="343" t="s">
        <v>400</v>
      </c>
      <c r="C143" s="343" t="s">
        <v>398</v>
      </c>
      <c r="D143" s="343" t="s">
        <v>397</v>
      </c>
      <c r="E143" s="345">
        <f t="shared" ref="E143:E145" si="96">F143</f>
        <v>2656650</v>
      </c>
      <c r="F143" s="346">
        <v>2656650</v>
      </c>
      <c r="G143" s="346"/>
      <c r="H143" s="346"/>
      <c r="I143" s="346"/>
      <c r="J143" s="390">
        <f t="shared" si="95"/>
        <v>0</v>
      </c>
      <c r="K143" s="346"/>
      <c r="L143" s="346"/>
      <c r="M143" s="346"/>
      <c r="N143" s="346"/>
      <c r="O143" s="346"/>
      <c r="P143" s="396">
        <f t="shared" si="88"/>
        <v>0</v>
      </c>
      <c r="Q143" s="345">
        <f>E143+J143</f>
        <v>2656650</v>
      </c>
    </row>
    <row r="144" spans="1:19" ht="137.25" x14ac:dyDescent="0.2">
      <c r="A144" s="343" t="s">
        <v>391</v>
      </c>
      <c r="B144" s="343" t="s">
        <v>393</v>
      </c>
      <c r="C144" s="343" t="s">
        <v>321</v>
      </c>
      <c r="D144" s="343" t="s">
        <v>392</v>
      </c>
      <c r="E144" s="345">
        <f t="shared" si="96"/>
        <v>420000</v>
      </c>
      <c r="F144" s="346">
        <v>420000</v>
      </c>
      <c r="G144" s="346"/>
      <c r="H144" s="346"/>
      <c r="I144" s="346"/>
      <c r="J144" s="390">
        <f t="shared" si="95"/>
        <v>0</v>
      </c>
      <c r="K144" s="346"/>
      <c r="L144" s="346"/>
      <c r="M144" s="346"/>
      <c r="N144" s="346"/>
      <c r="O144" s="346"/>
      <c r="P144" s="396">
        <f t="shared" si="88"/>
        <v>0</v>
      </c>
      <c r="Q144" s="345">
        <f>E144+J144</f>
        <v>420000</v>
      </c>
    </row>
    <row r="145" spans="1:19" ht="91.5" x14ac:dyDescent="0.2">
      <c r="A145" s="343" t="s">
        <v>395</v>
      </c>
      <c r="B145" s="343" t="s">
        <v>396</v>
      </c>
      <c r="C145" s="343" t="s">
        <v>257</v>
      </c>
      <c r="D145" s="343" t="s">
        <v>394</v>
      </c>
      <c r="E145" s="345">
        <f t="shared" si="96"/>
        <v>1794000</v>
      </c>
      <c r="F145" s="346">
        <v>1794000</v>
      </c>
      <c r="G145" s="346"/>
      <c r="H145" s="346"/>
      <c r="I145" s="346"/>
      <c r="J145" s="390">
        <f t="shared" si="95"/>
        <v>0</v>
      </c>
      <c r="K145" s="346"/>
      <c r="L145" s="346"/>
      <c r="M145" s="346"/>
      <c r="N145" s="346"/>
      <c r="O145" s="346"/>
      <c r="P145" s="396">
        <f t="shared" si="88"/>
        <v>0</v>
      </c>
      <c r="Q145" s="345">
        <f>E145+J145</f>
        <v>1794000</v>
      </c>
    </row>
    <row r="146" spans="1:19" ht="180" x14ac:dyDescent="0.2">
      <c r="A146" s="290" t="s">
        <v>251</v>
      </c>
      <c r="B146" s="290"/>
      <c r="C146" s="290"/>
      <c r="D146" s="290" t="s">
        <v>47</v>
      </c>
      <c r="E146" s="373">
        <f>E147</f>
        <v>4223100</v>
      </c>
      <c r="F146" s="373">
        <f t="shared" ref="F146" si="97">F147</f>
        <v>4223100</v>
      </c>
      <c r="G146" s="373">
        <f t="shared" ref="G146" si="98">G147</f>
        <v>3166500</v>
      </c>
      <c r="H146" s="373">
        <f>H147</f>
        <v>117900</v>
      </c>
      <c r="I146" s="373">
        <f t="shared" ref="I146" si="99">I147</f>
        <v>0</v>
      </c>
      <c r="J146" s="373">
        <f>J147</f>
        <v>500000</v>
      </c>
      <c r="K146" s="373">
        <f>K147</f>
        <v>0</v>
      </c>
      <c r="L146" s="373">
        <f>L147</f>
        <v>0</v>
      </c>
      <c r="M146" s="373">
        <f t="shared" ref="M146" si="100">M147</f>
        <v>0</v>
      </c>
      <c r="N146" s="373">
        <f>N147</f>
        <v>0</v>
      </c>
      <c r="O146" s="291">
        <f t="shared" ref="O146:Q146" si="101">O147</f>
        <v>500000</v>
      </c>
      <c r="P146" s="373">
        <f t="shared" si="88"/>
        <v>500000</v>
      </c>
      <c r="Q146" s="291">
        <f t="shared" si="101"/>
        <v>4723100</v>
      </c>
    </row>
    <row r="147" spans="1:19" ht="180" x14ac:dyDescent="0.2">
      <c r="A147" s="294" t="s">
        <v>252</v>
      </c>
      <c r="B147" s="294"/>
      <c r="C147" s="294"/>
      <c r="D147" s="294" t="s">
        <v>65</v>
      </c>
      <c r="E147" s="292">
        <f t="shared" ref="E147:O147" si="102">SUM(E148:E150)</f>
        <v>4223100</v>
      </c>
      <c r="F147" s="292">
        <f t="shared" si="102"/>
        <v>4223100</v>
      </c>
      <c r="G147" s="292">
        <f t="shared" si="102"/>
        <v>3166500</v>
      </c>
      <c r="H147" s="292">
        <f t="shared" si="102"/>
        <v>117900</v>
      </c>
      <c r="I147" s="292">
        <f t="shared" si="102"/>
        <v>0</v>
      </c>
      <c r="J147" s="292">
        <f>L147+P147</f>
        <v>500000</v>
      </c>
      <c r="K147" s="292">
        <f t="shared" si="102"/>
        <v>0</v>
      </c>
      <c r="L147" s="292">
        <f t="shared" si="102"/>
        <v>0</v>
      </c>
      <c r="M147" s="292">
        <f t="shared" si="102"/>
        <v>0</v>
      </c>
      <c r="N147" s="292">
        <f t="shared" si="102"/>
        <v>0</v>
      </c>
      <c r="O147" s="292">
        <f t="shared" si="102"/>
        <v>500000</v>
      </c>
      <c r="P147" s="386">
        <f t="shared" si="88"/>
        <v>500000</v>
      </c>
      <c r="Q147" s="292">
        <f>E147+J147</f>
        <v>4723100</v>
      </c>
      <c r="R147" s="179" t="b">
        <f>Q147=Q149+Q150+Q148</f>
        <v>1</v>
      </c>
      <c r="S147" s="182" t="b">
        <f>J147='dod7'!F13</f>
        <v>1</v>
      </c>
    </row>
    <row r="148" spans="1:19" ht="228.75" x14ac:dyDescent="0.2">
      <c r="A148" s="343" t="s">
        <v>773</v>
      </c>
      <c r="B148" s="343" t="s">
        <v>344</v>
      </c>
      <c r="C148" s="343" t="s">
        <v>342</v>
      </c>
      <c r="D148" s="343" t="s">
        <v>343</v>
      </c>
      <c r="E148" s="345">
        <f>F148</f>
        <v>4223100</v>
      </c>
      <c r="F148" s="346">
        <v>4223100</v>
      </c>
      <c r="G148" s="346">
        <v>3166500</v>
      </c>
      <c r="H148" s="346">
        <v>117900</v>
      </c>
      <c r="I148" s="346"/>
      <c r="J148" s="390">
        <f t="shared" ref="J148:J150" si="103">L148+P148</f>
        <v>0</v>
      </c>
      <c r="K148" s="346"/>
      <c r="L148" s="346"/>
      <c r="M148" s="346"/>
      <c r="N148" s="346"/>
      <c r="O148" s="346"/>
      <c r="P148" s="396">
        <f t="shared" si="88"/>
        <v>0</v>
      </c>
      <c r="Q148" s="345">
        <f>E148+J148</f>
        <v>4223100</v>
      </c>
      <c r="R148" s="179"/>
      <c r="S148" s="182"/>
    </row>
    <row r="149" spans="1:19" ht="137.25" x14ac:dyDescent="0.2">
      <c r="A149" s="310" t="s">
        <v>466</v>
      </c>
      <c r="B149" s="310" t="s">
        <v>467</v>
      </c>
      <c r="C149" s="310" t="s">
        <v>81</v>
      </c>
      <c r="D149" s="310" t="s">
        <v>82</v>
      </c>
      <c r="E149" s="312">
        <f t="shared" ref="E149" si="104">F149</f>
        <v>0</v>
      </c>
      <c r="F149" s="315"/>
      <c r="G149" s="315"/>
      <c r="H149" s="315"/>
      <c r="I149" s="315"/>
      <c r="J149" s="390">
        <f t="shared" si="103"/>
        <v>400000</v>
      </c>
      <c r="K149" s="315"/>
      <c r="L149" s="315"/>
      <c r="M149" s="315"/>
      <c r="N149" s="315"/>
      <c r="O149" s="315">
        <v>400000</v>
      </c>
      <c r="P149" s="396">
        <f t="shared" si="88"/>
        <v>400000</v>
      </c>
      <c r="Q149" s="312">
        <f>E149+J149</f>
        <v>400000</v>
      </c>
    </row>
    <row r="150" spans="1:19" ht="91.5" x14ac:dyDescent="0.2">
      <c r="A150" s="310" t="s">
        <v>468</v>
      </c>
      <c r="B150" s="310" t="s">
        <v>469</v>
      </c>
      <c r="C150" s="310" t="s">
        <v>83</v>
      </c>
      <c r="D150" s="310" t="s">
        <v>470</v>
      </c>
      <c r="E150" s="312">
        <v>0</v>
      </c>
      <c r="F150" s="315"/>
      <c r="G150" s="315"/>
      <c r="H150" s="315"/>
      <c r="I150" s="315"/>
      <c r="J150" s="390">
        <f t="shared" si="103"/>
        <v>100000</v>
      </c>
      <c r="K150" s="312"/>
      <c r="L150" s="315"/>
      <c r="M150" s="315"/>
      <c r="N150" s="315"/>
      <c r="O150" s="181">
        <v>100000</v>
      </c>
      <c r="P150" s="396">
        <f t="shared" si="88"/>
        <v>100000</v>
      </c>
      <c r="Q150" s="312">
        <f>E150+J150</f>
        <v>100000</v>
      </c>
    </row>
    <row r="151" spans="1:19" ht="315" x14ac:dyDescent="0.2">
      <c r="A151" s="290" t="s">
        <v>249</v>
      </c>
      <c r="B151" s="290"/>
      <c r="C151" s="290"/>
      <c r="D151" s="290" t="s">
        <v>582</v>
      </c>
      <c r="E151" s="373">
        <f>E152</f>
        <v>3469300</v>
      </c>
      <c r="F151" s="373">
        <f t="shared" ref="F151" si="105">F152</f>
        <v>3469300</v>
      </c>
      <c r="G151" s="373">
        <f t="shared" ref="G151" si="106">G152</f>
        <v>2641000</v>
      </c>
      <c r="H151" s="373">
        <f>H152</f>
        <v>60000</v>
      </c>
      <c r="I151" s="373">
        <f t="shared" ref="I151" si="107">I152</f>
        <v>0</v>
      </c>
      <c r="J151" s="373">
        <f>J152</f>
        <v>500000</v>
      </c>
      <c r="K151" s="373">
        <f>K152</f>
        <v>500000</v>
      </c>
      <c r="L151" s="373">
        <f>L152</f>
        <v>0</v>
      </c>
      <c r="M151" s="373">
        <f t="shared" ref="M151" si="108">M152</f>
        <v>0</v>
      </c>
      <c r="N151" s="373">
        <f>N152</f>
        <v>0</v>
      </c>
      <c r="O151" s="291">
        <f t="shared" ref="O151:Q151" si="109">O152</f>
        <v>0</v>
      </c>
      <c r="P151" s="373">
        <f t="shared" si="88"/>
        <v>500000</v>
      </c>
      <c r="Q151" s="291">
        <f t="shared" si="109"/>
        <v>3969300</v>
      </c>
    </row>
    <row r="152" spans="1:19" ht="315" x14ac:dyDescent="0.2">
      <c r="A152" s="294" t="s">
        <v>250</v>
      </c>
      <c r="B152" s="294"/>
      <c r="C152" s="294"/>
      <c r="D152" s="294" t="s">
        <v>583</v>
      </c>
      <c r="E152" s="292">
        <f>SUM(E153:E155)</f>
        <v>3469300</v>
      </c>
      <c r="F152" s="292">
        <f t="shared" ref="F152:O152" si="110">SUM(F153:F155)</f>
        <v>3469300</v>
      </c>
      <c r="G152" s="292">
        <f t="shared" si="110"/>
        <v>2641000</v>
      </c>
      <c r="H152" s="292">
        <f t="shared" si="110"/>
        <v>60000</v>
      </c>
      <c r="I152" s="292">
        <f t="shared" si="110"/>
        <v>0</v>
      </c>
      <c r="J152" s="292">
        <f>L152+P152</f>
        <v>500000</v>
      </c>
      <c r="K152" s="292">
        <f t="shared" si="110"/>
        <v>500000</v>
      </c>
      <c r="L152" s="292">
        <f t="shared" si="110"/>
        <v>0</v>
      </c>
      <c r="M152" s="292">
        <f t="shared" si="110"/>
        <v>0</v>
      </c>
      <c r="N152" s="292">
        <f t="shared" si="110"/>
        <v>0</v>
      </c>
      <c r="O152" s="292">
        <f t="shared" si="110"/>
        <v>0</v>
      </c>
      <c r="P152" s="386">
        <f t="shared" si="88"/>
        <v>500000</v>
      </c>
      <c r="Q152" s="292">
        <f>E152+J152</f>
        <v>3969300</v>
      </c>
      <c r="R152" s="179" t="b">
        <f>Q152=Q154+Q155+Q153</f>
        <v>1</v>
      </c>
      <c r="S152" s="182" t="b">
        <f>K152='dod5'!I103</f>
        <v>1</v>
      </c>
    </row>
    <row r="153" spans="1:19" ht="228.75" x14ac:dyDescent="0.2">
      <c r="A153" s="343" t="s">
        <v>769</v>
      </c>
      <c r="B153" s="343" t="s">
        <v>344</v>
      </c>
      <c r="C153" s="343" t="s">
        <v>342</v>
      </c>
      <c r="D153" s="343" t="s">
        <v>343</v>
      </c>
      <c r="E153" s="345">
        <f>F153</f>
        <v>3469300</v>
      </c>
      <c r="F153" s="346">
        <v>3469300</v>
      </c>
      <c r="G153" s="346">
        <v>2641000</v>
      </c>
      <c r="H153" s="346">
        <v>60000</v>
      </c>
      <c r="I153" s="346"/>
      <c r="J153" s="390">
        <f t="shared" ref="J153:J155" si="111">L153+P153</f>
        <v>0</v>
      </c>
      <c r="K153" s="346"/>
      <c r="L153" s="346"/>
      <c r="M153" s="346"/>
      <c r="N153" s="346"/>
      <c r="O153" s="346"/>
      <c r="P153" s="396">
        <f t="shared" si="88"/>
        <v>0</v>
      </c>
      <c r="Q153" s="345">
        <f>E153+J153</f>
        <v>3469300</v>
      </c>
      <c r="R153" s="179"/>
      <c r="S153" s="182"/>
    </row>
    <row r="154" spans="1:19" ht="91.5" x14ac:dyDescent="0.2">
      <c r="A154" s="310" t="s">
        <v>460</v>
      </c>
      <c r="B154" s="310" t="s">
        <v>461</v>
      </c>
      <c r="C154" s="310" t="s">
        <v>462</v>
      </c>
      <c r="D154" s="310" t="s">
        <v>459</v>
      </c>
      <c r="E154" s="312">
        <f>F154</f>
        <v>0</v>
      </c>
      <c r="F154" s="315">
        <v>0</v>
      </c>
      <c r="G154" s="315"/>
      <c r="H154" s="315"/>
      <c r="I154" s="315"/>
      <c r="J154" s="390">
        <f t="shared" si="111"/>
        <v>410000</v>
      </c>
      <c r="K154" s="315">
        <v>410000</v>
      </c>
      <c r="L154" s="315"/>
      <c r="M154" s="315"/>
      <c r="N154" s="315"/>
      <c r="O154" s="315"/>
      <c r="P154" s="396">
        <f t="shared" si="88"/>
        <v>410000</v>
      </c>
      <c r="Q154" s="312">
        <f>E154+J154</f>
        <v>410000</v>
      </c>
    </row>
    <row r="155" spans="1:19" ht="137.25" x14ac:dyDescent="0.2">
      <c r="A155" s="310" t="s">
        <v>614</v>
      </c>
      <c r="B155" s="310" t="s">
        <v>615</v>
      </c>
      <c r="C155" s="310" t="s">
        <v>257</v>
      </c>
      <c r="D155" s="310" t="s">
        <v>616</v>
      </c>
      <c r="E155" s="312">
        <f>F155</f>
        <v>0</v>
      </c>
      <c r="F155" s="315">
        <v>0</v>
      </c>
      <c r="G155" s="315"/>
      <c r="H155" s="315"/>
      <c r="I155" s="315"/>
      <c r="J155" s="390">
        <f t="shared" si="111"/>
        <v>90000</v>
      </c>
      <c r="K155" s="315">
        <v>90000</v>
      </c>
      <c r="L155" s="315"/>
      <c r="M155" s="315"/>
      <c r="N155" s="315"/>
      <c r="O155" s="315"/>
      <c r="P155" s="396">
        <f t="shared" si="88"/>
        <v>90000</v>
      </c>
      <c r="Q155" s="312">
        <f>E155+J155</f>
        <v>90000</v>
      </c>
    </row>
    <row r="156" spans="1:19" ht="135" x14ac:dyDescent="0.2">
      <c r="A156" s="290" t="s">
        <v>255</v>
      </c>
      <c r="B156" s="290"/>
      <c r="C156" s="290"/>
      <c r="D156" s="290" t="s">
        <v>48</v>
      </c>
      <c r="E156" s="373">
        <f>E157</f>
        <v>67556500</v>
      </c>
      <c r="F156" s="373">
        <f t="shared" ref="F156" si="112">F157</f>
        <v>67556500</v>
      </c>
      <c r="G156" s="373">
        <f t="shared" ref="G156" si="113">G157</f>
        <v>5254100</v>
      </c>
      <c r="H156" s="373">
        <f>H157</f>
        <v>140000</v>
      </c>
      <c r="I156" s="373">
        <f t="shared" ref="I156" si="114">I157</f>
        <v>0</v>
      </c>
      <c r="J156" s="373">
        <f>J157</f>
        <v>50000</v>
      </c>
      <c r="K156" s="373">
        <f>K157</f>
        <v>50000</v>
      </c>
      <c r="L156" s="373">
        <f>L157</f>
        <v>0</v>
      </c>
      <c r="M156" s="373">
        <f t="shared" ref="M156" si="115">M157</f>
        <v>0</v>
      </c>
      <c r="N156" s="373">
        <f>N157</f>
        <v>0</v>
      </c>
      <c r="O156" s="291">
        <f t="shared" ref="O156:Q156" si="116">O157</f>
        <v>0</v>
      </c>
      <c r="P156" s="373">
        <f t="shared" si="88"/>
        <v>50000</v>
      </c>
      <c r="Q156" s="291">
        <f t="shared" si="116"/>
        <v>67606500</v>
      </c>
    </row>
    <row r="157" spans="1:19" ht="135" x14ac:dyDescent="0.2">
      <c r="A157" s="294" t="s">
        <v>256</v>
      </c>
      <c r="B157" s="294"/>
      <c r="C157" s="294"/>
      <c r="D157" s="294" t="s">
        <v>66</v>
      </c>
      <c r="E157" s="292">
        <f>SUM(E158:E161)</f>
        <v>67556500</v>
      </c>
      <c r="F157" s="292">
        <f t="shared" ref="F157:O157" si="117">SUM(F158:F161)</f>
        <v>67556500</v>
      </c>
      <c r="G157" s="292">
        <f t="shared" si="117"/>
        <v>5254100</v>
      </c>
      <c r="H157" s="292">
        <f t="shared" si="117"/>
        <v>140000</v>
      </c>
      <c r="I157" s="292">
        <f t="shared" si="117"/>
        <v>0</v>
      </c>
      <c r="J157" s="292">
        <f>L157+P157</f>
        <v>50000</v>
      </c>
      <c r="K157" s="292">
        <f>SUM(K158:K161)</f>
        <v>50000</v>
      </c>
      <c r="L157" s="292">
        <f t="shared" si="117"/>
        <v>0</v>
      </c>
      <c r="M157" s="292">
        <f t="shared" si="117"/>
        <v>0</v>
      </c>
      <c r="N157" s="292">
        <f t="shared" si="117"/>
        <v>0</v>
      </c>
      <c r="O157" s="292">
        <f t="shared" si="117"/>
        <v>0</v>
      </c>
      <c r="P157" s="386">
        <f t="shared" si="88"/>
        <v>50000</v>
      </c>
      <c r="Q157" s="292">
        <f>E157+J157</f>
        <v>67606500</v>
      </c>
      <c r="R157" s="179" t="b">
        <f>Q157=Q159+Q160+Q161+Q158</f>
        <v>1</v>
      </c>
      <c r="S157" s="182" t="b">
        <f>K157='dod5'!I111</f>
        <v>1</v>
      </c>
    </row>
    <row r="158" spans="1:19" ht="228.75" x14ac:dyDescent="0.2">
      <c r="A158" s="343" t="s">
        <v>771</v>
      </c>
      <c r="B158" s="343" t="s">
        <v>344</v>
      </c>
      <c r="C158" s="343" t="s">
        <v>342</v>
      </c>
      <c r="D158" s="343" t="s">
        <v>343</v>
      </c>
      <c r="E158" s="345">
        <f>F158</f>
        <v>6887800</v>
      </c>
      <c r="F158" s="346">
        <v>6887800</v>
      </c>
      <c r="G158" s="346">
        <v>5254100</v>
      </c>
      <c r="H158" s="346">
        <v>140000</v>
      </c>
      <c r="I158" s="346"/>
      <c r="J158" s="390">
        <f t="shared" ref="J158:J161" si="118">L158+P158</f>
        <v>50000</v>
      </c>
      <c r="K158" s="346">
        <v>50000</v>
      </c>
      <c r="L158" s="346"/>
      <c r="M158" s="346"/>
      <c r="N158" s="346"/>
      <c r="O158" s="346"/>
      <c r="P158" s="396">
        <f t="shared" si="88"/>
        <v>50000</v>
      </c>
      <c r="Q158" s="345">
        <f>E158+J158</f>
        <v>6937800</v>
      </c>
      <c r="R158" s="179"/>
      <c r="S158" s="182"/>
    </row>
    <row r="159" spans="1:19" ht="91.5" x14ac:dyDescent="0.2">
      <c r="A159" s="319">
        <v>3718600</v>
      </c>
      <c r="B159" s="319">
        <v>8600</v>
      </c>
      <c r="C159" s="343" t="s">
        <v>592</v>
      </c>
      <c r="D159" s="319" t="s">
        <v>593</v>
      </c>
      <c r="E159" s="345">
        <f>F159</f>
        <v>1282700</v>
      </c>
      <c r="F159" s="346">
        <v>1282700</v>
      </c>
      <c r="G159" s="346"/>
      <c r="H159" s="346"/>
      <c r="I159" s="346"/>
      <c r="J159" s="390">
        <f t="shared" si="118"/>
        <v>0</v>
      </c>
      <c r="K159" s="346"/>
      <c r="L159" s="346"/>
      <c r="M159" s="346"/>
      <c r="N159" s="346"/>
      <c r="O159" s="346"/>
      <c r="P159" s="396">
        <f t="shared" si="88"/>
        <v>0</v>
      </c>
      <c r="Q159" s="345">
        <f>E159+J159</f>
        <v>1282700</v>
      </c>
    </row>
    <row r="160" spans="1:19" ht="69" customHeight="1" x14ac:dyDescent="0.2">
      <c r="A160" s="319">
        <v>3718700</v>
      </c>
      <c r="B160" s="319">
        <v>8700</v>
      </c>
      <c r="C160" s="343" t="s">
        <v>70</v>
      </c>
      <c r="D160" s="314" t="s">
        <v>68</v>
      </c>
      <c r="E160" s="345">
        <f>F160</f>
        <v>5000000</v>
      </c>
      <c r="F160" s="346">
        <v>5000000</v>
      </c>
      <c r="G160" s="346"/>
      <c r="H160" s="346"/>
      <c r="I160" s="346"/>
      <c r="J160" s="390">
        <f t="shared" si="118"/>
        <v>0</v>
      </c>
      <c r="K160" s="346"/>
      <c r="L160" s="346"/>
      <c r="M160" s="346"/>
      <c r="N160" s="346"/>
      <c r="O160" s="346"/>
      <c r="P160" s="396">
        <f t="shared" si="88"/>
        <v>0</v>
      </c>
      <c r="Q160" s="345">
        <f>E160+J160</f>
        <v>5000000</v>
      </c>
    </row>
    <row r="161" spans="1:19" ht="65.25" customHeight="1" x14ac:dyDescent="0.2">
      <c r="A161" s="319">
        <v>3719110</v>
      </c>
      <c r="B161" s="319">
        <v>9110</v>
      </c>
      <c r="C161" s="343" t="s">
        <v>71</v>
      </c>
      <c r="D161" s="314" t="s">
        <v>69</v>
      </c>
      <c r="E161" s="345">
        <f>F161</f>
        <v>54386000</v>
      </c>
      <c r="F161" s="346">
        <v>54386000</v>
      </c>
      <c r="G161" s="346"/>
      <c r="H161" s="346"/>
      <c r="I161" s="346"/>
      <c r="J161" s="390">
        <f t="shared" si="118"/>
        <v>0</v>
      </c>
      <c r="K161" s="346"/>
      <c r="L161" s="346"/>
      <c r="M161" s="346"/>
      <c r="N161" s="346"/>
      <c r="O161" s="346"/>
      <c r="P161" s="396">
        <f t="shared" si="88"/>
        <v>0</v>
      </c>
      <c r="Q161" s="345">
        <f>E161+J161</f>
        <v>54386000</v>
      </c>
    </row>
    <row r="162" spans="1:19" s="3" customFormat="1" ht="81.75" customHeight="1" x14ac:dyDescent="0.55000000000000004">
      <c r="A162" s="265" t="s">
        <v>665</v>
      </c>
      <c r="B162" s="265" t="s">
        <v>665</v>
      </c>
      <c r="C162" s="265" t="s">
        <v>665</v>
      </c>
      <c r="D162" s="266" t="s">
        <v>683</v>
      </c>
      <c r="E162" s="168">
        <f>E13+E23+E97+E34+E46+E88+E112+E131+E137+E157+E141+E147+E152</f>
        <v>2605346340</v>
      </c>
      <c r="F162" s="168">
        <f>F13+F23+F97+F34+F45+F88+F112+F131+F137+F157+F141+F147+F152</f>
        <v>2605346340</v>
      </c>
      <c r="G162" s="168">
        <f t="shared" ref="G162:O162" si="119">G13+G23+G97+G34+G46+G88+G112+G131+G137+G157+G141+G147+G152</f>
        <v>846593033</v>
      </c>
      <c r="H162" s="168">
        <f t="shared" si="119"/>
        <v>78571159</v>
      </c>
      <c r="I162" s="168">
        <f t="shared" si="119"/>
        <v>0</v>
      </c>
      <c r="J162" s="168">
        <f t="shared" si="119"/>
        <v>378760174</v>
      </c>
      <c r="K162" s="168">
        <f t="shared" si="119"/>
        <v>244799789</v>
      </c>
      <c r="L162" s="168">
        <f t="shared" si="119"/>
        <v>131321535</v>
      </c>
      <c r="M162" s="168">
        <f t="shared" si="119"/>
        <v>33043505</v>
      </c>
      <c r="N162" s="168">
        <f t="shared" si="119"/>
        <v>8593726</v>
      </c>
      <c r="O162" s="168">
        <f t="shared" si="119"/>
        <v>2638850</v>
      </c>
      <c r="P162" s="397">
        <f t="shared" si="88"/>
        <v>247438639</v>
      </c>
      <c r="Q162" s="168">
        <f>Q13+Q23+Q97+Q34+Q45+Q88+Q112+Q131+Q137+Q157+Q141+Q147+Q152</f>
        <v>2984106514</v>
      </c>
      <c r="R162" s="135" t="b">
        <f>K162='dod5'!I114</f>
        <v>1</v>
      </c>
    </row>
    <row r="163" spans="1:19" ht="129.75" customHeight="1" x14ac:dyDescent="0.2">
      <c r="A163" s="457" t="s">
        <v>457</v>
      </c>
      <c r="B163" s="458"/>
      <c r="C163" s="458"/>
      <c r="D163" s="458"/>
      <c r="E163" s="458"/>
      <c r="F163" s="458"/>
      <c r="G163" s="458"/>
      <c r="H163" s="458"/>
      <c r="I163" s="458"/>
      <c r="J163" s="458"/>
      <c r="K163" s="458"/>
      <c r="L163" s="458"/>
      <c r="M163" s="458"/>
      <c r="N163" s="458"/>
      <c r="O163" s="458"/>
      <c r="P163" s="458"/>
      <c r="Q163" s="458"/>
      <c r="R163" s="13"/>
    </row>
    <row r="164" spans="1:19" ht="129.75" hidden="1" customHeight="1" x14ac:dyDescent="0.2">
      <c r="A164" s="144"/>
      <c r="B164" s="145"/>
      <c r="C164" s="145"/>
      <c r="D164" s="145"/>
      <c r="E164" s="350">
        <f>F164</f>
        <v>2605346340</v>
      </c>
      <c r="F164" s="350">
        <f>2608918648-'dod4'!Q14+'dod2'!E19</f>
        <v>2605346340</v>
      </c>
      <c r="G164" s="350">
        <f>54985000+26800000+1884600+1776300+2641000+2850700+5254100+7129200+3166500+205000+644533535+1757300+35856900+5790700+796025+4068700+10163000+2517500+1623800+714843+12402731+813300+843750+11859350+3617760+2541439</f>
        <v>846593033</v>
      </c>
      <c r="H164" s="350">
        <f>11500+10000+2450700+991000+101500+100000+60000+107000+140000+130000+117900+45478902+2848071+17996340+2220390+110770+1460520+27100+257400+144810+353700+7270+70355+17700+131400+3520+64750+387900+10250+119350+68142+31230+2900+50003+1800+13490+309408+3480+123100+30000+20000+60000+463014+55900+276730+225600+241174+286645+378445</f>
        <v>78571159</v>
      </c>
      <c r="I164" s="350">
        <v>0</v>
      </c>
      <c r="J164" s="350"/>
      <c r="K164" s="350">
        <f>3985100-2275100+13109000+5499500+8041000-566000+3886442+1408533+155532314-1371000+53000000+2000000+2000000+500000+50000</f>
        <v>244799789</v>
      </c>
      <c r="L164" s="350"/>
      <c r="M164" s="350"/>
      <c r="N164" s="350"/>
      <c r="O164" s="350"/>
      <c r="P164" s="350"/>
      <c r="Q164" s="350"/>
      <c r="R164" s="13"/>
    </row>
    <row r="165" spans="1:19" ht="129.75" customHeight="1" x14ac:dyDescent="0.2">
      <c r="A165" s="144"/>
      <c r="B165" s="145"/>
      <c r="C165" s="145"/>
      <c r="D165" s="145"/>
      <c r="E165" s="145"/>
      <c r="F165" s="145"/>
      <c r="G165" s="145"/>
      <c r="H165" s="145"/>
      <c r="I165" s="145"/>
      <c r="J165" s="145"/>
      <c r="K165" s="145"/>
      <c r="L165" s="145"/>
      <c r="M165" s="145"/>
      <c r="N165" s="145"/>
      <c r="O165" s="145"/>
      <c r="P165" s="145"/>
      <c r="Q165" s="145"/>
      <c r="R165" s="13"/>
    </row>
    <row r="166" spans="1:19" ht="45.75" x14ac:dyDescent="0.65">
      <c r="A166" s="8"/>
      <c r="B166" s="8"/>
      <c r="C166" s="8"/>
      <c r="D166" s="454" t="s">
        <v>656</v>
      </c>
      <c r="E166" s="454"/>
      <c r="F166" s="454"/>
      <c r="G166" s="454"/>
      <c r="H166" s="454"/>
      <c r="I166" s="454"/>
      <c r="J166" s="454"/>
      <c r="K166" s="454"/>
      <c r="L166" s="454"/>
      <c r="M166" s="454"/>
      <c r="N166" s="454"/>
      <c r="O166" s="454"/>
      <c r="P166" s="454"/>
      <c r="Q166" s="454"/>
      <c r="R166" s="14"/>
    </row>
    <row r="167" spans="1:19" ht="45.75" x14ac:dyDescent="0.2">
      <c r="E167" s="28"/>
      <c r="F167" s="4"/>
      <c r="J167" s="332"/>
      <c r="K167" s="332"/>
      <c r="O167" s="157"/>
      <c r="P167" s="157"/>
      <c r="Q167" s="23"/>
    </row>
    <row r="168" spans="1:19" ht="45.75" x14ac:dyDescent="0.65">
      <c r="D168" s="454" t="s">
        <v>231</v>
      </c>
      <c r="E168" s="454"/>
      <c r="F168" s="454"/>
      <c r="G168" s="454"/>
      <c r="H168" s="454"/>
      <c r="I168" s="454"/>
      <c r="J168" s="454"/>
      <c r="K168" s="454"/>
      <c r="L168" s="454"/>
      <c r="M168" s="454"/>
      <c r="N168" s="454"/>
      <c r="O168" s="454"/>
      <c r="P168" s="454"/>
      <c r="Q168" s="454"/>
      <c r="R168" s="15"/>
    </row>
    <row r="169" spans="1:19" x14ac:dyDescent="0.2">
      <c r="E169" s="5"/>
      <c r="F169" s="4"/>
      <c r="J169" s="5"/>
      <c r="K169" s="5"/>
    </row>
    <row r="170" spans="1:19" x14ac:dyDescent="0.2">
      <c r="E170" s="5"/>
      <c r="F170" s="4"/>
      <c r="J170" s="5"/>
      <c r="K170" s="5"/>
    </row>
    <row r="171" spans="1:19" ht="99.75" customHeight="1" x14ac:dyDescent="0.2">
      <c r="E171" s="142" t="b">
        <f>F164=E162</f>
        <v>1</v>
      </c>
      <c r="F171" s="142" t="b">
        <f>F164=F162</f>
        <v>1</v>
      </c>
      <c r="G171" s="142" t="b">
        <f t="shared" ref="G171:Q171" si="120">G164=G162</f>
        <v>1</v>
      </c>
      <c r="H171" s="142" t="b">
        <f t="shared" si="120"/>
        <v>1</v>
      </c>
      <c r="I171" s="142" t="b">
        <f t="shared" si="120"/>
        <v>1</v>
      </c>
      <c r="J171" s="142" t="b">
        <f t="shared" si="120"/>
        <v>0</v>
      </c>
      <c r="K171" s="142" t="b">
        <f t="shared" si="120"/>
        <v>1</v>
      </c>
      <c r="L171" s="142" t="b">
        <f t="shared" si="120"/>
        <v>0</v>
      </c>
      <c r="M171" s="142" t="b">
        <f t="shared" si="120"/>
        <v>0</v>
      </c>
      <c r="N171" s="142" t="b">
        <f t="shared" si="120"/>
        <v>0</v>
      </c>
      <c r="O171" s="142" t="b">
        <f t="shared" si="120"/>
        <v>0</v>
      </c>
      <c r="P171" s="142"/>
      <c r="Q171" s="142" t="b">
        <f t="shared" si="120"/>
        <v>0</v>
      </c>
    </row>
    <row r="172" spans="1:19" ht="45.75" x14ac:dyDescent="0.55000000000000004">
      <c r="E172" s="23"/>
      <c r="F172" s="13"/>
      <c r="G172" s="4"/>
      <c r="I172" s="138"/>
      <c r="J172" s="333"/>
      <c r="K172" s="333"/>
      <c r="L172" s="138"/>
      <c r="M172" s="138"/>
      <c r="N172" s="138"/>
      <c r="O172" s="139"/>
      <c r="P172" s="139"/>
      <c r="Q172" s="135" t="b">
        <f>E162+J162=Q162</f>
        <v>1</v>
      </c>
    </row>
    <row r="173" spans="1:19" x14ac:dyDescent="0.2">
      <c r="E173" s="7"/>
      <c r="F173" s="260"/>
      <c r="G173" s="7"/>
      <c r="H173" s="7"/>
      <c r="I173" s="7"/>
      <c r="J173" s="5"/>
      <c r="K173" s="5"/>
    </row>
    <row r="174" spans="1:19" ht="45.75" x14ac:dyDescent="0.2">
      <c r="A174"/>
      <c r="B174"/>
      <c r="C174"/>
      <c r="D174" s="177"/>
      <c r="E174" s="178" t="b">
        <f>E162=F162</f>
        <v>1</v>
      </c>
      <c r="F174" s="157">
        <f>F160/Q162*100</f>
        <v>0.1675543408568827</v>
      </c>
      <c r="G174" s="157" t="s">
        <v>500</v>
      </c>
      <c r="I174" s="177"/>
      <c r="J174" s="178"/>
      <c r="K174" s="178"/>
      <c r="L174" s="262"/>
      <c r="M174" s="262"/>
      <c r="N174" s="262"/>
      <c r="O174" s="262"/>
      <c r="P174" s="262"/>
      <c r="Q174"/>
    </row>
    <row r="175" spans="1:19" ht="60.75" x14ac:dyDescent="0.2">
      <c r="D175" s="177"/>
      <c r="E175" s="178"/>
      <c r="G175" s="27"/>
      <c r="I175" s="177"/>
      <c r="J175" s="178"/>
      <c r="K175" s="178"/>
      <c r="Q175" s="142"/>
      <c r="R175" s="143"/>
      <c r="S175" s="142"/>
    </row>
    <row r="176" spans="1:19" ht="60.75" x14ac:dyDescent="0.2">
      <c r="A176"/>
      <c r="B176"/>
      <c r="C176"/>
      <c r="D176" s="177"/>
      <c r="E176" s="178"/>
      <c r="F176" s="157"/>
      <c r="G176" s="4"/>
      <c r="I176" s="177"/>
      <c r="J176" s="178"/>
      <c r="K176" s="178"/>
      <c r="L176" s="262"/>
      <c r="M176" s="262"/>
      <c r="N176" s="262"/>
      <c r="O176" s="262"/>
      <c r="P176" s="262"/>
      <c r="Q176" s="142"/>
      <c r="R176" s="143"/>
      <c r="S176" s="142"/>
    </row>
    <row r="177" spans="1:17" ht="60.75" x14ac:dyDescent="0.2">
      <c r="D177" s="177"/>
      <c r="E177" s="178"/>
      <c r="F177" s="261"/>
      <c r="Q177" s="142"/>
    </row>
    <row r="178" spans="1:17" ht="60.75" x14ac:dyDescent="0.2">
      <c r="A178"/>
      <c r="B178"/>
      <c r="C178"/>
      <c r="D178" s="177"/>
      <c r="E178" s="178"/>
      <c r="F178" s="157"/>
      <c r="G178" s="4"/>
      <c r="J178" s="5"/>
      <c r="K178" s="5"/>
      <c r="L178" s="262"/>
      <c r="M178" s="262"/>
      <c r="N178" s="262"/>
      <c r="O178" s="262"/>
      <c r="P178" s="262"/>
      <c r="Q178" s="142"/>
    </row>
    <row r="179" spans="1:17" ht="62.25" x14ac:dyDescent="0.8">
      <c r="A179"/>
      <c r="B179"/>
      <c r="C179"/>
      <c r="D179"/>
      <c r="E179" s="25"/>
      <c r="F179" s="157"/>
      <c r="J179" s="5"/>
      <c r="K179" s="5"/>
      <c r="L179" s="262"/>
      <c r="M179" s="262"/>
      <c r="N179" s="262"/>
      <c r="O179" s="262"/>
      <c r="P179" s="262"/>
      <c r="Q179" s="193"/>
    </row>
    <row r="180" spans="1:17" ht="45.75" x14ac:dyDescent="0.2">
      <c r="E180" s="26"/>
      <c r="F180" s="261"/>
    </row>
    <row r="181" spans="1:17" ht="45.75" x14ac:dyDescent="0.2">
      <c r="A181"/>
      <c r="B181"/>
      <c r="C181"/>
      <c r="D181"/>
      <c r="E181" s="25"/>
      <c r="F181" s="157"/>
      <c r="L181" s="262"/>
      <c r="M181" s="262"/>
      <c r="N181" s="262"/>
      <c r="O181" s="262"/>
      <c r="P181" s="262"/>
      <c r="Q181"/>
    </row>
    <row r="182" spans="1:17" ht="45.75" x14ac:dyDescent="0.2">
      <c r="E182" s="26"/>
      <c r="F182" s="261"/>
    </row>
    <row r="183" spans="1:17" ht="45.75" x14ac:dyDescent="0.2">
      <c r="E183" s="26"/>
      <c r="F183" s="261"/>
    </row>
    <row r="184" spans="1:17" ht="45.75" x14ac:dyDescent="0.2">
      <c r="E184" s="26"/>
      <c r="F184" s="261"/>
    </row>
    <row r="185" spans="1:17" ht="45.75" x14ac:dyDescent="0.2">
      <c r="A185"/>
      <c r="B185"/>
      <c r="C185"/>
      <c r="D185"/>
      <c r="E185" s="26"/>
      <c r="F185" s="261"/>
      <c r="G185" s="262"/>
      <c r="H185" s="262"/>
      <c r="I185" s="262"/>
      <c r="J185" s="262"/>
      <c r="K185" s="262"/>
      <c r="L185" s="262"/>
      <c r="M185" s="262"/>
      <c r="N185" s="262"/>
      <c r="O185" s="262"/>
      <c r="P185" s="262"/>
      <c r="Q185"/>
    </row>
    <row r="186" spans="1:17" ht="45.75" x14ac:dyDescent="0.2">
      <c r="A186"/>
      <c r="B186"/>
      <c r="C186"/>
      <c r="D186"/>
      <c r="E186" s="26"/>
      <c r="F186" s="261"/>
      <c r="G186" s="262"/>
      <c r="H186" s="262"/>
      <c r="I186" s="262"/>
      <c r="J186" s="262"/>
      <c r="K186" s="262"/>
      <c r="L186" s="262"/>
      <c r="M186" s="262"/>
      <c r="N186" s="262"/>
      <c r="O186" s="262"/>
      <c r="P186" s="262"/>
      <c r="Q186"/>
    </row>
    <row r="187" spans="1:17" ht="45.75" x14ac:dyDescent="0.2">
      <c r="A187"/>
      <c r="B187"/>
      <c r="C187"/>
      <c r="D187"/>
      <c r="E187" s="26"/>
      <c r="F187" s="261"/>
      <c r="G187" s="262"/>
      <c r="H187" s="262"/>
      <c r="I187" s="262"/>
      <c r="J187" s="262"/>
      <c r="K187" s="262"/>
      <c r="L187" s="262"/>
      <c r="M187" s="262"/>
      <c r="N187" s="262"/>
      <c r="O187" s="262"/>
      <c r="P187" s="262"/>
      <c r="Q187"/>
    </row>
    <row r="188" spans="1:17" ht="45.75" x14ac:dyDescent="0.2">
      <c r="A188"/>
      <c r="B188"/>
      <c r="C188"/>
      <c r="D188"/>
      <c r="E188" s="26"/>
      <c r="F188" s="261"/>
      <c r="G188" s="262"/>
      <c r="H188" s="262"/>
      <c r="I188" s="262"/>
      <c r="J188" s="262"/>
      <c r="K188" s="262"/>
      <c r="L188" s="262"/>
      <c r="M188" s="262"/>
      <c r="N188" s="262"/>
      <c r="O188" s="262"/>
      <c r="P188" s="262"/>
      <c r="Q188"/>
    </row>
  </sheetData>
  <mergeCells count="90">
    <mergeCell ref="J9:J10"/>
    <mergeCell ref="L18:L19"/>
    <mergeCell ref="H85:H86"/>
    <mergeCell ref="I85:I86"/>
    <mergeCell ref="J85:J86"/>
    <mergeCell ref="L85:L86"/>
    <mergeCell ref="Q79:Q80"/>
    <mergeCell ref="N79:N80"/>
    <mergeCell ref="O79:O80"/>
    <mergeCell ref="L79:L80"/>
    <mergeCell ref="M79:M80"/>
    <mergeCell ref="P79:P80"/>
    <mergeCell ref="Q18:Q19"/>
    <mergeCell ref="O18:O19"/>
    <mergeCell ref="M18:M19"/>
    <mergeCell ref="N18:N19"/>
    <mergeCell ref="E8:I8"/>
    <mergeCell ref="G9:H9"/>
    <mergeCell ref="E18:E19"/>
    <mergeCell ref="F18:F19"/>
    <mergeCell ref="G18:G19"/>
    <mergeCell ref="H18:H19"/>
    <mergeCell ref="I18:I19"/>
    <mergeCell ref="P9:P10"/>
    <mergeCell ref="J8:P8"/>
    <mergeCell ref="P18:P19"/>
    <mergeCell ref="L9:L10"/>
    <mergeCell ref="J18:J19"/>
    <mergeCell ref="O1:Q1"/>
    <mergeCell ref="O2:Q2"/>
    <mergeCell ref="O3:Q3"/>
    <mergeCell ref="Q8:Q10"/>
    <mergeCell ref="A5:Q5"/>
    <mergeCell ref="E9:E10"/>
    <mergeCell ref="I9:I10"/>
    <mergeCell ref="A8:A10"/>
    <mergeCell ref="A6:Q6"/>
    <mergeCell ref="O9:O10"/>
    <mergeCell ref="M9:N9"/>
    <mergeCell ref="B8:B10"/>
    <mergeCell ref="C8:C10"/>
    <mergeCell ref="F9:F10"/>
    <mergeCell ref="D8:D10"/>
    <mergeCell ref="K9:K10"/>
    <mergeCell ref="D168:Q168"/>
    <mergeCell ref="D166:Q166"/>
    <mergeCell ref="J79:J80"/>
    <mergeCell ref="E79:E80"/>
    <mergeCell ref="F79:F80"/>
    <mergeCell ref="G79:G80"/>
    <mergeCell ref="H79:H80"/>
    <mergeCell ref="I79:I80"/>
    <mergeCell ref="A163:Q163"/>
    <mergeCell ref="E85:E86"/>
    <mergeCell ref="F85:F86"/>
    <mergeCell ref="M85:M86"/>
    <mergeCell ref="N85:N86"/>
    <mergeCell ref="O85:O86"/>
    <mergeCell ref="Q85:Q86"/>
    <mergeCell ref="G85:G86"/>
    <mergeCell ref="G74:G75"/>
    <mergeCell ref="P85:P86"/>
    <mergeCell ref="K79:K80"/>
    <mergeCell ref="K18:K19"/>
    <mergeCell ref="K85:K86"/>
    <mergeCell ref="A18:A19"/>
    <mergeCell ref="B18:B19"/>
    <mergeCell ref="C18:C19"/>
    <mergeCell ref="A85:A86"/>
    <mergeCell ref="B85:B86"/>
    <mergeCell ref="C85:C86"/>
    <mergeCell ref="A79:A80"/>
    <mergeCell ref="B79:B80"/>
    <mergeCell ref="C79:C80"/>
    <mergeCell ref="Q127:Q128"/>
    <mergeCell ref="A127:A128"/>
    <mergeCell ref="B127:B128"/>
    <mergeCell ref="C127:C128"/>
    <mergeCell ref="E127:E128"/>
    <mergeCell ref="F127:F128"/>
    <mergeCell ref="G127:G128"/>
    <mergeCell ref="H127:H128"/>
    <mergeCell ref="I127:I128"/>
    <mergeCell ref="J127:J128"/>
    <mergeCell ref="K127:K128"/>
    <mergeCell ref="L127:L128"/>
    <mergeCell ref="M127:M128"/>
    <mergeCell ref="N127:N128"/>
    <mergeCell ref="P127:P128"/>
    <mergeCell ref="O127:O128"/>
  </mergeCells>
  <phoneticPr fontId="0" type="noConversion"/>
  <conditionalFormatting sqref="R137:S138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R147:S148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R158:S158 R157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152:S153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S157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141:S141">
    <cfRule type="iconSet" priority="8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fitToHeight="0" orientation="landscape" r:id="rId1"/>
  <headerFooter alignWithMargins="0">
    <oddFooter>&amp;C&amp;"Times New Roman Cyr,курсив"Сторінка &amp;P з &amp;N</oddFooter>
  </headerFooter>
  <rowBreaks count="1" manualBreakCount="1">
    <brk id="49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158"/>
  <sheetViews>
    <sheetView showGridLines="0" showZeros="0" view="pageBreakPreview" topLeftCell="B1" zoomScale="85" zoomScaleNormal="85" zoomScaleSheetLayoutView="85" workbookViewId="0">
      <selection activeCell="L25" sqref="L25"/>
    </sheetView>
  </sheetViews>
  <sheetFormatPr defaultColWidth="7.85546875" defaultRowHeight="12.75" x14ac:dyDescent="0.2"/>
  <cols>
    <col min="1" max="1" width="0" style="18" hidden="1" customWidth="1"/>
    <col min="2" max="2" width="13" style="107" customWidth="1"/>
    <col min="3" max="3" width="12.42578125" style="107" customWidth="1"/>
    <col min="4" max="4" width="15.28515625" style="107" customWidth="1"/>
    <col min="5" max="5" width="37" style="107" customWidth="1"/>
    <col min="6" max="6" width="10.5703125" style="107" customWidth="1"/>
    <col min="7" max="7" width="11.85546875" style="107" customWidth="1"/>
    <col min="8" max="8" width="13.28515625" style="107" customWidth="1"/>
    <col min="9" max="9" width="12.5703125" style="107" customWidth="1"/>
    <col min="10" max="10" width="12.140625" style="107" customWidth="1"/>
    <col min="11" max="11" width="18.140625" style="107" customWidth="1"/>
    <col min="12" max="12" width="13.5703125" style="107" customWidth="1"/>
    <col min="13" max="13" width="13" style="107" customWidth="1"/>
    <col min="14" max="14" width="11.42578125" style="107" customWidth="1"/>
    <col min="15" max="15" width="12.7109375" style="107" customWidth="1"/>
    <col min="16" max="16" width="12.5703125" style="107" customWidth="1"/>
    <col min="17" max="17" width="12.7109375" style="107" customWidth="1"/>
    <col min="18" max="16384" width="7.85546875" style="107"/>
  </cols>
  <sheetData>
    <row r="2" spans="1:21" ht="64.5" customHeight="1" x14ac:dyDescent="0.2">
      <c r="B2" s="18"/>
      <c r="C2" s="18"/>
      <c r="D2" s="18"/>
      <c r="E2" s="106"/>
      <c r="F2" s="106"/>
      <c r="G2" s="106"/>
      <c r="H2" s="106"/>
      <c r="I2" s="106"/>
      <c r="J2" s="106"/>
      <c r="K2" s="106"/>
      <c r="L2" s="106"/>
      <c r="M2" s="475" t="s">
        <v>634</v>
      </c>
      <c r="N2" s="475"/>
      <c r="O2" s="475"/>
      <c r="P2" s="475"/>
      <c r="Q2" s="475"/>
    </row>
    <row r="3" spans="1:21" ht="32.450000000000003" customHeight="1" x14ac:dyDescent="0.2">
      <c r="B3" s="18"/>
      <c r="C3" s="18"/>
      <c r="D3" s="18"/>
      <c r="E3" s="476" t="s">
        <v>677</v>
      </c>
      <c r="F3" s="476"/>
      <c r="G3" s="476"/>
      <c r="H3" s="476"/>
      <c r="I3" s="476"/>
      <c r="J3" s="476"/>
      <c r="K3" s="476"/>
      <c r="L3" s="476"/>
      <c r="M3" s="476"/>
      <c r="N3" s="109"/>
      <c r="O3" s="109"/>
      <c r="P3" s="109"/>
      <c r="Q3" s="109"/>
    </row>
    <row r="4" spans="1:21" ht="12" customHeight="1" x14ac:dyDescent="0.3">
      <c r="B4" s="110"/>
      <c r="C4" s="110"/>
      <c r="D4" s="111"/>
      <c r="E4" s="476"/>
      <c r="F4" s="476"/>
      <c r="G4" s="476"/>
      <c r="H4" s="476"/>
      <c r="I4" s="476"/>
      <c r="J4" s="476"/>
      <c r="K4" s="476"/>
      <c r="L4" s="476"/>
      <c r="M4" s="476"/>
      <c r="N4" s="18"/>
      <c r="O4" s="18"/>
      <c r="P4" s="18"/>
      <c r="Q4" s="112"/>
      <c r="R4" s="106"/>
      <c r="S4" s="106"/>
      <c r="T4" s="106"/>
      <c r="U4" s="106"/>
    </row>
    <row r="5" spans="1:21" ht="21" customHeight="1" x14ac:dyDescent="0.3">
      <c r="B5" s="110"/>
      <c r="C5" s="110"/>
      <c r="D5" s="111"/>
      <c r="E5" s="108"/>
      <c r="F5" s="108"/>
      <c r="G5" s="108"/>
      <c r="H5" s="251"/>
      <c r="I5" s="108"/>
      <c r="J5" s="108"/>
      <c r="K5" s="108"/>
      <c r="L5" s="251"/>
      <c r="M5" s="108"/>
      <c r="N5" s="18"/>
      <c r="O5" s="18"/>
      <c r="P5" s="18"/>
      <c r="Q5" s="263" t="s">
        <v>672</v>
      </c>
      <c r="R5" s="106"/>
      <c r="S5" s="106"/>
      <c r="T5" s="106"/>
      <c r="U5" s="106"/>
    </row>
    <row r="6" spans="1:21" ht="30.75" customHeight="1" x14ac:dyDescent="0.2">
      <c r="A6" s="113"/>
      <c r="B6" s="479" t="s">
        <v>29</v>
      </c>
      <c r="C6" s="480" t="s">
        <v>675</v>
      </c>
      <c r="D6" s="480" t="s">
        <v>682</v>
      </c>
      <c r="E6" s="480" t="s">
        <v>676</v>
      </c>
      <c r="F6" s="477" t="s">
        <v>187</v>
      </c>
      <c r="G6" s="477"/>
      <c r="H6" s="477"/>
      <c r="I6" s="477"/>
      <c r="J6" s="477" t="s">
        <v>188</v>
      </c>
      <c r="K6" s="477"/>
      <c r="L6" s="477"/>
      <c r="M6" s="477"/>
      <c r="N6" s="477" t="s">
        <v>681</v>
      </c>
      <c r="O6" s="477"/>
      <c r="P6" s="477"/>
      <c r="Q6" s="477"/>
      <c r="R6" s="106"/>
      <c r="S6" s="106"/>
      <c r="T6" s="106"/>
      <c r="U6" s="106"/>
    </row>
    <row r="7" spans="1:21" ht="28.5" customHeight="1" x14ac:dyDescent="0.2">
      <c r="A7" s="114"/>
      <c r="B7" s="479"/>
      <c r="C7" s="481"/>
      <c r="D7" s="481"/>
      <c r="E7" s="482"/>
      <c r="F7" s="472" t="s">
        <v>678</v>
      </c>
      <c r="G7" s="472" t="s">
        <v>679</v>
      </c>
      <c r="H7" s="473"/>
      <c r="I7" s="472" t="s">
        <v>680</v>
      </c>
      <c r="J7" s="472" t="s">
        <v>678</v>
      </c>
      <c r="K7" s="472" t="s">
        <v>679</v>
      </c>
      <c r="L7" s="473"/>
      <c r="M7" s="472" t="s">
        <v>680</v>
      </c>
      <c r="N7" s="472" t="s">
        <v>678</v>
      </c>
      <c r="O7" s="472" t="s">
        <v>679</v>
      </c>
      <c r="P7" s="473"/>
      <c r="Q7" s="472" t="s">
        <v>680</v>
      </c>
      <c r="R7" s="106"/>
      <c r="S7" s="106"/>
      <c r="T7" s="106"/>
      <c r="U7" s="106"/>
    </row>
    <row r="8" spans="1:21" ht="50.25" customHeight="1" x14ac:dyDescent="0.2">
      <c r="A8" s="115"/>
      <c r="B8" s="479"/>
      <c r="C8" s="481"/>
      <c r="D8" s="481"/>
      <c r="E8" s="481"/>
      <c r="F8" s="472"/>
      <c r="G8" s="268" t="s">
        <v>668</v>
      </c>
      <c r="H8" s="268" t="s">
        <v>669</v>
      </c>
      <c r="I8" s="472"/>
      <c r="J8" s="472"/>
      <c r="K8" s="268" t="s">
        <v>668</v>
      </c>
      <c r="L8" s="268" t="s">
        <v>669</v>
      </c>
      <c r="M8" s="472"/>
      <c r="N8" s="472"/>
      <c r="O8" s="268" t="s">
        <v>668</v>
      </c>
      <c r="P8" s="268" t="s">
        <v>669</v>
      </c>
      <c r="Q8" s="472"/>
      <c r="R8" s="106"/>
      <c r="S8" s="106"/>
      <c r="T8" s="106"/>
      <c r="U8" s="106"/>
    </row>
    <row r="9" spans="1:21" ht="15" customHeight="1" x14ac:dyDescent="0.2">
      <c r="A9" s="115"/>
      <c r="B9" s="21">
        <v>1</v>
      </c>
      <c r="C9" s="269">
        <v>2</v>
      </c>
      <c r="D9" s="21">
        <v>3</v>
      </c>
      <c r="E9" s="269">
        <v>4</v>
      </c>
      <c r="F9" s="21">
        <v>5</v>
      </c>
      <c r="G9" s="269">
        <v>6</v>
      </c>
      <c r="H9" s="21">
        <v>7</v>
      </c>
      <c r="I9" s="269">
        <v>8</v>
      </c>
      <c r="J9" s="21">
        <v>9</v>
      </c>
      <c r="K9" s="269">
        <v>10</v>
      </c>
      <c r="L9" s="21">
        <v>11</v>
      </c>
      <c r="M9" s="269">
        <v>12</v>
      </c>
      <c r="N9" s="21">
        <v>13</v>
      </c>
      <c r="O9" s="269">
        <v>14</v>
      </c>
      <c r="P9" s="21">
        <v>15</v>
      </c>
      <c r="Q9" s="269">
        <v>16</v>
      </c>
      <c r="R9" s="106"/>
      <c r="S9" s="106"/>
      <c r="T9" s="106"/>
      <c r="U9" s="106"/>
    </row>
    <row r="10" spans="1:21" s="117" customFormat="1" ht="45" x14ac:dyDescent="0.2">
      <c r="A10" s="116"/>
      <c r="B10" s="305" t="s">
        <v>40</v>
      </c>
      <c r="C10" s="305"/>
      <c r="D10" s="305"/>
      <c r="E10" s="306" t="s">
        <v>41</v>
      </c>
      <c r="F10" s="307">
        <f>F11</f>
        <v>260000</v>
      </c>
      <c r="G10" s="307">
        <f t="shared" ref="G10:Q10" si="0">G11</f>
        <v>90000</v>
      </c>
      <c r="H10" s="307">
        <f t="shared" si="0"/>
        <v>0</v>
      </c>
      <c r="I10" s="307">
        <f t="shared" si="0"/>
        <v>350000</v>
      </c>
      <c r="J10" s="307">
        <f t="shared" si="0"/>
        <v>0</v>
      </c>
      <c r="K10" s="307">
        <f t="shared" si="0"/>
        <v>-90000</v>
      </c>
      <c r="L10" s="307">
        <f t="shared" si="0"/>
        <v>0</v>
      </c>
      <c r="M10" s="307">
        <f t="shared" si="0"/>
        <v>-90000</v>
      </c>
      <c r="N10" s="307">
        <f t="shared" si="0"/>
        <v>260000</v>
      </c>
      <c r="O10" s="307">
        <f t="shared" si="0"/>
        <v>0</v>
      </c>
      <c r="P10" s="307">
        <f t="shared" si="0"/>
        <v>0</v>
      </c>
      <c r="Q10" s="307">
        <f t="shared" si="0"/>
        <v>260000</v>
      </c>
    </row>
    <row r="11" spans="1:21" ht="42.75" x14ac:dyDescent="0.2">
      <c r="B11" s="302" t="s">
        <v>39</v>
      </c>
      <c r="C11" s="302"/>
      <c r="D11" s="302"/>
      <c r="E11" s="303" t="s">
        <v>58</v>
      </c>
      <c r="F11" s="304">
        <f>F12</f>
        <v>260000</v>
      </c>
      <c r="G11" s="304">
        <f t="shared" ref="G11:I11" si="1">G12</f>
        <v>90000</v>
      </c>
      <c r="H11" s="304">
        <f t="shared" si="1"/>
        <v>0</v>
      </c>
      <c r="I11" s="304">
        <f t="shared" si="1"/>
        <v>350000</v>
      </c>
      <c r="J11" s="304">
        <f>J13</f>
        <v>0</v>
      </c>
      <c r="K11" s="304">
        <f t="shared" ref="K11:M11" si="2">K13</f>
        <v>-90000</v>
      </c>
      <c r="L11" s="304">
        <f t="shared" si="2"/>
        <v>0</v>
      </c>
      <c r="M11" s="304">
        <f t="shared" si="2"/>
        <v>-90000</v>
      </c>
      <c r="N11" s="304">
        <f>F11+J11</f>
        <v>260000</v>
      </c>
      <c r="O11" s="304">
        <f t="shared" ref="O11:Q11" si="3">G11+K11</f>
        <v>0</v>
      </c>
      <c r="P11" s="304">
        <f t="shared" si="3"/>
        <v>0</v>
      </c>
      <c r="Q11" s="304">
        <f t="shared" si="3"/>
        <v>260000</v>
      </c>
    </row>
    <row r="12" spans="1:21" ht="15" x14ac:dyDescent="0.2">
      <c r="B12" s="298" t="s">
        <v>600</v>
      </c>
      <c r="C12" s="298" t="s">
        <v>602</v>
      </c>
      <c r="D12" s="298" t="s">
        <v>79</v>
      </c>
      <c r="E12" s="299" t="s">
        <v>295</v>
      </c>
      <c r="F12" s="300">
        <v>260000</v>
      </c>
      <c r="G12" s="300">
        <v>90000</v>
      </c>
      <c r="H12" s="300">
        <v>0</v>
      </c>
      <c r="I12" s="300">
        <f>F12+G12</f>
        <v>350000</v>
      </c>
      <c r="J12" s="300">
        <v>0</v>
      </c>
      <c r="K12" s="300">
        <v>0</v>
      </c>
      <c r="L12" s="300"/>
      <c r="M12" s="300">
        <f>J12+K12</f>
        <v>0</v>
      </c>
      <c r="N12" s="300">
        <f>F12+J12</f>
        <v>260000</v>
      </c>
      <c r="O12" s="301">
        <f>G12+K12</f>
        <v>90000</v>
      </c>
      <c r="P12" s="300" t="s">
        <v>189</v>
      </c>
      <c r="Q12" s="301">
        <f>I12+M12</f>
        <v>350000</v>
      </c>
    </row>
    <row r="13" spans="1:21" ht="15" x14ac:dyDescent="0.2">
      <c r="B13" s="298" t="s">
        <v>601</v>
      </c>
      <c r="C13" s="298" t="s">
        <v>603</v>
      </c>
      <c r="D13" s="298" t="s">
        <v>79</v>
      </c>
      <c r="E13" s="299" t="s">
        <v>296</v>
      </c>
      <c r="F13" s="300"/>
      <c r="G13" s="300">
        <f>H13+I13</f>
        <v>0</v>
      </c>
      <c r="H13" s="300"/>
      <c r="I13" s="300"/>
      <c r="J13" s="300"/>
      <c r="K13" s="300">
        <v>-90000</v>
      </c>
      <c r="L13" s="300"/>
      <c r="M13" s="301">
        <f>J13+K13</f>
        <v>-90000</v>
      </c>
      <c r="N13" s="300">
        <f>F13+J13</f>
        <v>0</v>
      </c>
      <c r="O13" s="301">
        <f>G13+K13</f>
        <v>-90000</v>
      </c>
      <c r="P13" s="300" t="s">
        <v>189</v>
      </c>
      <c r="Q13" s="301">
        <f>I13+M13</f>
        <v>-90000</v>
      </c>
    </row>
    <row r="14" spans="1:21" ht="27.75" customHeight="1" x14ac:dyDescent="0.2">
      <c r="B14" s="169" t="s">
        <v>665</v>
      </c>
      <c r="C14" s="169" t="s">
        <v>665</v>
      </c>
      <c r="D14" s="267" t="s">
        <v>665</v>
      </c>
      <c r="E14" s="264" t="s">
        <v>683</v>
      </c>
      <c r="F14" s="170">
        <f>F10</f>
        <v>260000</v>
      </c>
      <c r="G14" s="170">
        <f>H14+I14</f>
        <v>350000</v>
      </c>
      <c r="H14" s="170">
        <f t="shared" ref="H14:I14" si="4">H10</f>
        <v>0</v>
      </c>
      <c r="I14" s="170">
        <f t="shared" si="4"/>
        <v>350000</v>
      </c>
      <c r="J14" s="170">
        <f>J10</f>
        <v>0</v>
      </c>
      <c r="K14" s="170">
        <f>K10</f>
        <v>-90000</v>
      </c>
      <c r="L14" s="170">
        <f>L10</f>
        <v>0</v>
      </c>
      <c r="M14" s="170">
        <f t="shared" ref="M14:Q14" si="5">M10</f>
        <v>-90000</v>
      </c>
      <c r="N14" s="170">
        <f t="shared" si="5"/>
        <v>260000</v>
      </c>
      <c r="O14" s="170">
        <f t="shared" si="5"/>
        <v>0</v>
      </c>
      <c r="P14" s="170">
        <f t="shared" si="5"/>
        <v>0</v>
      </c>
      <c r="Q14" s="170">
        <f t="shared" si="5"/>
        <v>260000</v>
      </c>
    </row>
    <row r="15" spans="1:21" ht="27.75" customHeight="1" x14ac:dyDescent="0.25">
      <c r="B15" s="229"/>
      <c r="C15" s="229"/>
      <c r="D15" s="474" t="s">
        <v>656</v>
      </c>
      <c r="E15" s="474"/>
      <c r="F15" s="474"/>
      <c r="G15" s="474"/>
      <c r="H15" s="474"/>
      <c r="I15" s="474"/>
      <c r="J15" s="474"/>
      <c r="K15" s="474"/>
      <c r="L15" s="474"/>
      <c r="M15" s="474"/>
      <c r="N15" s="474"/>
      <c r="O15" s="474"/>
      <c r="P15" s="474"/>
      <c r="Q15" s="230"/>
    </row>
    <row r="16" spans="1:21" ht="15.75" customHeight="1" x14ac:dyDescent="0.25">
      <c r="B16" s="229"/>
      <c r="C16" s="229"/>
      <c r="D16" s="474"/>
      <c r="E16" s="474"/>
      <c r="F16" s="474"/>
      <c r="G16" s="474"/>
      <c r="H16" s="474"/>
      <c r="I16" s="474"/>
      <c r="J16" s="474"/>
      <c r="K16" s="474"/>
      <c r="L16" s="474"/>
      <c r="M16" s="474"/>
      <c r="N16" s="474"/>
      <c r="O16" s="474"/>
      <c r="P16" s="474"/>
      <c r="Q16" s="230"/>
    </row>
    <row r="17" spans="4:16" ht="15" x14ac:dyDescent="0.25">
      <c r="D17" s="474" t="s">
        <v>231</v>
      </c>
      <c r="E17" s="474"/>
      <c r="F17" s="474"/>
      <c r="G17" s="474"/>
      <c r="H17" s="474"/>
      <c r="I17" s="474"/>
      <c r="J17" s="474"/>
      <c r="K17" s="474"/>
      <c r="L17" s="474"/>
      <c r="M17" s="474"/>
      <c r="N17" s="474"/>
      <c r="O17" s="474"/>
      <c r="P17" s="474"/>
    </row>
    <row r="18" spans="4:16" ht="15" x14ac:dyDescent="0.25">
      <c r="D18" s="474"/>
      <c r="E18" s="474"/>
      <c r="F18" s="474"/>
      <c r="G18" s="474"/>
      <c r="H18" s="474"/>
      <c r="I18" s="474"/>
      <c r="J18" s="474"/>
      <c r="K18" s="474"/>
      <c r="L18" s="474"/>
      <c r="M18" s="474"/>
      <c r="N18" s="474"/>
      <c r="O18" s="474"/>
      <c r="P18" s="474"/>
    </row>
    <row r="19" spans="4:16" ht="15" x14ac:dyDescent="0.2">
      <c r="D19" s="231"/>
      <c r="E19" s="232"/>
      <c r="F19" s="233"/>
      <c r="G19" s="231">
        <f>H19+I19</f>
        <v>0</v>
      </c>
      <c r="H19" s="231"/>
      <c r="I19" s="234"/>
      <c r="J19" s="232"/>
      <c r="K19" s="234"/>
      <c r="L19" s="231"/>
      <c r="M19" s="231"/>
      <c r="N19" s="234"/>
      <c r="O19" s="235"/>
      <c r="P19" s="236"/>
    </row>
    <row r="20" spans="4:16" ht="15" x14ac:dyDescent="0.25">
      <c r="D20" s="237"/>
      <c r="E20" s="237"/>
      <c r="F20" s="237"/>
      <c r="G20" s="237">
        <f>H20+I20</f>
        <v>0</v>
      </c>
      <c r="H20" s="237"/>
      <c r="I20" s="237"/>
      <c r="J20" s="237"/>
      <c r="K20" s="237"/>
      <c r="L20" s="237"/>
      <c r="M20" s="237"/>
      <c r="N20" s="237"/>
      <c r="O20" s="237"/>
      <c r="P20" s="237"/>
    </row>
    <row r="21" spans="4:16" x14ac:dyDescent="0.2">
      <c r="G21" s="107">
        <f>H21+I21</f>
        <v>0</v>
      </c>
    </row>
    <row r="22" spans="4:16" x14ac:dyDescent="0.2">
      <c r="G22" s="107">
        <f>H22+I22</f>
        <v>0</v>
      </c>
    </row>
    <row r="23" spans="4:16" x14ac:dyDescent="0.2">
      <c r="G23" s="107">
        <f>H23+I23</f>
        <v>0</v>
      </c>
    </row>
    <row r="45" spans="7:7" x14ac:dyDescent="0.2">
      <c r="G45" s="107">
        <f>H45+I45</f>
        <v>0</v>
      </c>
    </row>
    <row r="47" spans="7:7" x14ac:dyDescent="0.2">
      <c r="G47" s="107">
        <f t="shared" ref="G47:G65" si="6">H47+I47</f>
        <v>0</v>
      </c>
    </row>
    <row r="48" spans="7:7" x14ac:dyDescent="0.2">
      <c r="G48" s="107">
        <f t="shared" si="6"/>
        <v>0</v>
      </c>
    </row>
    <row r="49" spans="7:7" x14ac:dyDescent="0.2">
      <c r="G49" s="107">
        <f t="shared" si="6"/>
        <v>0</v>
      </c>
    </row>
    <row r="50" spans="7:7" x14ac:dyDescent="0.2">
      <c r="G50" s="107">
        <f t="shared" si="6"/>
        <v>0</v>
      </c>
    </row>
    <row r="51" spans="7:7" x14ac:dyDescent="0.2">
      <c r="G51" s="107">
        <f t="shared" si="6"/>
        <v>0</v>
      </c>
    </row>
    <row r="52" spans="7:7" x14ac:dyDescent="0.2">
      <c r="G52" s="107">
        <f t="shared" si="6"/>
        <v>0</v>
      </c>
    </row>
    <row r="53" spans="7:7" x14ac:dyDescent="0.2">
      <c r="G53" s="107">
        <f t="shared" si="6"/>
        <v>0</v>
      </c>
    </row>
    <row r="54" spans="7:7" x14ac:dyDescent="0.2">
      <c r="G54" s="107">
        <f t="shared" si="6"/>
        <v>0</v>
      </c>
    </row>
    <row r="55" spans="7:7" x14ac:dyDescent="0.2">
      <c r="G55" s="107">
        <f t="shared" si="6"/>
        <v>0</v>
      </c>
    </row>
    <row r="56" spans="7:7" x14ac:dyDescent="0.2">
      <c r="G56" s="107">
        <f t="shared" si="6"/>
        <v>0</v>
      </c>
    </row>
    <row r="57" spans="7:7" x14ac:dyDescent="0.2">
      <c r="G57" s="107">
        <f t="shared" si="6"/>
        <v>0</v>
      </c>
    </row>
    <row r="58" spans="7:7" x14ac:dyDescent="0.2">
      <c r="G58" s="107">
        <f t="shared" si="6"/>
        <v>0</v>
      </c>
    </row>
    <row r="59" spans="7:7" x14ac:dyDescent="0.2">
      <c r="G59" s="107">
        <f t="shared" si="6"/>
        <v>0</v>
      </c>
    </row>
    <row r="60" spans="7:7" x14ac:dyDescent="0.2">
      <c r="G60" s="107">
        <f t="shared" si="6"/>
        <v>0</v>
      </c>
    </row>
    <row r="61" spans="7:7" x14ac:dyDescent="0.2">
      <c r="G61" s="107">
        <f t="shared" si="6"/>
        <v>0</v>
      </c>
    </row>
    <row r="62" spans="7:7" x14ac:dyDescent="0.2">
      <c r="G62" s="107">
        <f t="shared" si="6"/>
        <v>0</v>
      </c>
    </row>
    <row r="63" spans="7:7" x14ac:dyDescent="0.2">
      <c r="G63" s="107">
        <f t="shared" si="6"/>
        <v>0</v>
      </c>
    </row>
    <row r="64" spans="7:7" x14ac:dyDescent="0.2">
      <c r="G64" s="107">
        <f t="shared" si="6"/>
        <v>0</v>
      </c>
    </row>
    <row r="65" spans="7:7" x14ac:dyDescent="0.2">
      <c r="G65" s="107">
        <f t="shared" si="6"/>
        <v>0</v>
      </c>
    </row>
    <row r="67" spans="7:7" x14ac:dyDescent="0.2">
      <c r="G67" s="107">
        <f>H67+I67</f>
        <v>0</v>
      </c>
    </row>
    <row r="68" spans="7:7" x14ac:dyDescent="0.2">
      <c r="G68" s="107">
        <f>H68+I68</f>
        <v>0</v>
      </c>
    </row>
    <row r="69" spans="7:7" x14ac:dyDescent="0.2">
      <c r="G69" s="107">
        <f>H69+I69</f>
        <v>0</v>
      </c>
    </row>
    <row r="70" spans="7:7" x14ac:dyDescent="0.2">
      <c r="G70" s="107">
        <f>H70+I70</f>
        <v>0</v>
      </c>
    </row>
    <row r="72" spans="7:7" x14ac:dyDescent="0.2">
      <c r="G72" s="107">
        <f>H72+I72</f>
        <v>0</v>
      </c>
    </row>
    <row r="75" spans="7:7" x14ac:dyDescent="0.2">
      <c r="G75" s="478"/>
    </row>
    <row r="76" spans="7:7" x14ac:dyDescent="0.2">
      <c r="G76" s="424"/>
    </row>
    <row r="112" spans="7:7" x14ac:dyDescent="0.2">
      <c r="G112" s="107">
        <f>H112+I112</f>
        <v>0</v>
      </c>
    </row>
    <row r="114" spans="7:7" x14ac:dyDescent="0.2">
      <c r="G114" s="107">
        <f t="shared" ref="G114:G124" si="7">H114+I114</f>
        <v>0</v>
      </c>
    </row>
    <row r="115" spans="7:7" x14ac:dyDescent="0.2">
      <c r="G115" s="107">
        <f t="shared" si="7"/>
        <v>0</v>
      </c>
    </row>
    <row r="116" spans="7:7" x14ac:dyDescent="0.2">
      <c r="G116" s="107">
        <f t="shared" si="7"/>
        <v>0</v>
      </c>
    </row>
    <row r="117" spans="7:7" x14ac:dyDescent="0.2">
      <c r="G117" s="107">
        <f t="shared" si="7"/>
        <v>0</v>
      </c>
    </row>
    <row r="118" spans="7:7" x14ac:dyDescent="0.2">
      <c r="G118" s="107">
        <f t="shared" si="7"/>
        <v>0</v>
      </c>
    </row>
    <row r="119" spans="7:7" x14ac:dyDescent="0.2">
      <c r="G119" s="107">
        <f t="shared" si="7"/>
        <v>0</v>
      </c>
    </row>
    <row r="120" spans="7:7" x14ac:dyDescent="0.2">
      <c r="G120" s="107">
        <f t="shared" si="7"/>
        <v>0</v>
      </c>
    </row>
    <row r="121" spans="7:7" x14ac:dyDescent="0.2">
      <c r="G121" s="107">
        <f t="shared" si="7"/>
        <v>0</v>
      </c>
    </row>
    <row r="122" spans="7:7" x14ac:dyDescent="0.2">
      <c r="G122" s="107">
        <f t="shared" si="7"/>
        <v>0</v>
      </c>
    </row>
    <row r="123" spans="7:7" x14ac:dyDescent="0.2">
      <c r="G123" s="107">
        <f t="shared" si="7"/>
        <v>0</v>
      </c>
    </row>
    <row r="124" spans="7:7" x14ac:dyDescent="0.2">
      <c r="G124" s="107">
        <f t="shared" si="7"/>
        <v>0</v>
      </c>
    </row>
    <row r="126" spans="7:7" x14ac:dyDescent="0.2">
      <c r="G126" s="107">
        <f>H127+I127</f>
        <v>0</v>
      </c>
    </row>
    <row r="127" spans="7:7" x14ac:dyDescent="0.2">
      <c r="G127" s="107">
        <f t="shared" ref="G127" si="8">H127+I127</f>
        <v>0</v>
      </c>
    </row>
    <row r="128" spans="7:7" x14ac:dyDescent="0.2">
      <c r="G128" s="107">
        <f>H128+I128</f>
        <v>0</v>
      </c>
    </row>
    <row r="129" spans="7:10" x14ac:dyDescent="0.2">
      <c r="G129" s="107">
        <f>H129+I129</f>
        <v>0</v>
      </c>
    </row>
    <row r="130" spans="7:10" x14ac:dyDescent="0.2">
      <c r="G130" s="107">
        <f>H130+I130</f>
        <v>0</v>
      </c>
    </row>
    <row r="131" spans="7:10" x14ac:dyDescent="0.2">
      <c r="G131" s="107">
        <f>H131+I131</f>
        <v>0</v>
      </c>
    </row>
    <row r="136" spans="7:10" ht="46.5" x14ac:dyDescent="0.65">
      <c r="J136" s="407"/>
    </row>
    <row r="139" spans="7:10" ht="46.5" x14ac:dyDescent="0.65">
      <c r="G139" s="407">
        <f>H139+I139</f>
        <v>0</v>
      </c>
      <c r="J139" s="407"/>
    </row>
    <row r="158" spans="11:11" ht="90" x14ac:dyDescent="1.1499999999999999">
      <c r="K158" s="404" t="b">
        <f>G158=H158+I158</f>
        <v>1</v>
      </c>
    </row>
  </sheetData>
  <mergeCells count="23">
    <mergeCell ref="G75:G76"/>
    <mergeCell ref="B6:B8"/>
    <mergeCell ref="C6:C8"/>
    <mergeCell ref="D6:D8"/>
    <mergeCell ref="E6:E8"/>
    <mergeCell ref="F6:I6"/>
    <mergeCell ref="F7:F8"/>
    <mergeCell ref="I7:I8"/>
    <mergeCell ref="O7:P7"/>
    <mergeCell ref="D18:P18"/>
    <mergeCell ref="D15:P15"/>
    <mergeCell ref="D17:P17"/>
    <mergeCell ref="M2:Q2"/>
    <mergeCell ref="E3:M4"/>
    <mergeCell ref="J6:M6"/>
    <mergeCell ref="N6:Q6"/>
    <mergeCell ref="Q7:Q8"/>
    <mergeCell ref="M7:M8"/>
    <mergeCell ref="N7:N8"/>
    <mergeCell ref="J7:J8"/>
    <mergeCell ref="D16:P16"/>
    <mergeCell ref="G7:H7"/>
    <mergeCell ref="K7:L7"/>
  </mergeCells>
  <printOptions horizontalCentered="1"/>
  <pageMargins left="0.19685039370078741" right="0" top="0.59055118110236227" bottom="0.39370078740157483" header="0.31496062992125984" footer="0.31496062992125984"/>
  <pageSetup paperSize="9" scale="55" fitToHeight="0" orientation="landscape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158"/>
  <sheetViews>
    <sheetView view="pageBreakPreview" topLeftCell="B1" zoomScale="85" zoomScaleNormal="40" zoomScaleSheetLayoutView="85" workbookViewId="0">
      <pane ySplit="5" topLeftCell="A95" activePane="bottomLeft" state="frozen"/>
      <selection activeCell="K153" sqref="K153"/>
      <selection pane="bottomLeft" activeCell="H127" sqref="H127"/>
    </sheetView>
  </sheetViews>
  <sheetFormatPr defaultColWidth="7.85546875" defaultRowHeight="12.75" x14ac:dyDescent="0.2"/>
  <cols>
    <col min="1" max="1" width="3.28515625" style="18" hidden="1" customWidth="1"/>
    <col min="2" max="2" width="14.28515625" style="164" customWidth="1"/>
    <col min="3" max="3" width="14" style="164" customWidth="1"/>
    <col min="4" max="4" width="16.85546875" style="164" customWidth="1"/>
    <col min="5" max="5" width="41.5703125" style="164" customWidth="1"/>
    <col min="6" max="6" width="38.5703125" style="164" customWidth="1"/>
    <col min="7" max="10" width="18.140625" style="164" customWidth="1"/>
    <col min="11" max="11" width="52.5703125" style="19" customWidth="1"/>
    <col min="12" max="12" width="16.5703125" style="19" customWidth="1"/>
    <col min="13" max="13" width="13.7109375" style="19" customWidth="1"/>
    <col min="14" max="14" width="12.7109375" style="19" customWidth="1"/>
    <col min="15" max="16384" width="7.85546875" style="19"/>
  </cols>
  <sheetData>
    <row r="1" spans="1:10" s="17" customFormat="1" ht="22.5" customHeight="1" x14ac:dyDescent="0.25">
      <c r="A1" s="16"/>
      <c r="B1" s="486"/>
      <c r="C1" s="486"/>
      <c r="D1" s="486"/>
      <c r="E1" s="486"/>
      <c r="F1" s="486"/>
      <c r="G1" s="486"/>
      <c r="H1" s="486"/>
      <c r="I1" s="486"/>
      <c r="J1" s="486"/>
    </row>
    <row r="2" spans="1:10" ht="41.25" customHeight="1" x14ac:dyDescent="0.2">
      <c r="G2" s="475" t="s">
        <v>635</v>
      </c>
      <c r="H2" s="475"/>
      <c r="I2" s="475"/>
      <c r="J2" s="475"/>
    </row>
    <row r="3" spans="1:10" ht="34.5" customHeight="1" x14ac:dyDescent="0.2">
      <c r="B3" s="487" t="s">
        <v>684</v>
      </c>
      <c r="C3" s="488"/>
      <c r="D3" s="488"/>
      <c r="E3" s="488"/>
      <c r="F3" s="488"/>
      <c r="G3" s="488"/>
      <c r="H3" s="488"/>
      <c r="I3" s="488"/>
      <c r="J3" s="488"/>
    </row>
    <row r="4" spans="1:10" ht="173.25" customHeight="1" x14ac:dyDescent="0.2">
      <c r="A4" s="20"/>
      <c r="B4" s="270" t="s">
        <v>29</v>
      </c>
      <c r="C4" s="270" t="s">
        <v>675</v>
      </c>
      <c r="D4" s="270" t="s">
        <v>682</v>
      </c>
      <c r="E4" s="270" t="s">
        <v>676</v>
      </c>
      <c r="F4" s="22" t="s">
        <v>697</v>
      </c>
      <c r="G4" s="22" t="s">
        <v>698</v>
      </c>
      <c r="H4" s="22" t="s">
        <v>699</v>
      </c>
      <c r="I4" s="22" t="s">
        <v>700</v>
      </c>
      <c r="J4" s="22" t="s">
        <v>701</v>
      </c>
    </row>
    <row r="5" spans="1:10" ht="20.25" customHeight="1" x14ac:dyDescent="0.2">
      <c r="A5" s="20"/>
      <c r="B5" s="270">
        <v>1</v>
      </c>
      <c r="C5" s="270">
        <v>2</v>
      </c>
      <c r="D5" s="270">
        <v>3</v>
      </c>
      <c r="E5" s="270">
        <v>4</v>
      </c>
      <c r="F5" s="270">
        <v>5</v>
      </c>
      <c r="G5" s="270">
        <v>6</v>
      </c>
      <c r="H5" s="270">
        <v>7</v>
      </c>
      <c r="I5" s="270">
        <v>8</v>
      </c>
      <c r="J5" s="270">
        <v>9</v>
      </c>
    </row>
    <row r="6" spans="1:10" ht="39.75" customHeight="1" x14ac:dyDescent="0.2">
      <c r="A6" s="20"/>
      <c r="B6" s="324" t="s">
        <v>235</v>
      </c>
      <c r="C6" s="324"/>
      <c r="D6" s="324"/>
      <c r="E6" s="325" t="s">
        <v>237</v>
      </c>
      <c r="F6" s="377"/>
      <c r="G6" s="377"/>
      <c r="H6" s="377"/>
      <c r="I6" s="378">
        <f>I7</f>
        <v>1710000</v>
      </c>
      <c r="J6" s="378"/>
    </row>
    <row r="7" spans="1:10" ht="47.25" customHeight="1" x14ac:dyDescent="0.2">
      <c r="A7" s="20"/>
      <c r="B7" s="329" t="s">
        <v>236</v>
      </c>
      <c r="C7" s="329"/>
      <c r="D7" s="329"/>
      <c r="E7" s="330" t="s">
        <v>238</v>
      </c>
      <c r="F7" s="377"/>
      <c r="G7" s="377"/>
      <c r="H7" s="377"/>
      <c r="I7" s="379">
        <f>SUM(I8:I9)</f>
        <v>1710000</v>
      </c>
      <c r="J7" s="379"/>
    </row>
    <row r="8" spans="1:10" ht="93.75" customHeight="1" x14ac:dyDescent="0.2">
      <c r="A8" s="20"/>
      <c r="B8" s="348" t="s">
        <v>340</v>
      </c>
      <c r="C8" s="348" t="s">
        <v>341</v>
      </c>
      <c r="D8" s="348" t="s">
        <v>342</v>
      </c>
      <c r="E8" s="348" t="s">
        <v>339</v>
      </c>
      <c r="F8" s="195" t="s">
        <v>90</v>
      </c>
      <c r="G8" s="371"/>
      <c r="H8" s="371"/>
      <c r="I8" s="349">
        <v>210000</v>
      </c>
      <c r="J8" s="349"/>
    </row>
    <row r="9" spans="1:10" ht="30" x14ac:dyDescent="0.2">
      <c r="A9" s="20"/>
      <c r="B9" s="348" t="s">
        <v>346</v>
      </c>
      <c r="C9" s="348" t="s">
        <v>347</v>
      </c>
      <c r="D9" s="348" t="s">
        <v>348</v>
      </c>
      <c r="E9" s="348" t="s">
        <v>345</v>
      </c>
      <c r="F9" s="195" t="s">
        <v>90</v>
      </c>
      <c r="G9" s="371"/>
      <c r="H9" s="371"/>
      <c r="I9" s="349">
        <v>1500000</v>
      </c>
      <c r="J9" s="349"/>
    </row>
    <row r="10" spans="1:10" ht="45" x14ac:dyDescent="0.2">
      <c r="A10" s="24"/>
      <c r="B10" s="324" t="s">
        <v>239</v>
      </c>
      <c r="C10" s="380"/>
      <c r="D10" s="380"/>
      <c r="E10" s="325" t="s">
        <v>0</v>
      </c>
      <c r="F10" s="381"/>
      <c r="G10" s="382"/>
      <c r="H10" s="382"/>
      <c r="I10" s="328">
        <f>I11</f>
        <v>13109000</v>
      </c>
      <c r="J10" s="328"/>
    </row>
    <row r="11" spans="1:10" ht="42.75" x14ac:dyDescent="0.2">
      <c r="A11" s="24"/>
      <c r="B11" s="329" t="s">
        <v>240</v>
      </c>
      <c r="C11" s="377"/>
      <c r="D11" s="383"/>
      <c r="E11" s="330" t="s">
        <v>1</v>
      </c>
      <c r="F11" s="326"/>
      <c r="G11" s="327"/>
      <c r="H11" s="327"/>
      <c r="I11" s="331">
        <f>SUM(I12:I20)</f>
        <v>13109000</v>
      </c>
      <c r="J11" s="331"/>
    </row>
    <row r="12" spans="1:10" ht="15" x14ac:dyDescent="0.2">
      <c r="B12" s="348" t="s">
        <v>297</v>
      </c>
      <c r="C12" s="348" t="s">
        <v>298</v>
      </c>
      <c r="D12" s="348" t="s">
        <v>300</v>
      </c>
      <c r="E12" s="348" t="s">
        <v>301</v>
      </c>
      <c r="F12" s="195" t="s">
        <v>90</v>
      </c>
      <c r="G12" s="195"/>
      <c r="H12" s="195"/>
      <c r="I12" s="349">
        <f>252000+2500000</f>
        <v>2752000</v>
      </c>
      <c r="J12" s="349"/>
    </row>
    <row r="13" spans="1:10" ht="89.25" customHeight="1" x14ac:dyDescent="0.2">
      <c r="B13" s="348" t="s">
        <v>303</v>
      </c>
      <c r="C13" s="348" t="s">
        <v>299</v>
      </c>
      <c r="D13" s="348" t="s">
        <v>304</v>
      </c>
      <c r="E13" s="348" t="s">
        <v>633</v>
      </c>
      <c r="F13" s="195" t="s">
        <v>90</v>
      </c>
      <c r="G13" s="195"/>
      <c r="H13" s="195"/>
      <c r="I13" s="349">
        <f>171000+2450000</f>
        <v>2621000</v>
      </c>
      <c r="J13" s="349"/>
    </row>
    <row r="14" spans="1:10" ht="89.25" customHeight="1" x14ac:dyDescent="0.2">
      <c r="B14" s="348" t="s">
        <v>303</v>
      </c>
      <c r="C14" s="348" t="s">
        <v>299</v>
      </c>
      <c r="D14" s="348" t="s">
        <v>304</v>
      </c>
      <c r="E14" s="348" t="s">
        <v>633</v>
      </c>
      <c r="F14" s="196" t="s">
        <v>744</v>
      </c>
      <c r="G14" s="195" t="s">
        <v>805</v>
      </c>
      <c r="H14" s="195">
        <v>305362</v>
      </c>
      <c r="I14" s="349">
        <v>100000</v>
      </c>
      <c r="J14" s="410">
        <f>I14/H14</f>
        <v>0.32748017107564137</v>
      </c>
    </row>
    <row r="15" spans="1:10" ht="89.25" customHeight="1" x14ac:dyDescent="0.2">
      <c r="B15" s="348" t="s">
        <v>303</v>
      </c>
      <c r="C15" s="348" t="s">
        <v>299</v>
      </c>
      <c r="D15" s="348" t="s">
        <v>304</v>
      </c>
      <c r="E15" s="348" t="s">
        <v>633</v>
      </c>
      <c r="F15" s="196" t="s">
        <v>745</v>
      </c>
      <c r="G15" s="195"/>
      <c r="H15" s="195"/>
      <c r="I15" s="349">
        <v>300000</v>
      </c>
      <c r="J15" s="349"/>
    </row>
    <row r="16" spans="1:10" ht="90" x14ac:dyDescent="0.2">
      <c r="B16" s="348" t="s">
        <v>307</v>
      </c>
      <c r="C16" s="348" t="s">
        <v>306</v>
      </c>
      <c r="D16" s="348" t="s">
        <v>308</v>
      </c>
      <c r="E16" s="348" t="s">
        <v>32</v>
      </c>
      <c r="F16" s="195" t="s">
        <v>90</v>
      </c>
      <c r="G16" s="195"/>
      <c r="H16" s="195"/>
      <c r="I16" s="349">
        <v>9000</v>
      </c>
      <c r="J16" s="349"/>
    </row>
    <row r="17" spans="1:10" ht="45" x14ac:dyDescent="0.2">
      <c r="B17" s="348" t="s">
        <v>309</v>
      </c>
      <c r="C17" s="348" t="s">
        <v>288</v>
      </c>
      <c r="D17" s="348" t="s">
        <v>276</v>
      </c>
      <c r="E17" s="348" t="s">
        <v>33</v>
      </c>
      <c r="F17" s="195" t="s">
        <v>90</v>
      </c>
      <c r="G17" s="195"/>
      <c r="H17" s="195"/>
      <c r="I17" s="349">
        <f>18000+2000000</f>
        <v>2018000</v>
      </c>
      <c r="J17" s="349"/>
    </row>
    <row r="18" spans="1:10" ht="45" x14ac:dyDescent="0.2">
      <c r="B18" s="348" t="s">
        <v>309</v>
      </c>
      <c r="C18" s="348" t="s">
        <v>288</v>
      </c>
      <c r="D18" s="348" t="s">
        <v>276</v>
      </c>
      <c r="E18" s="348" t="s">
        <v>33</v>
      </c>
      <c r="F18" s="196" t="s">
        <v>628</v>
      </c>
      <c r="G18" s="195"/>
      <c r="H18" s="195"/>
      <c r="I18" s="349">
        <v>300000</v>
      </c>
      <c r="J18" s="349"/>
    </row>
    <row r="19" spans="1:10" ht="30" x14ac:dyDescent="0.2">
      <c r="B19" s="348" t="s">
        <v>506</v>
      </c>
      <c r="C19" s="348" t="s">
        <v>507</v>
      </c>
      <c r="D19" s="348" t="s">
        <v>317</v>
      </c>
      <c r="E19" s="348" t="s">
        <v>505</v>
      </c>
      <c r="F19" s="195" t="s">
        <v>90</v>
      </c>
      <c r="G19" s="195"/>
      <c r="H19" s="195"/>
      <c r="I19" s="349">
        <v>9000</v>
      </c>
      <c r="J19" s="349"/>
    </row>
    <row r="20" spans="1:10" ht="19.5" customHeight="1" x14ac:dyDescent="0.2">
      <c r="B20" s="348" t="s">
        <v>319</v>
      </c>
      <c r="C20" s="348" t="s">
        <v>320</v>
      </c>
      <c r="D20" s="348" t="s">
        <v>321</v>
      </c>
      <c r="E20" s="348" t="s">
        <v>67</v>
      </c>
      <c r="F20" s="195" t="s">
        <v>90</v>
      </c>
      <c r="G20" s="195"/>
      <c r="H20" s="195"/>
      <c r="I20" s="349">
        <v>5000000</v>
      </c>
      <c r="J20" s="349"/>
    </row>
    <row r="21" spans="1:10" ht="45" x14ac:dyDescent="0.2">
      <c r="B21" s="353" t="s">
        <v>241</v>
      </c>
      <c r="C21" s="354"/>
      <c r="D21" s="354"/>
      <c r="E21" s="325" t="s">
        <v>36</v>
      </c>
      <c r="F21" s="326"/>
      <c r="G21" s="327"/>
      <c r="H21" s="327"/>
      <c r="I21" s="328">
        <f>I22</f>
        <v>5499500</v>
      </c>
      <c r="J21" s="328"/>
    </row>
    <row r="22" spans="1:10" ht="42.75" x14ac:dyDescent="0.2">
      <c r="B22" s="324" t="s">
        <v>242</v>
      </c>
      <c r="C22" s="324"/>
      <c r="D22" s="324"/>
      <c r="E22" s="330" t="s">
        <v>59</v>
      </c>
      <c r="F22" s="326"/>
      <c r="G22" s="327"/>
      <c r="H22" s="327"/>
      <c r="I22" s="331">
        <f>SUM(I23:I28)</f>
        <v>5499500</v>
      </c>
      <c r="J22" s="331"/>
    </row>
    <row r="23" spans="1:10" ht="30" x14ac:dyDescent="0.2">
      <c r="A23" s="19"/>
      <c r="B23" s="348" t="s">
        <v>322</v>
      </c>
      <c r="C23" s="348" t="s">
        <v>318</v>
      </c>
      <c r="D23" s="348" t="s">
        <v>323</v>
      </c>
      <c r="E23" s="348" t="s">
        <v>37</v>
      </c>
      <c r="F23" s="195" t="s">
        <v>90</v>
      </c>
      <c r="G23" s="195"/>
      <c r="H23" s="195"/>
      <c r="I23" s="349">
        <v>3342900</v>
      </c>
      <c r="J23" s="349"/>
    </row>
    <row r="24" spans="1:10" ht="75" x14ac:dyDescent="0.2">
      <c r="A24" s="19"/>
      <c r="B24" s="348" t="s">
        <v>322</v>
      </c>
      <c r="C24" s="348" t="s">
        <v>318</v>
      </c>
      <c r="D24" s="348" t="s">
        <v>323</v>
      </c>
      <c r="E24" s="348" t="s">
        <v>37</v>
      </c>
      <c r="F24" s="196" t="s">
        <v>739</v>
      </c>
      <c r="G24" s="195"/>
      <c r="H24" s="195"/>
      <c r="I24" s="349">
        <v>200000</v>
      </c>
      <c r="J24" s="349"/>
    </row>
    <row r="25" spans="1:10" ht="75" x14ac:dyDescent="0.2">
      <c r="A25" s="19"/>
      <c r="B25" s="348" t="s">
        <v>322</v>
      </c>
      <c r="C25" s="348" t="s">
        <v>318</v>
      </c>
      <c r="D25" s="348" t="s">
        <v>323</v>
      </c>
      <c r="E25" s="348" t="s">
        <v>37</v>
      </c>
      <c r="F25" s="196" t="s">
        <v>741</v>
      </c>
      <c r="G25" s="195"/>
      <c r="H25" s="195"/>
      <c r="I25" s="349">
        <v>600000</v>
      </c>
      <c r="J25" s="349"/>
    </row>
    <row r="26" spans="1:10" ht="60" x14ac:dyDescent="0.2">
      <c r="A26" s="19"/>
      <c r="B26" s="348" t="s">
        <v>322</v>
      </c>
      <c r="C26" s="348" t="s">
        <v>318</v>
      </c>
      <c r="D26" s="348" t="s">
        <v>323</v>
      </c>
      <c r="E26" s="348" t="s">
        <v>37</v>
      </c>
      <c r="F26" s="196" t="s">
        <v>740</v>
      </c>
      <c r="G26" s="195"/>
      <c r="H26" s="195"/>
      <c r="I26" s="349">
        <v>390000</v>
      </c>
      <c r="J26" s="349"/>
    </row>
    <row r="27" spans="1:10" ht="30" x14ac:dyDescent="0.2">
      <c r="A27" s="163"/>
      <c r="B27" s="348" t="s">
        <v>324</v>
      </c>
      <c r="C27" s="348" t="s">
        <v>325</v>
      </c>
      <c r="D27" s="348" t="s">
        <v>326</v>
      </c>
      <c r="E27" s="348" t="s">
        <v>327</v>
      </c>
      <c r="F27" s="195" t="s">
        <v>90</v>
      </c>
      <c r="G27" s="349"/>
      <c r="H27" s="349"/>
      <c r="I27" s="349">
        <v>126000</v>
      </c>
      <c r="J27" s="349"/>
    </row>
    <row r="28" spans="1:10" ht="52.5" customHeight="1" x14ac:dyDescent="0.2">
      <c r="A28" s="19"/>
      <c r="B28" s="348" t="s">
        <v>328</v>
      </c>
      <c r="C28" s="348" t="s">
        <v>329</v>
      </c>
      <c r="D28" s="348" t="s">
        <v>330</v>
      </c>
      <c r="E28" s="348" t="s">
        <v>554</v>
      </c>
      <c r="F28" s="195" t="s">
        <v>90</v>
      </c>
      <c r="G28" s="195"/>
      <c r="H28" s="195"/>
      <c r="I28" s="349">
        <f>939600-99000</f>
        <v>840600</v>
      </c>
      <c r="J28" s="349"/>
    </row>
    <row r="29" spans="1:10" ht="45" x14ac:dyDescent="0.2">
      <c r="A29" s="19"/>
      <c r="B29" s="324" t="s">
        <v>243</v>
      </c>
      <c r="C29" s="324"/>
      <c r="D29" s="324"/>
      <c r="E29" s="325" t="s">
        <v>60</v>
      </c>
      <c r="F29" s="326"/>
      <c r="G29" s="327"/>
      <c r="H29" s="327"/>
      <c r="I29" s="328">
        <f>I30</f>
        <v>7475000</v>
      </c>
      <c r="J29" s="328"/>
    </row>
    <row r="30" spans="1:10" ht="57" x14ac:dyDescent="0.2">
      <c r="A30" s="19"/>
      <c r="B30" s="329" t="s">
        <v>244</v>
      </c>
      <c r="C30" s="329"/>
      <c r="D30" s="329"/>
      <c r="E30" s="330" t="s">
        <v>61</v>
      </c>
      <c r="F30" s="326"/>
      <c r="G30" s="327"/>
      <c r="H30" s="327"/>
      <c r="I30" s="331">
        <f>SUM(I31:I38)</f>
        <v>7475000</v>
      </c>
      <c r="J30" s="331"/>
    </row>
    <row r="31" spans="1:10" ht="45" x14ac:dyDescent="0.2">
      <c r="A31" s="19"/>
      <c r="B31" s="348" t="s">
        <v>752</v>
      </c>
      <c r="C31" s="348" t="s">
        <v>344</v>
      </c>
      <c r="D31" s="348" t="s">
        <v>342</v>
      </c>
      <c r="E31" s="348" t="s">
        <v>343</v>
      </c>
      <c r="F31" s="195" t="s">
        <v>90</v>
      </c>
      <c r="G31" s="195"/>
      <c r="H31" s="195"/>
      <c r="I31" s="197">
        <v>450000</v>
      </c>
      <c r="J31" s="197"/>
    </row>
    <row r="32" spans="1:10" ht="30" x14ac:dyDescent="0.2">
      <c r="A32" s="19"/>
      <c r="B32" s="281" t="s">
        <v>409</v>
      </c>
      <c r="C32" s="281" t="s">
        <v>410</v>
      </c>
      <c r="D32" s="281" t="s">
        <v>305</v>
      </c>
      <c r="E32" s="323" t="s">
        <v>411</v>
      </c>
      <c r="F32" s="195" t="s">
        <v>90</v>
      </c>
      <c r="G32" s="283"/>
      <c r="H32" s="283"/>
      <c r="I32" s="284">
        <v>100000</v>
      </c>
      <c r="J32" s="284"/>
    </row>
    <row r="33" spans="1:10" ht="75" customHeight="1" x14ac:dyDescent="0.2">
      <c r="A33" s="19"/>
      <c r="B33" s="282" t="s">
        <v>407</v>
      </c>
      <c r="C33" s="282" t="s">
        <v>405</v>
      </c>
      <c r="D33" s="282" t="s">
        <v>299</v>
      </c>
      <c r="E33" s="282" t="s">
        <v>35</v>
      </c>
      <c r="F33" s="195" t="s">
        <v>90</v>
      </c>
      <c r="G33" s="195"/>
      <c r="H33" s="195"/>
      <c r="I33" s="197">
        <v>175000</v>
      </c>
      <c r="J33" s="197"/>
    </row>
    <row r="34" spans="1:10" ht="45" x14ac:dyDescent="0.2">
      <c r="A34" s="19"/>
      <c r="B34" s="282" t="s">
        <v>526</v>
      </c>
      <c r="C34" s="282" t="s">
        <v>528</v>
      </c>
      <c r="D34" s="282" t="s">
        <v>288</v>
      </c>
      <c r="E34" s="216" t="s">
        <v>530</v>
      </c>
      <c r="F34" s="195" t="s">
        <v>90</v>
      </c>
      <c r="G34" s="284"/>
      <c r="H34" s="198"/>
      <c r="I34" s="197">
        <f>300000+900000+650000</f>
        <v>1850000</v>
      </c>
      <c r="J34" s="197"/>
    </row>
    <row r="35" spans="1:10" ht="90" x14ac:dyDescent="0.2">
      <c r="A35" s="19"/>
      <c r="B35" s="282" t="s">
        <v>526</v>
      </c>
      <c r="C35" s="282" t="s">
        <v>528</v>
      </c>
      <c r="D35" s="282" t="s">
        <v>288</v>
      </c>
      <c r="E35" s="216" t="s">
        <v>530</v>
      </c>
      <c r="F35" s="196" t="s">
        <v>727</v>
      </c>
      <c r="G35" s="284"/>
      <c r="H35" s="198"/>
      <c r="I35" s="197">
        <v>180000</v>
      </c>
      <c r="J35" s="197"/>
    </row>
    <row r="36" spans="1:10" ht="30" x14ac:dyDescent="0.2">
      <c r="A36" s="19"/>
      <c r="B36" s="282" t="s">
        <v>527</v>
      </c>
      <c r="C36" s="282" t="s">
        <v>529</v>
      </c>
      <c r="D36" s="282" t="s">
        <v>288</v>
      </c>
      <c r="E36" s="216" t="s">
        <v>531</v>
      </c>
      <c r="F36" s="196" t="s">
        <v>576</v>
      </c>
      <c r="G36" s="284"/>
      <c r="H36" s="284"/>
      <c r="I36" s="197">
        <v>220000</v>
      </c>
      <c r="J36" s="197"/>
    </row>
    <row r="37" spans="1:10" ht="30" x14ac:dyDescent="0.2">
      <c r="A37" s="19"/>
      <c r="B37" s="282" t="s">
        <v>612</v>
      </c>
      <c r="C37" s="282" t="s">
        <v>610</v>
      </c>
      <c r="D37" s="282" t="s">
        <v>545</v>
      </c>
      <c r="E37" s="216" t="s">
        <v>611</v>
      </c>
      <c r="F37" s="195" t="s">
        <v>90</v>
      </c>
      <c r="G37" s="284"/>
      <c r="H37" s="198"/>
      <c r="I37" s="197">
        <v>3500000</v>
      </c>
      <c r="J37" s="197"/>
    </row>
    <row r="38" spans="1:10" ht="105" x14ac:dyDescent="0.2">
      <c r="A38" s="19"/>
      <c r="B38" s="282" t="s">
        <v>728</v>
      </c>
      <c r="C38" s="282" t="s">
        <v>729</v>
      </c>
      <c r="D38" s="282" t="s">
        <v>453</v>
      </c>
      <c r="E38" s="216" t="s">
        <v>730</v>
      </c>
      <c r="F38" s="196" t="s">
        <v>731</v>
      </c>
      <c r="G38" s="284"/>
      <c r="H38" s="198"/>
      <c r="I38" s="197">
        <v>1000000</v>
      </c>
      <c r="J38" s="197"/>
    </row>
    <row r="39" spans="1:10" ht="45" x14ac:dyDescent="0.2">
      <c r="A39" s="19"/>
      <c r="B39" s="384">
        <v>1000000</v>
      </c>
      <c r="C39" s="384"/>
      <c r="D39" s="384"/>
      <c r="E39" s="324" t="s">
        <v>43</v>
      </c>
      <c r="F39" s="326"/>
      <c r="G39" s="327"/>
      <c r="H39" s="327"/>
      <c r="I39" s="328">
        <f>I40</f>
        <v>3886442</v>
      </c>
      <c r="J39" s="328"/>
    </row>
    <row r="40" spans="1:10" ht="42.75" x14ac:dyDescent="0.2">
      <c r="A40" s="19"/>
      <c r="B40" s="385">
        <v>1010000</v>
      </c>
      <c r="C40" s="385"/>
      <c r="D40" s="385"/>
      <c r="E40" s="329" t="s">
        <v>62</v>
      </c>
      <c r="F40" s="326"/>
      <c r="G40" s="327"/>
      <c r="H40" s="327"/>
      <c r="I40" s="331">
        <f>SUM(I41:I45)</f>
        <v>3886442</v>
      </c>
      <c r="J40" s="331"/>
    </row>
    <row r="41" spans="1:10" ht="60" x14ac:dyDescent="0.2">
      <c r="A41" s="19"/>
      <c r="B41" s="282" t="s">
        <v>34</v>
      </c>
      <c r="C41" s="282" t="s">
        <v>275</v>
      </c>
      <c r="D41" s="282" t="s">
        <v>276</v>
      </c>
      <c r="E41" s="282" t="s">
        <v>274</v>
      </c>
      <c r="F41" s="195" t="s">
        <v>90</v>
      </c>
      <c r="G41" s="195"/>
      <c r="H41" s="195"/>
      <c r="I41" s="197">
        <v>386442</v>
      </c>
      <c r="J41" s="197"/>
    </row>
    <row r="42" spans="1:10" ht="30" customHeight="1" x14ac:dyDescent="0.2">
      <c r="A42" s="19"/>
      <c r="B42" s="282" t="s">
        <v>268</v>
      </c>
      <c r="C42" s="282" t="s">
        <v>269</v>
      </c>
      <c r="D42" s="282" t="s">
        <v>266</v>
      </c>
      <c r="E42" s="282" t="s">
        <v>270</v>
      </c>
      <c r="F42" s="195" t="s">
        <v>90</v>
      </c>
      <c r="G42" s="195"/>
      <c r="H42" s="195"/>
      <c r="I42" s="197">
        <v>70000</v>
      </c>
      <c r="J42" s="197"/>
    </row>
    <row r="43" spans="1:10" ht="75" hidden="1" customHeight="1" x14ac:dyDescent="0.2">
      <c r="A43" s="19"/>
      <c r="B43" s="282" t="s">
        <v>268</v>
      </c>
      <c r="C43" s="282" t="s">
        <v>269</v>
      </c>
      <c r="D43" s="282" t="s">
        <v>266</v>
      </c>
      <c r="E43" s="282" t="s">
        <v>270</v>
      </c>
      <c r="F43" s="196" t="s">
        <v>608</v>
      </c>
      <c r="G43" s="195"/>
      <c r="H43" s="195"/>
      <c r="I43" s="197"/>
      <c r="J43" s="197"/>
    </row>
    <row r="44" spans="1:10" ht="60" x14ac:dyDescent="0.2">
      <c r="A44" s="19"/>
      <c r="B44" s="282" t="s">
        <v>268</v>
      </c>
      <c r="C44" s="282" t="s">
        <v>269</v>
      </c>
      <c r="D44" s="282" t="s">
        <v>266</v>
      </c>
      <c r="E44" s="282" t="s">
        <v>270</v>
      </c>
      <c r="F44" s="196" t="s">
        <v>31</v>
      </c>
      <c r="G44" s="197" t="s">
        <v>723</v>
      </c>
      <c r="H44" s="197">
        <v>26997397.190000001</v>
      </c>
      <c r="I44" s="197">
        <v>2930000</v>
      </c>
      <c r="J44" s="411">
        <f>1-18158597.19/H44</f>
        <v>0.32739452391632573</v>
      </c>
    </row>
    <row r="45" spans="1:10" ht="45" x14ac:dyDescent="0.2">
      <c r="A45" s="19"/>
      <c r="B45" s="282" t="s">
        <v>271</v>
      </c>
      <c r="C45" s="282" t="s">
        <v>260</v>
      </c>
      <c r="D45" s="282" t="s">
        <v>272</v>
      </c>
      <c r="E45" s="282" t="s">
        <v>273</v>
      </c>
      <c r="F45" s="195" t="s">
        <v>90</v>
      </c>
      <c r="G45" s="197"/>
      <c r="H45" s="198"/>
      <c r="I45" s="197">
        <v>500000</v>
      </c>
      <c r="J45" s="197"/>
    </row>
    <row r="46" spans="1:10" ht="45" x14ac:dyDescent="0.2">
      <c r="A46" s="19"/>
      <c r="B46" s="324" t="s">
        <v>40</v>
      </c>
      <c r="C46" s="324"/>
      <c r="D46" s="324"/>
      <c r="E46" s="324" t="s">
        <v>41</v>
      </c>
      <c r="F46" s="327"/>
      <c r="G46" s="327"/>
      <c r="H46" s="327"/>
      <c r="I46" s="337">
        <f>I47</f>
        <v>1408533</v>
      </c>
      <c r="J46" s="337"/>
    </row>
    <row r="47" spans="1:10" ht="42.75" x14ac:dyDescent="0.2">
      <c r="A47" s="19"/>
      <c r="B47" s="329" t="s">
        <v>39</v>
      </c>
      <c r="C47" s="329"/>
      <c r="D47" s="329"/>
      <c r="E47" s="329" t="s">
        <v>58</v>
      </c>
      <c r="F47" s="327"/>
      <c r="G47" s="327"/>
      <c r="H47" s="327"/>
      <c r="I47" s="338">
        <f>SUM(I48:I49)</f>
        <v>1408533</v>
      </c>
      <c r="J47" s="338"/>
    </row>
    <row r="48" spans="1:10" s="165" customFormat="1" ht="30" x14ac:dyDescent="0.2">
      <c r="B48" s="282" t="s">
        <v>285</v>
      </c>
      <c r="C48" s="282" t="s">
        <v>286</v>
      </c>
      <c r="D48" s="282" t="s">
        <v>280</v>
      </c>
      <c r="E48" s="282" t="s">
        <v>23</v>
      </c>
      <c r="F48" s="195" t="s">
        <v>90</v>
      </c>
      <c r="G48" s="204"/>
      <c r="H48" s="204"/>
      <c r="I48" s="284">
        <v>592430</v>
      </c>
      <c r="J48" s="284"/>
    </row>
    <row r="49" spans="1:10" s="165" customFormat="1" ht="15" x14ac:dyDescent="0.2">
      <c r="B49" s="282" t="s">
        <v>577</v>
      </c>
      <c r="C49" s="282" t="s">
        <v>578</v>
      </c>
      <c r="D49" s="282" t="s">
        <v>280</v>
      </c>
      <c r="E49" s="282" t="s">
        <v>579</v>
      </c>
      <c r="F49" s="195" t="s">
        <v>90</v>
      </c>
      <c r="G49" s="204"/>
      <c r="H49" s="204"/>
      <c r="I49" s="284">
        <v>816103</v>
      </c>
      <c r="J49" s="284"/>
    </row>
    <row r="50" spans="1:10" ht="45" x14ac:dyDescent="0.2">
      <c r="A50" s="19"/>
      <c r="B50" s="324" t="s">
        <v>245</v>
      </c>
      <c r="C50" s="324"/>
      <c r="D50" s="324"/>
      <c r="E50" s="324" t="s">
        <v>42</v>
      </c>
      <c r="F50" s="326"/>
      <c r="G50" s="327"/>
      <c r="H50" s="327"/>
      <c r="I50" s="328">
        <f>I51</f>
        <v>154161314</v>
      </c>
      <c r="J50" s="328"/>
    </row>
    <row r="51" spans="1:10" ht="45" customHeight="1" x14ac:dyDescent="0.2">
      <c r="A51" s="19"/>
      <c r="B51" s="329" t="s">
        <v>246</v>
      </c>
      <c r="C51" s="329"/>
      <c r="D51" s="329"/>
      <c r="E51" s="329" t="s">
        <v>63</v>
      </c>
      <c r="F51" s="326"/>
      <c r="G51" s="327"/>
      <c r="H51" s="327"/>
      <c r="I51" s="331">
        <f>SUM(I52:I55)+I56+I63+I64+I65</f>
        <v>154161314</v>
      </c>
      <c r="J51" s="331"/>
    </row>
    <row r="52" spans="1:10" ht="37.5" customHeight="1" x14ac:dyDescent="0.2">
      <c r="A52" s="19"/>
      <c r="B52" s="285" t="s">
        <v>420</v>
      </c>
      <c r="C52" s="285" t="s">
        <v>421</v>
      </c>
      <c r="D52" s="285" t="s">
        <v>423</v>
      </c>
      <c r="E52" s="285" t="s">
        <v>422</v>
      </c>
      <c r="F52" s="195" t="s">
        <v>90</v>
      </c>
      <c r="G52" s="195"/>
      <c r="H52" s="195"/>
      <c r="I52" s="205">
        <v>4550000</v>
      </c>
      <c r="J52" s="205"/>
    </row>
    <row r="53" spans="1:10" ht="53.25" customHeight="1" x14ac:dyDescent="0.2">
      <c r="A53" s="19"/>
      <c r="B53" s="285" t="s">
        <v>450</v>
      </c>
      <c r="C53" s="285" t="s">
        <v>451</v>
      </c>
      <c r="D53" s="285" t="s">
        <v>423</v>
      </c>
      <c r="E53" s="285" t="s">
        <v>452</v>
      </c>
      <c r="F53" s="195" t="s">
        <v>90</v>
      </c>
      <c r="G53" s="195"/>
      <c r="H53" s="195"/>
      <c r="I53" s="205">
        <v>5000000</v>
      </c>
      <c r="J53" s="205"/>
    </row>
    <row r="54" spans="1:10" ht="37.5" customHeight="1" x14ac:dyDescent="0.2">
      <c r="A54" s="19"/>
      <c r="B54" s="285" t="s">
        <v>424</v>
      </c>
      <c r="C54" s="285" t="s">
        <v>425</v>
      </c>
      <c r="D54" s="285" t="s">
        <v>423</v>
      </c>
      <c r="E54" s="285" t="s">
        <v>426</v>
      </c>
      <c r="F54" s="195" t="s">
        <v>90</v>
      </c>
      <c r="G54" s="195"/>
      <c r="H54" s="195"/>
      <c r="I54" s="205">
        <v>23000000</v>
      </c>
      <c r="J54" s="205"/>
    </row>
    <row r="55" spans="1:10" ht="37.5" customHeight="1" x14ac:dyDescent="0.2">
      <c r="A55" s="19"/>
      <c r="B55" s="285" t="s">
        <v>430</v>
      </c>
      <c r="C55" s="285" t="s">
        <v>431</v>
      </c>
      <c r="D55" s="285" t="s">
        <v>423</v>
      </c>
      <c r="E55" s="285" t="s">
        <v>432</v>
      </c>
      <c r="F55" s="195" t="s">
        <v>90</v>
      </c>
      <c r="G55" s="195"/>
      <c r="H55" s="195"/>
      <c r="I55" s="205">
        <v>19160721</v>
      </c>
      <c r="J55" s="205"/>
    </row>
    <row r="56" spans="1:10" ht="38.25" customHeight="1" x14ac:dyDescent="0.2">
      <c r="A56" s="19"/>
      <c r="B56" s="285" t="s">
        <v>454</v>
      </c>
      <c r="C56" s="285" t="s">
        <v>455</v>
      </c>
      <c r="D56" s="285" t="s">
        <v>453</v>
      </c>
      <c r="E56" s="285" t="s">
        <v>490</v>
      </c>
      <c r="F56" s="195" t="s">
        <v>80</v>
      </c>
      <c r="G56" s="195"/>
      <c r="H56" s="195"/>
      <c r="I56" s="286">
        <f>I57+I58+I59+I60+I61+I62</f>
        <v>9700000</v>
      </c>
      <c r="J56" s="286"/>
    </row>
    <row r="57" spans="1:10" ht="126.75" customHeight="1" x14ac:dyDescent="0.2">
      <c r="A57" s="19"/>
      <c r="B57" s="228" t="s">
        <v>454</v>
      </c>
      <c r="C57" s="228" t="s">
        <v>455</v>
      </c>
      <c r="D57" s="228" t="s">
        <v>453</v>
      </c>
      <c r="E57" s="228" t="s">
        <v>490</v>
      </c>
      <c r="F57" s="214" t="s">
        <v>91</v>
      </c>
      <c r="G57" s="201"/>
      <c r="H57" s="201"/>
      <c r="I57" s="212">
        <v>100000</v>
      </c>
      <c r="J57" s="212"/>
    </row>
    <row r="58" spans="1:10" ht="55.5" customHeight="1" x14ac:dyDescent="0.2">
      <c r="A58" s="19"/>
      <c r="B58" s="228" t="s">
        <v>454</v>
      </c>
      <c r="C58" s="228" t="s">
        <v>455</v>
      </c>
      <c r="D58" s="228" t="s">
        <v>453</v>
      </c>
      <c r="E58" s="228" t="s">
        <v>490</v>
      </c>
      <c r="F58" s="214" t="s">
        <v>233</v>
      </c>
      <c r="G58" s="201"/>
      <c r="H58" s="201"/>
      <c r="I58" s="212">
        <v>2000000</v>
      </c>
      <c r="J58" s="212"/>
    </row>
    <row r="59" spans="1:10" ht="33.75" customHeight="1" x14ac:dyDescent="0.2">
      <c r="A59" s="19"/>
      <c r="B59" s="228" t="s">
        <v>454</v>
      </c>
      <c r="C59" s="228" t="s">
        <v>455</v>
      </c>
      <c r="D59" s="228" t="s">
        <v>453</v>
      </c>
      <c r="E59" s="228" t="s">
        <v>490</v>
      </c>
      <c r="F59" s="214" t="s">
        <v>491</v>
      </c>
      <c r="G59" s="201"/>
      <c r="H59" s="201"/>
      <c r="I59" s="212">
        <v>2000000</v>
      </c>
      <c r="J59" s="212"/>
    </row>
    <row r="60" spans="1:10" ht="58.5" customHeight="1" x14ac:dyDescent="0.2">
      <c r="A60" s="19"/>
      <c r="B60" s="228" t="s">
        <v>454</v>
      </c>
      <c r="C60" s="228" t="s">
        <v>455</v>
      </c>
      <c r="D60" s="228" t="s">
        <v>453</v>
      </c>
      <c r="E60" s="228" t="s">
        <v>490</v>
      </c>
      <c r="F60" s="214" t="s">
        <v>492</v>
      </c>
      <c r="G60" s="201"/>
      <c r="H60" s="201">
        <v>3589039</v>
      </c>
      <c r="I60" s="212">
        <v>1500000</v>
      </c>
      <c r="J60" s="212"/>
    </row>
    <row r="61" spans="1:10" ht="66" customHeight="1" x14ac:dyDescent="0.2">
      <c r="A61" s="19"/>
      <c r="B61" s="228" t="s">
        <v>454</v>
      </c>
      <c r="C61" s="228" t="s">
        <v>455</v>
      </c>
      <c r="D61" s="228" t="s">
        <v>453</v>
      </c>
      <c r="E61" s="228" t="s">
        <v>490</v>
      </c>
      <c r="F61" s="214" t="s">
        <v>493</v>
      </c>
      <c r="G61" s="201"/>
      <c r="H61" s="201"/>
      <c r="I61" s="212">
        <v>100000</v>
      </c>
      <c r="J61" s="212"/>
    </row>
    <row r="62" spans="1:10" ht="59.25" customHeight="1" x14ac:dyDescent="0.2">
      <c r="A62" s="19"/>
      <c r="B62" s="228" t="s">
        <v>454</v>
      </c>
      <c r="C62" s="228" t="s">
        <v>455</v>
      </c>
      <c r="D62" s="228" t="s">
        <v>453</v>
      </c>
      <c r="E62" s="228" t="s">
        <v>490</v>
      </c>
      <c r="F62" s="214" t="s">
        <v>2</v>
      </c>
      <c r="G62" s="201"/>
      <c r="H62" s="201">
        <v>181970000</v>
      </c>
      <c r="I62" s="212">
        <v>4000000</v>
      </c>
      <c r="J62" s="212"/>
    </row>
    <row r="63" spans="1:10" ht="45" x14ac:dyDescent="0.2">
      <c r="A63" s="19"/>
      <c r="B63" s="285" t="s">
        <v>437</v>
      </c>
      <c r="C63" s="285" t="s">
        <v>438</v>
      </c>
      <c r="D63" s="285" t="s">
        <v>440</v>
      </c>
      <c r="E63" s="285" t="s">
        <v>439</v>
      </c>
      <c r="F63" s="195" t="s">
        <v>90</v>
      </c>
      <c r="G63" s="195"/>
      <c r="H63" s="195"/>
      <c r="I63" s="205">
        <v>82763108</v>
      </c>
      <c r="J63" s="205"/>
    </row>
    <row r="64" spans="1:10" ht="15" x14ac:dyDescent="0.2">
      <c r="A64" s="19"/>
      <c r="B64" s="285" t="s">
        <v>441</v>
      </c>
      <c r="C64" s="285" t="s">
        <v>320</v>
      </c>
      <c r="D64" s="285" t="s">
        <v>321</v>
      </c>
      <c r="E64" s="285" t="s">
        <v>67</v>
      </c>
      <c r="F64" s="195" t="s">
        <v>90</v>
      </c>
      <c r="G64" s="195"/>
      <c r="H64" s="195"/>
      <c r="I64" s="205">
        <f>1000000+250000</f>
        <v>1250000</v>
      </c>
      <c r="J64" s="205"/>
    </row>
    <row r="65" spans="1:11" ht="30" x14ac:dyDescent="0.2">
      <c r="A65" s="19"/>
      <c r="B65" s="285" t="s">
        <v>458</v>
      </c>
      <c r="C65" s="285" t="s">
        <v>294</v>
      </c>
      <c r="D65" s="285" t="s">
        <v>257</v>
      </c>
      <c r="E65" s="285" t="s">
        <v>57</v>
      </c>
      <c r="F65" s="195" t="s">
        <v>80</v>
      </c>
      <c r="G65" s="195"/>
      <c r="H65" s="195"/>
      <c r="I65" s="205">
        <f>I66+I67+I68+I69+I71+I72+I73+I74+I70</f>
        <v>8737485</v>
      </c>
      <c r="J65" s="205"/>
    </row>
    <row r="66" spans="1:11" ht="90" x14ac:dyDescent="0.2">
      <c r="A66" s="19"/>
      <c r="B66" s="228" t="s">
        <v>458</v>
      </c>
      <c r="C66" s="228" t="s">
        <v>294</v>
      </c>
      <c r="D66" s="228" t="s">
        <v>257</v>
      </c>
      <c r="E66" s="228" t="s">
        <v>57</v>
      </c>
      <c r="F66" s="215" t="s">
        <v>735</v>
      </c>
      <c r="G66" s="201"/>
      <c r="H66" s="201"/>
      <c r="I66" s="212">
        <v>1452515</v>
      </c>
      <c r="J66" s="205"/>
    </row>
    <row r="67" spans="1:11" ht="45" x14ac:dyDescent="0.2">
      <c r="A67" s="19"/>
      <c r="B67" s="228" t="s">
        <v>458</v>
      </c>
      <c r="C67" s="228" t="s">
        <v>294</v>
      </c>
      <c r="D67" s="228" t="s">
        <v>257</v>
      </c>
      <c r="E67" s="228" t="s">
        <v>57</v>
      </c>
      <c r="F67" s="215" t="s">
        <v>788</v>
      </c>
      <c r="G67" s="201"/>
      <c r="H67" s="201"/>
      <c r="I67" s="212">
        <v>131700</v>
      </c>
      <c r="J67" s="205"/>
    </row>
    <row r="68" spans="1:11" ht="45" x14ac:dyDescent="0.2">
      <c r="A68" s="19"/>
      <c r="B68" s="228" t="s">
        <v>458</v>
      </c>
      <c r="C68" s="228" t="s">
        <v>294</v>
      </c>
      <c r="D68" s="228" t="s">
        <v>257</v>
      </c>
      <c r="E68" s="228" t="s">
        <v>57</v>
      </c>
      <c r="F68" s="215" t="s">
        <v>627</v>
      </c>
      <c r="G68" s="201"/>
      <c r="H68" s="201"/>
      <c r="I68" s="212">
        <v>2000000</v>
      </c>
      <c r="J68" s="205"/>
    </row>
    <row r="69" spans="1:11" ht="60" x14ac:dyDescent="0.2">
      <c r="A69" s="19"/>
      <c r="B69" s="228" t="s">
        <v>458</v>
      </c>
      <c r="C69" s="228" t="s">
        <v>294</v>
      </c>
      <c r="D69" s="228" t="s">
        <v>257</v>
      </c>
      <c r="E69" s="228" t="s">
        <v>57</v>
      </c>
      <c r="F69" s="215" t="s">
        <v>736</v>
      </c>
      <c r="G69" s="201"/>
      <c r="H69" s="201"/>
      <c r="I69" s="212">
        <v>65700</v>
      </c>
      <c r="J69" s="205"/>
    </row>
    <row r="70" spans="1:11" ht="45" x14ac:dyDescent="0.2">
      <c r="A70" s="19"/>
      <c r="B70" s="228" t="s">
        <v>458</v>
      </c>
      <c r="C70" s="228" t="s">
        <v>294</v>
      </c>
      <c r="D70" s="228" t="s">
        <v>257</v>
      </c>
      <c r="E70" s="228" t="s">
        <v>57</v>
      </c>
      <c r="F70" s="215" t="s">
        <v>787</v>
      </c>
      <c r="G70" s="201"/>
      <c r="H70" s="201"/>
      <c r="I70" s="212">
        <v>557370</v>
      </c>
      <c r="J70" s="205"/>
    </row>
    <row r="71" spans="1:11" ht="90" x14ac:dyDescent="0.2">
      <c r="A71" s="19"/>
      <c r="B71" s="228" t="s">
        <v>458</v>
      </c>
      <c r="C71" s="228" t="s">
        <v>294</v>
      </c>
      <c r="D71" s="228" t="s">
        <v>257</v>
      </c>
      <c r="E71" s="228" t="s">
        <v>57</v>
      </c>
      <c r="F71" s="215" t="s">
        <v>801</v>
      </c>
      <c r="G71" s="201"/>
      <c r="H71" s="201"/>
      <c r="I71" s="212">
        <v>3565000</v>
      </c>
      <c r="J71" s="205"/>
    </row>
    <row r="72" spans="1:11" ht="120" x14ac:dyDescent="0.2">
      <c r="A72" s="19"/>
      <c r="B72" s="228" t="s">
        <v>458</v>
      </c>
      <c r="C72" s="228" t="s">
        <v>294</v>
      </c>
      <c r="D72" s="228" t="s">
        <v>257</v>
      </c>
      <c r="E72" s="228" t="s">
        <v>57</v>
      </c>
      <c r="F72" s="215" t="s">
        <v>737</v>
      </c>
      <c r="G72" s="201"/>
      <c r="H72" s="201"/>
      <c r="I72" s="212">
        <v>300000</v>
      </c>
      <c r="J72" s="205"/>
    </row>
    <row r="73" spans="1:11" ht="105" x14ac:dyDescent="0.2">
      <c r="A73" s="19"/>
      <c r="B73" s="228" t="s">
        <v>458</v>
      </c>
      <c r="C73" s="228" t="s">
        <v>294</v>
      </c>
      <c r="D73" s="228" t="s">
        <v>257</v>
      </c>
      <c r="E73" s="228" t="s">
        <v>57</v>
      </c>
      <c r="F73" s="215" t="s">
        <v>802</v>
      </c>
      <c r="G73" s="201"/>
      <c r="H73" s="201"/>
      <c r="I73" s="212">
        <v>400000</v>
      </c>
      <c r="J73" s="205"/>
    </row>
    <row r="74" spans="1:11" ht="105" x14ac:dyDescent="0.2">
      <c r="A74" s="19"/>
      <c r="B74" s="228" t="s">
        <v>458</v>
      </c>
      <c r="C74" s="228" t="s">
        <v>294</v>
      </c>
      <c r="D74" s="228" t="s">
        <v>257</v>
      </c>
      <c r="E74" s="228" t="s">
        <v>57</v>
      </c>
      <c r="F74" s="215" t="s">
        <v>803</v>
      </c>
      <c r="G74" s="201"/>
      <c r="H74" s="201"/>
      <c r="I74" s="212">
        <v>265200</v>
      </c>
      <c r="J74" s="205"/>
    </row>
    <row r="75" spans="1:11" ht="15" hidden="1" customHeight="1" x14ac:dyDescent="0.2">
      <c r="A75" s="19"/>
      <c r="B75" s="200"/>
      <c r="C75" s="200"/>
      <c r="D75" s="200"/>
      <c r="E75" s="213"/>
      <c r="F75" s="215"/>
      <c r="G75" s="489"/>
      <c r="H75" s="201"/>
      <c r="I75" s="212"/>
      <c r="J75" s="212"/>
    </row>
    <row r="76" spans="1:11" ht="75" x14ac:dyDescent="0.2">
      <c r="A76" s="19"/>
      <c r="B76" s="324" t="s">
        <v>44</v>
      </c>
      <c r="C76" s="324"/>
      <c r="D76" s="324"/>
      <c r="E76" s="324" t="s">
        <v>643</v>
      </c>
      <c r="F76" s="326"/>
      <c r="G76" s="490"/>
      <c r="H76" s="327"/>
      <c r="I76" s="328">
        <f>I77</f>
        <v>53000000</v>
      </c>
      <c r="J76" s="328"/>
    </row>
    <row r="77" spans="1:11" ht="85.5" customHeight="1" x14ac:dyDescent="0.2">
      <c r="A77" s="19"/>
      <c r="B77" s="329" t="s">
        <v>45</v>
      </c>
      <c r="C77" s="329"/>
      <c r="D77" s="329"/>
      <c r="E77" s="329" t="s">
        <v>642</v>
      </c>
      <c r="F77" s="326"/>
      <c r="G77" s="327"/>
      <c r="H77" s="327"/>
      <c r="I77" s="331">
        <f>SUM(I78:I93)</f>
        <v>53000000</v>
      </c>
      <c r="J77" s="331"/>
    </row>
    <row r="78" spans="1:11" ht="45" x14ac:dyDescent="0.2">
      <c r="A78" s="19"/>
      <c r="B78" s="217" t="s">
        <v>472</v>
      </c>
      <c r="C78" s="217" t="s">
        <v>473</v>
      </c>
      <c r="D78" s="217" t="s">
        <v>453</v>
      </c>
      <c r="E78" s="217" t="s">
        <v>471</v>
      </c>
      <c r="F78" s="221" t="s">
        <v>630</v>
      </c>
      <c r="G78" s="199" t="s">
        <v>710</v>
      </c>
      <c r="H78" s="199">
        <v>160515935</v>
      </c>
      <c r="I78" s="199">
        <v>20000000</v>
      </c>
      <c r="J78" s="274">
        <f>(38829200+36388000+20000000)/H78</f>
        <v>0.59319468811616738</v>
      </c>
    </row>
    <row r="79" spans="1:11" ht="60" x14ac:dyDescent="0.2">
      <c r="A79" s="19"/>
      <c r="B79" s="217" t="s">
        <v>472</v>
      </c>
      <c r="C79" s="217" t="s">
        <v>473</v>
      </c>
      <c r="D79" s="217" t="s">
        <v>453</v>
      </c>
      <c r="E79" s="217" t="s">
        <v>471</v>
      </c>
      <c r="F79" s="222" t="s">
        <v>622</v>
      </c>
      <c r="G79" s="199" t="s">
        <v>711</v>
      </c>
      <c r="H79" s="199">
        <v>30084395</v>
      </c>
      <c r="I79" s="199">
        <v>4000000</v>
      </c>
      <c r="J79" s="274">
        <f>(391733+4600000+4000000)/H79</f>
        <v>0.29888362388540635</v>
      </c>
      <c r="K79" s="141"/>
    </row>
    <row r="80" spans="1:11" ht="75" customHeight="1" x14ac:dyDescent="0.2">
      <c r="A80" s="19"/>
      <c r="B80" s="217" t="s">
        <v>472</v>
      </c>
      <c r="C80" s="217" t="s">
        <v>473</v>
      </c>
      <c r="D80" s="217" t="s">
        <v>453</v>
      </c>
      <c r="E80" s="217" t="s">
        <v>471</v>
      </c>
      <c r="F80" s="222" t="s">
        <v>3</v>
      </c>
      <c r="G80" s="199" t="s">
        <v>711</v>
      </c>
      <c r="H80" s="199">
        <v>30010059</v>
      </c>
      <c r="I80" s="219">
        <v>3500000</v>
      </c>
      <c r="J80" s="274">
        <f>(2087700+5000000+3500000)/H80</f>
        <v>0.35280503780415762</v>
      </c>
    </row>
    <row r="81" spans="1:10" ht="75" x14ac:dyDescent="0.2">
      <c r="A81" s="19"/>
      <c r="B81" s="217" t="s">
        <v>472</v>
      </c>
      <c r="C81" s="217" t="s">
        <v>473</v>
      </c>
      <c r="D81" s="217" t="s">
        <v>453</v>
      </c>
      <c r="E81" s="217" t="s">
        <v>471</v>
      </c>
      <c r="F81" s="222" t="s">
        <v>623</v>
      </c>
      <c r="G81" s="199" t="s">
        <v>712</v>
      </c>
      <c r="H81" s="199">
        <f>30737344</f>
        <v>30737344</v>
      </c>
      <c r="I81" s="219">
        <v>4000000</v>
      </c>
      <c r="J81" s="274">
        <f>(4471266+6500000+4000000)/H81</f>
        <v>0.48707090632163924</v>
      </c>
    </row>
    <row r="82" spans="1:10" ht="90" x14ac:dyDescent="0.2">
      <c r="A82" s="19"/>
      <c r="B82" s="217" t="s">
        <v>472</v>
      </c>
      <c r="C82" s="217" t="s">
        <v>473</v>
      </c>
      <c r="D82" s="217" t="s">
        <v>453</v>
      </c>
      <c r="E82" s="217" t="s">
        <v>471</v>
      </c>
      <c r="F82" s="222" t="s">
        <v>644</v>
      </c>
      <c r="G82" s="212" t="s">
        <v>713</v>
      </c>
      <c r="H82" s="212">
        <f>9300000+10829899</f>
        <v>20129899</v>
      </c>
      <c r="I82" s="220">
        <v>1500000</v>
      </c>
      <c r="J82" s="275">
        <f>(305000+1500000)/H82</f>
        <v>8.9667613334771329E-2</v>
      </c>
    </row>
    <row r="83" spans="1:10" ht="90" x14ac:dyDescent="0.2">
      <c r="A83" s="19"/>
      <c r="B83" s="217" t="s">
        <v>472</v>
      </c>
      <c r="C83" s="217" t="s">
        <v>473</v>
      </c>
      <c r="D83" s="217" t="s">
        <v>453</v>
      </c>
      <c r="E83" s="217" t="s">
        <v>471</v>
      </c>
      <c r="F83" s="222" t="s">
        <v>648</v>
      </c>
      <c r="G83" s="212" t="s">
        <v>711</v>
      </c>
      <c r="H83" s="212">
        <f>8700000+6796500</f>
        <v>15496500</v>
      </c>
      <c r="I83" s="220">
        <v>4000000</v>
      </c>
      <c r="J83" s="275">
        <f>(945000+4000000)/H83</f>
        <v>0.31910431387732713</v>
      </c>
    </row>
    <row r="84" spans="1:10" ht="75" x14ac:dyDescent="0.2">
      <c r="A84" s="19"/>
      <c r="B84" s="217" t="s">
        <v>474</v>
      </c>
      <c r="C84" s="217" t="s">
        <v>475</v>
      </c>
      <c r="D84" s="217" t="s">
        <v>453</v>
      </c>
      <c r="E84" s="217" t="s">
        <v>476</v>
      </c>
      <c r="F84" s="214" t="s">
        <v>624</v>
      </c>
      <c r="G84" s="212" t="s">
        <v>713</v>
      </c>
      <c r="H84" s="212">
        <f>288696000-5834500</f>
        <v>282861500</v>
      </c>
      <c r="I84" s="220">
        <v>4500000</v>
      </c>
      <c r="J84" s="275">
        <f>(7688.93+29670000+4500000)/H84</f>
        <v>0.12082835214407051</v>
      </c>
    </row>
    <row r="85" spans="1:10" ht="75" x14ac:dyDescent="0.2">
      <c r="A85" s="19"/>
      <c r="B85" s="218" t="s">
        <v>478</v>
      </c>
      <c r="C85" s="218" t="s">
        <v>479</v>
      </c>
      <c r="D85" s="218" t="s">
        <v>453</v>
      </c>
      <c r="E85" s="218" t="s">
        <v>477</v>
      </c>
      <c r="F85" s="223" t="s">
        <v>631</v>
      </c>
      <c r="G85" s="197" t="s">
        <v>714</v>
      </c>
      <c r="H85" s="197">
        <f>(16874496)+1019604</f>
        <v>17894100</v>
      </c>
      <c r="I85" s="224">
        <v>2000000</v>
      </c>
      <c r="J85" s="276">
        <f>(7993500+7000000+2000000)/H85</f>
        <v>0.94967056180528775</v>
      </c>
    </row>
    <row r="86" spans="1:10" ht="45" x14ac:dyDescent="0.2">
      <c r="A86" s="19"/>
      <c r="B86" s="218" t="s">
        <v>478</v>
      </c>
      <c r="C86" s="218" t="s">
        <v>479</v>
      </c>
      <c r="D86" s="218" t="s">
        <v>453</v>
      </c>
      <c r="E86" s="218" t="s">
        <v>477</v>
      </c>
      <c r="F86" s="223" t="s">
        <v>625</v>
      </c>
      <c r="G86" s="197" t="s">
        <v>711</v>
      </c>
      <c r="H86" s="197">
        <v>32296985</v>
      </c>
      <c r="I86" s="224">
        <v>5000000</v>
      </c>
      <c r="J86" s="276">
        <f>(209619.53+7990394+5000000)/H86</f>
        <v>0.40870729976807435</v>
      </c>
    </row>
    <row r="87" spans="1:10" ht="75" x14ac:dyDescent="0.2">
      <c r="A87" s="19"/>
      <c r="B87" s="218" t="s">
        <v>478</v>
      </c>
      <c r="C87" s="218" t="s">
        <v>479</v>
      </c>
      <c r="D87" s="218" t="s">
        <v>453</v>
      </c>
      <c r="E87" s="218" t="s">
        <v>477</v>
      </c>
      <c r="F87" s="223" t="s">
        <v>626</v>
      </c>
      <c r="G87" s="197" t="s">
        <v>711</v>
      </c>
      <c r="H87" s="197">
        <f>(10111121)+2079379</f>
        <v>12190500</v>
      </c>
      <c r="I87" s="224">
        <v>2000000</v>
      </c>
      <c r="J87" s="276">
        <f>(2190500+3700000+2000000)/H87</f>
        <v>0.64726631393298062</v>
      </c>
    </row>
    <row r="88" spans="1:10" ht="60" x14ac:dyDescent="0.2">
      <c r="A88" s="19"/>
      <c r="B88" s="218" t="s">
        <v>478</v>
      </c>
      <c r="C88" s="218" t="s">
        <v>479</v>
      </c>
      <c r="D88" s="218" t="s">
        <v>453</v>
      </c>
      <c r="E88" s="218" t="s">
        <v>477</v>
      </c>
      <c r="F88" s="226" t="s">
        <v>498</v>
      </c>
      <c r="G88" s="197" t="s">
        <v>716</v>
      </c>
      <c r="H88" s="197">
        <v>16864326</v>
      </c>
      <c r="I88" s="224">
        <v>2000000</v>
      </c>
      <c r="J88" s="276">
        <f>(1286200+940000+2000000)/H88</f>
        <v>0.25059999433122915</v>
      </c>
    </row>
    <row r="89" spans="1:10" ht="75" x14ac:dyDescent="0.2">
      <c r="A89" s="19"/>
      <c r="B89" s="218" t="s">
        <v>478</v>
      </c>
      <c r="C89" s="218" t="s">
        <v>479</v>
      </c>
      <c r="D89" s="218" t="s">
        <v>453</v>
      </c>
      <c r="E89" s="218" t="s">
        <v>477</v>
      </c>
      <c r="F89" s="223" t="s">
        <v>632</v>
      </c>
      <c r="G89" s="197"/>
      <c r="H89" s="201"/>
      <c r="I89" s="224">
        <v>100000</v>
      </c>
      <c r="J89" s="276"/>
    </row>
    <row r="90" spans="1:10" ht="60" x14ac:dyDescent="0.2">
      <c r="A90" s="19"/>
      <c r="B90" s="218" t="s">
        <v>478</v>
      </c>
      <c r="C90" s="218" t="s">
        <v>479</v>
      </c>
      <c r="D90" s="218" t="s">
        <v>453</v>
      </c>
      <c r="E90" s="218" t="s">
        <v>477</v>
      </c>
      <c r="F90" s="223" t="s">
        <v>636</v>
      </c>
      <c r="G90" s="197"/>
      <c r="H90" s="201"/>
      <c r="I90" s="224">
        <v>100000</v>
      </c>
      <c r="J90" s="276"/>
    </row>
    <row r="91" spans="1:10" ht="75" x14ac:dyDescent="0.2">
      <c r="A91" s="19"/>
      <c r="B91" s="218" t="s">
        <v>478</v>
      </c>
      <c r="C91" s="218" t="s">
        <v>479</v>
      </c>
      <c r="D91" s="218" t="s">
        <v>453</v>
      </c>
      <c r="E91" s="218" t="s">
        <v>477</v>
      </c>
      <c r="F91" s="223" t="s">
        <v>637</v>
      </c>
      <c r="G91" s="197"/>
      <c r="H91" s="201"/>
      <c r="I91" s="224">
        <v>100000</v>
      </c>
      <c r="J91" s="276"/>
    </row>
    <row r="92" spans="1:10" ht="90" x14ac:dyDescent="0.2">
      <c r="A92" s="19"/>
      <c r="B92" s="273" t="s">
        <v>478</v>
      </c>
      <c r="C92" s="273" t="s">
        <v>479</v>
      </c>
      <c r="D92" s="273" t="s">
        <v>453</v>
      </c>
      <c r="E92" s="273" t="s">
        <v>477</v>
      </c>
      <c r="F92" s="226" t="s">
        <v>715</v>
      </c>
      <c r="G92" s="197"/>
      <c r="H92" s="197"/>
      <c r="I92" s="224">
        <v>100000</v>
      </c>
      <c r="J92" s="276"/>
    </row>
    <row r="93" spans="1:10" ht="90" x14ac:dyDescent="0.2">
      <c r="A93" s="19"/>
      <c r="B93" s="218" t="s">
        <v>478</v>
      </c>
      <c r="C93" s="218" t="s">
        <v>479</v>
      </c>
      <c r="D93" s="218" t="s">
        <v>453</v>
      </c>
      <c r="E93" s="218" t="s">
        <v>477</v>
      </c>
      <c r="F93" s="225" t="s">
        <v>606</v>
      </c>
      <c r="G93" s="197"/>
      <c r="H93" s="201"/>
      <c r="I93" s="224">
        <v>100000</v>
      </c>
      <c r="J93" s="276"/>
    </row>
    <row r="94" spans="1:10" ht="75" x14ac:dyDescent="0.2">
      <c r="A94" s="19"/>
      <c r="B94" s="324" t="s">
        <v>247</v>
      </c>
      <c r="C94" s="324"/>
      <c r="D94" s="324"/>
      <c r="E94" s="324" t="s">
        <v>46</v>
      </c>
      <c r="F94" s="327"/>
      <c r="G94" s="327"/>
      <c r="H94" s="327"/>
      <c r="I94" s="328">
        <f>I95</f>
        <v>2000000</v>
      </c>
      <c r="J94" s="328"/>
    </row>
    <row r="95" spans="1:10" ht="71.25" x14ac:dyDescent="0.2">
      <c r="A95" s="19"/>
      <c r="B95" s="329" t="s">
        <v>248</v>
      </c>
      <c r="C95" s="329"/>
      <c r="D95" s="329"/>
      <c r="E95" s="329" t="s">
        <v>64</v>
      </c>
      <c r="F95" s="327"/>
      <c r="G95" s="327"/>
      <c r="H95" s="327"/>
      <c r="I95" s="331">
        <f>SUM(I96:I99)</f>
        <v>2000000</v>
      </c>
      <c r="J95" s="331"/>
    </row>
    <row r="96" spans="1:10" ht="60" hidden="1" customHeight="1" x14ac:dyDescent="0.2">
      <c r="A96" s="19"/>
      <c r="B96" s="184" t="s">
        <v>463</v>
      </c>
      <c r="C96" s="184" t="s">
        <v>464</v>
      </c>
      <c r="D96" s="184" t="s">
        <v>453</v>
      </c>
      <c r="E96" s="184" t="s">
        <v>465</v>
      </c>
      <c r="F96" s="186" t="s">
        <v>613</v>
      </c>
      <c r="G96" s="185"/>
      <c r="H96" s="185"/>
      <c r="I96" s="187">
        <f>(2376000)-2376000</f>
        <v>0</v>
      </c>
      <c r="J96" s="187"/>
    </row>
    <row r="97" spans="1:10" ht="30" x14ac:dyDescent="0.2">
      <c r="A97" s="19"/>
      <c r="B97" s="194" t="s">
        <v>463</v>
      </c>
      <c r="C97" s="194" t="s">
        <v>464</v>
      </c>
      <c r="D97" s="194" t="s">
        <v>453</v>
      </c>
      <c r="E97" s="194" t="s">
        <v>465</v>
      </c>
      <c r="F97" s="196" t="s">
        <v>804</v>
      </c>
      <c r="G97" s="195"/>
      <c r="H97" s="195"/>
      <c r="I97" s="197">
        <v>500000</v>
      </c>
      <c r="J97" s="197"/>
    </row>
    <row r="98" spans="1:10" ht="78.75" x14ac:dyDescent="0.2">
      <c r="A98" s="19"/>
      <c r="B98" s="194" t="s">
        <v>463</v>
      </c>
      <c r="C98" s="194" t="s">
        <v>464</v>
      </c>
      <c r="D98" s="194" t="s">
        <v>453</v>
      </c>
      <c r="E98" s="194" t="s">
        <v>465</v>
      </c>
      <c r="F98" s="211" t="s">
        <v>722</v>
      </c>
      <c r="G98" s="195"/>
      <c r="H98" s="195"/>
      <c r="I98" s="197">
        <v>1500000</v>
      </c>
      <c r="J98" s="197"/>
    </row>
    <row r="99" spans="1:10" ht="45" hidden="1" customHeight="1" x14ac:dyDescent="0.2">
      <c r="A99" s="19"/>
      <c r="B99" s="184" t="s">
        <v>463</v>
      </c>
      <c r="C99" s="184" t="s">
        <v>464</v>
      </c>
      <c r="D99" s="184" t="s">
        <v>453</v>
      </c>
      <c r="E99" s="184" t="s">
        <v>465</v>
      </c>
      <c r="F99" s="188" t="s">
        <v>494</v>
      </c>
      <c r="G99" s="185"/>
      <c r="H99" s="185"/>
      <c r="I99" s="187">
        <f>(780000)-780000</f>
        <v>0</v>
      </c>
      <c r="J99" s="187"/>
    </row>
    <row r="100" spans="1:10" ht="30" x14ac:dyDescent="0.2">
      <c r="A100" s="183"/>
      <c r="B100" s="324" t="s">
        <v>253</v>
      </c>
      <c r="C100" s="324"/>
      <c r="D100" s="324"/>
      <c r="E100" s="324" t="s">
        <v>580</v>
      </c>
      <c r="F100" s="327"/>
      <c r="G100" s="327"/>
      <c r="H100" s="327"/>
      <c r="I100" s="328">
        <f>I101</f>
        <v>2000000</v>
      </c>
      <c r="J100" s="328"/>
    </row>
    <row r="101" spans="1:10" ht="42.75" x14ac:dyDescent="0.2">
      <c r="A101" s="183"/>
      <c r="B101" s="329" t="s">
        <v>254</v>
      </c>
      <c r="C101" s="329"/>
      <c r="D101" s="329"/>
      <c r="E101" s="329" t="s">
        <v>581</v>
      </c>
      <c r="F101" s="326"/>
      <c r="G101" s="327"/>
      <c r="H101" s="327"/>
      <c r="I101" s="331">
        <f>SUM(I102)</f>
        <v>2000000</v>
      </c>
      <c r="J101" s="331"/>
    </row>
    <row r="102" spans="1:10" ht="30" x14ac:dyDescent="0.2">
      <c r="A102" s="19"/>
      <c r="B102" s="194" t="s">
        <v>574</v>
      </c>
      <c r="C102" s="194" t="s">
        <v>575</v>
      </c>
      <c r="D102" s="194" t="s">
        <v>257</v>
      </c>
      <c r="E102" s="194" t="s">
        <v>401</v>
      </c>
      <c r="F102" s="195" t="s">
        <v>90</v>
      </c>
      <c r="G102" s="204"/>
      <c r="H102" s="204"/>
      <c r="I102" s="205">
        <v>2000000</v>
      </c>
      <c r="J102" s="205"/>
    </row>
    <row r="103" spans="1:10" ht="75" x14ac:dyDescent="0.2">
      <c r="A103" s="19"/>
      <c r="B103" s="324" t="s">
        <v>249</v>
      </c>
      <c r="C103" s="324"/>
      <c r="D103" s="324"/>
      <c r="E103" s="324" t="s">
        <v>582</v>
      </c>
      <c r="F103" s="326"/>
      <c r="G103" s="327"/>
      <c r="H103" s="327"/>
      <c r="I103" s="328">
        <f>I104</f>
        <v>500000</v>
      </c>
      <c r="J103" s="328"/>
    </row>
    <row r="104" spans="1:10" ht="71.25" x14ac:dyDescent="0.2">
      <c r="A104" s="19"/>
      <c r="B104" s="329" t="s">
        <v>250</v>
      </c>
      <c r="C104" s="329"/>
      <c r="D104" s="329"/>
      <c r="E104" s="329" t="s">
        <v>583</v>
      </c>
      <c r="F104" s="326"/>
      <c r="G104" s="327"/>
      <c r="H104" s="327"/>
      <c r="I104" s="331">
        <f>SUM(I105:I110)</f>
        <v>500000</v>
      </c>
      <c r="J104" s="331"/>
    </row>
    <row r="105" spans="1:10" ht="30" x14ac:dyDescent="0.2">
      <c r="A105" s="19"/>
      <c r="B105" s="194" t="s">
        <v>460</v>
      </c>
      <c r="C105" s="194" t="s">
        <v>461</v>
      </c>
      <c r="D105" s="194" t="s">
        <v>462</v>
      </c>
      <c r="E105" s="194" t="s">
        <v>459</v>
      </c>
      <c r="F105" s="206" t="s">
        <v>721</v>
      </c>
      <c r="G105" s="195"/>
      <c r="H105" s="195"/>
      <c r="I105" s="197">
        <v>100000</v>
      </c>
      <c r="J105" s="197"/>
    </row>
    <row r="106" spans="1:10" ht="30" x14ac:dyDescent="0.2">
      <c r="A106" s="19"/>
      <c r="B106" s="194" t="s">
        <v>460</v>
      </c>
      <c r="C106" s="194" t="s">
        <v>461</v>
      </c>
      <c r="D106" s="194" t="s">
        <v>462</v>
      </c>
      <c r="E106" s="194" t="s">
        <v>459</v>
      </c>
      <c r="F106" s="206" t="s">
        <v>55</v>
      </c>
      <c r="G106" s="195"/>
      <c r="H106" s="195"/>
      <c r="I106" s="197">
        <v>50000</v>
      </c>
      <c r="J106" s="197"/>
    </row>
    <row r="107" spans="1:10" ht="45" x14ac:dyDescent="0.2">
      <c r="A107" s="19"/>
      <c r="B107" s="194" t="s">
        <v>460</v>
      </c>
      <c r="C107" s="194" t="s">
        <v>461</v>
      </c>
      <c r="D107" s="194" t="s">
        <v>462</v>
      </c>
      <c r="E107" s="194" t="s">
        <v>459</v>
      </c>
      <c r="F107" s="206" t="s">
        <v>495</v>
      </c>
      <c r="G107" s="195"/>
      <c r="H107" s="195"/>
      <c r="I107" s="197">
        <v>50000</v>
      </c>
      <c r="J107" s="197"/>
    </row>
    <row r="108" spans="1:10" ht="30" hidden="1" customHeight="1" x14ac:dyDescent="0.2">
      <c r="A108" s="19"/>
      <c r="B108" s="194" t="s">
        <v>460</v>
      </c>
      <c r="C108" s="194" t="s">
        <v>461</v>
      </c>
      <c r="D108" s="194" t="s">
        <v>462</v>
      </c>
      <c r="E108" s="194" t="s">
        <v>459</v>
      </c>
      <c r="F108" s="206" t="s">
        <v>617</v>
      </c>
      <c r="G108" s="195"/>
      <c r="H108" s="195"/>
      <c r="I108" s="197"/>
      <c r="J108" s="197"/>
    </row>
    <row r="109" spans="1:10" ht="30" x14ac:dyDescent="0.2">
      <c r="A109" s="19"/>
      <c r="B109" s="194" t="s">
        <v>460</v>
      </c>
      <c r="C109" s="194" t="s">
        <v>461</v>
      </c>
      <c r="D109" s="194" t="s">
        <v>462</v>
      </c>
      <c r="E109" s="194" t="s">
        <v>459</v>
      </c>
      <c r="F109" s="206" t="s">
        <v>56</v>
      </c>
      <c r="G109" s="195"/>
      <c r="H109" s="195"/>
      <c r="I109" s="197">
        <v>210000</v>
      </c>
      <c r="J109" s="197"/>
    </row>
    <row r="110" spans="1:10" ht="45" x14ac:dyDescent="0.2">
      <c r="A110" s="19"/>
      <c r="B110" s="194" t="s">
        <v>614</v>
      </c>
      <c r="C110" s="194" t="s">
        <v>615</v>
      </c>
      <c r="D110" s="194" t="s">
        <v>257</v>
      </c>
      <c r="E110" s="194" t="s">
        <v>616</v>
      </c>
      <c r="F110" s="206" t="s">
        <v>496</v>
      </c>
      <c r="G110" s="195"/>
      <c r="H110" s="195"/>
      <c r="I110" s="197">
        <v>90000</v>
      </c>
      <c r="J110" s="197"/>
    </row>
    <row r="111" spans="1:10" ht="30" x14ac:dyDescent="0.2">
      <c r="A111" s="19"/>
      <c r="B111" s="324" t="s">
        <v>255</v>
      </c>
      <c r="C111" s="324"/>
      <c r="D111" s="324"/>
      <c r="E111" s="324" t="s">
        <v>48</v>
      </c>
      <c r="F111" s="326"/>
      <c r="G111" s="327"/>
      <c r="H111" s="327"/>
      <c r="I111" s="328">
        <f>I112</f>
        <v>50000</v>
      </c>
      <c r="J111" s="328"/>
    </row>
    <row r="112" spans="1:10" ht="42.75" x14ac:dyDescent="0.2">
      <c r="A112" s="19"/>
      <c r="B112" s="329" t="s">
        <v>256</v>
      </c>
      <c r="C112" s="329"/>
      <c r="D112" s="329"/>
      <c r="E112" s="329" t="s">
        <v>66</v>
      </c>
      <c r="F112" s="326"/>
      <c r="G112" s="327">
        <f>H112+I112</f>
        <v>50000</v>
      </c>
      <c r="H112" s="327"/>
      <c r="I112" s="331">
        <f>I113</f>
        <v>50000</v>
      </c>
      <c r="J112" s="331"/>
    </row>
    <row r="113" spans="1:17" ht="45" x14ac:dyDescent="0.2">
      <c r="A113" s="19"/>
      <c r="B113" s="348" t="s">
        <v>771</v>
      </c>
      <c r="C113" s="348" t="s">
        <v>344</v>
      </c>
      <c r="D113" s="348" t="s">
        <v>342</v>
      </c>
      <c r="E113" s="348" t="s">
        <v>343</v>
      </c>
      <c r="F113" s="206"/>
      <c r="G113" s="195"/>
      <c r="H113" s="195"/>
      <c r="I113" s="197">
        <v>50000</v>
      </c>
      <c r="J113" s="197"/>
    </row>
    <row r="114" spans="1:17" ht="24.75" customHeight="1" x14ac:dyDescent="0.2">
      <c r="A114" s="24"/>
      <c r="B114" s="169" t="s">
        <v>665</v>
      </c>
      <c r="C114" s="169" t="s">
        <v>665</v>
      </c>
      <c r="D114" s="169" t="s">
        <v>665</v>
      </c>
      <c r="E114" s="264" t="s">
        <v>683</v>
      </c>
      <c r="F114" s="169" t="s">
        <v>665</v>
      </c>
      <c r="G114" s="169" t="s">
        <v>665</v>
      </c>
      <c r="H114" s="169" t="s">
        <v>665</v>
      </c>
      <c r="I114" s="171">
        <f>I6+I10+I46+I21+I29+I39+I50+I76+I94+I103+I100+I111</f>
        <v>244799789</v>
      </c>
      <c r="J114" s="169" t="s">
        <v>665</v>
      </c>
      <c r="K114" s="19" t="b">
        <f>I114='dod3'!K162</f>
        <v>1</v>
      </c>
    </row>
    <row r="115" spans="1:17" ht="15.75" x14ac:dyDescent="0.2">
      <c r="B115" s="484" t="s">
        <v>497</v>
      </c>
      <c r="C115" s="485"/>
      <c r="D115" s="485"/>
      <c r="E115" s="485"/>
      <c r="F115" s="485"/>
      <c r="G115" s="485"/>
      <c r="H115" s="485"/>
      <c r="I115" s="485"/>
      <c r="J115" s="485"/>
      <c r="K115" s="485"/>
      <c r="L115" s="485"/>
      <c r="M115" s="485"/>
      <c r="N115" s="485"/>
      <c r="O115" s="485"/>
      <c r="P115" s="485"/>
      <c r="Q115" s="485"/>
    </row>
    <row r="116" spans="1:17" ht="18.75" x14ac:dyDescent="0.2">
      <c r="B116" s="483"/>
      <c r="C116" s="483"/>
      <c r="D116" s="483"/>
      <c r="E116" s="483"/>
      <c r="F116" s="483"/>
      <c r="G116" s="483"/>
      <c r="H116" s="483"/>
      <c r="I116" s="483"/>
      <c r="J116" s="483"/>
    </row>
    <row r="117" spans="1:17" ht="15" x14ac:dyDescent="0.25">
      <c r="D117" s="474" t="s">
        <v>656</v>
      </c>
      <c r="E117" s="474"/>
      <c r="F117" s="474"/>
      <c r="G117" s="474"/>
      <c r="H117" s="474"/>
      <c r="I117" s="474"/>
      <c r="J117" s="474"/>
      <c r="K117" s="474"/>
      <c r="L117" s="474"/>
      <c r="M117" s="474"/>
      <c r="N117" s="474"/>
      <c r="O117" s="474"/>
      <c r="P117" s="474"/>
    </row>
    <row r="118" spans="1:17" ht="15" x14ac:dyDescent="0.25">
      <c r="D118" s="474"/>
      <c r="E118" s="474"/>
      <c r="F118" s="474"/>
      <c r="G118" s="474"/>
      <c r="H118" s="474"/>
      <c r="I118" s="474"/>
      <c r="J118" s="474"/>
      <c r="K118" s="474"/>
      <c r="L118" s="474"/>
      <c r="M118" s="474"/>
      <c r="N118" s="474"/>
      <c r="O118" s="474"/>
      <c r="P118" s="474"/>
    </row>
    <row r="119" spans="1:17" ht="15" x14ac:dyDescent="0.25">
      <c r="D119" s="474" t="s">
        <v>231</v>
      </c>
      <c r="E119" s="474"/>
      <c r="F119" s="474"/>
      <c r="G119" s="474"/>
      <c r="H119" s="474"/>
      <c r="I119" s="474"/>
      <c r="J119" s="474"/>
      <c r="K119" s="474"/>
      <c r="L119" s="474"/>
      <c r="M119" s="474"/>
      <c r="N119" s="474"/>
      <c r="O119" s="474"/>
      <c r="P119" s="474"/>
    </row>
    <row r="120" spans="1:17" x14ac:dyDescent="0.2">
      <c r="G120" s="164">
        <f>H120+I120</f>
        <v>0</v>
      </c>
    </row>
    <row r="121" spans="1:17" x14ac:dyDescent="0.2">
      <c r="G121" s="164">
        <f>H121+I121</f>
        <v>0</v>
      </c>
    </row>
    <row r="122" spans="1:17" x14ac:dyDescent="0.2">
      <c r="G122" s="164">
        <f>H122+I122</f>
        <v>0</v>
      </c>
    </row>
    <row r="123" spans="1:17" x14ac:dyDescent="0.2">
      <c r="G123" s="164">
        <f>H123+I123</f>
        <v>0</v>
      </c>
    </row>
    <row r="124" spans="1:17" x14ac:dyDescent="0.2">
      <c r="G124" s="164">
        <f>H124+I124</f>
        <v>0</v>
      </c>
    </row>
    <row r="126" spans="1:17" x14ac:dyDescent="0.2">
      <c r="G126" s="164">
        <f>H127+I127</f>
        <v>0</v>
      </c>
    </row>
    <row r="127" spans="1:17" x14ac:dyDescent="0.2">
      <c r="G127" s="164">
        <f t="shared" ref="G127" si="0">H127+I127</f>
        <v>0</v>
      </c>
    </row>
    <row r="128" spans="1:17" x14ac:dyDescent="0.2">
      <c r="G128" s="164">
        <f>H128+I128</f>
        <v>0</v>
      </c>
    </row>
    <row r="129" spans="7:10" x14ac:dyDescent="0.2">
      <c r="G129" s="164">
        <f>H129+I129</f>
        <v>0</v>
      </c>
    </row>
    <row r="130" spans="7:10" x14ac:dyDescent="0.2">
      <c r="G130" s="164">
        <f>H130+I130</f>
        <v>0</v>
      </c>
    </row>
    <row r="131" spans="7:10" x14ac:dyDescent="0.2">
      <c r="G131" s="164">
        <f>H131+I131</f>
        <v>0</v>
      </c>
    </row>
    <row r="136" spans="7:10" ht="46.5" x14ac:dyDescent="0.2">
      <c r="J136" s="406"/>
    </row>
    <row r="139" spans="7:10" ht="46.5" x14ac:dyDescent="0.2">
      <c r="G139" s="406">
        <f>H139+I139</f>
        <v>0</v>
      </c>
      <c r="J139" s="406"/>
    </row>
    <row r="158" spans="11:11" ht="90" x14ac:dyDescent="1.1499999999999999">
      <c r="K158" s="404" t="b">
        <f>G158=H158+I158</f>
        <v>1</v>
      </c>
    </row>
  </sheetData>
  <mergeCells count="9">
    <mergeCell ref="D119:P119"/>
    <mergeCell ref="B116:J116"/>
    <mergeCell ref="B115:Q115"/>
    <mergeCell ref="B1:J1"/>
    <mergeCell ref="G2:J2"/>
    <mergeCell ref="B3:J3"/>
    <mergeCell ref="D117:P117"/>
    <mergeCell ref="D118:P118"/>
    <mergeCell ref="G75:G76"/>
  </mergeCells>
  <phoneticPr fontId="15" type="noConversion"/>
  <printOptions horizontalCentered="1"/>
  <pageMargins left="0.82677165354330717" right="0" top="0.31496062992125984" bottom="0.31496062992125984" header="0.23622047244094491" footer="0.19685039370078741"/>
  <pageSetup paperSize="9" scale="70" fitToHeight="0" orientation="landscape" r:id="rId1"/>
  <headerFooter alignWithMargins="0">
    <oddFooter>&amp;R&amp;P</oddFooter>
  </headerFooter>
  <rowBreaks count="2" manualBreakCount="2">
    <brk id="88" max="9" man="1"/>
    <brk id="99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58"/>
  <sheetViews>
    <sheetView view="pageBreakPreview" topLeftCell="A16" zoomScale="70" zoomScaleNormal="85" zoomScaleSheetLayoutView="70" workbookViewId="0">
      <selection activeCell="G30" sqref="G30"/>
    </sheetView>
  </sheetViews>
  <sheetFormatPr defaultColWidth="9.140625" defaultRowHeight="12.75" x14ac:dyDescent="0.2"/>
  <cols>
    <col min="1" max="1" width="7" style="119" customWidth="1"/>
    <col min="2" max="2" width="23.5703125" style="119" customWidth="1"/>
    <col min="3" max="3" width="83.5703125" style="119" customWidth="1"/>
    <col min="4" max="4" width="18.28515625" style="119" customWidth="1"/>
    <col min="5" max="5" width="17" style="119" customWidth="1"/>
    <col min="6" max="6" width="14.7109375" style="119" customWidth="1"/>
    <col min="7" max="7" width="12.7109375" style="119" bestFit="1" customWidth="1"/>
    <col min="8" max="10" width="9.140625" style="119"/>
    <col min="11" max="11" width="52.5703125" style="119" customWidth="1"/>
    <col min="12" max="16384" width="9.140625" style="119"/>
  </cols>
  <sheetData>
    <row r="1" spans="1:8" ht="16.5" customHeight="1" x14ac:dyDescent="0.2">
      <c r="A1" s="118"/>
      <c r="D1" s="423" t="s">
        <v>190</v>
      </c>
      <c r="E1" s="423"/>
    </row>
    <row r="2" spans="1:8" ht="16.5" customHeight="1" x14ac:dyDescent="0.2">
      <c r="A2" s="118"/>
      <c r="D2" s="423" t="s">
        <v>191</v>
      </c>
      <c r="E2" s="507"/>
    </row>
    <row r="3" spans="1:8" ht="12.75" customHeight="1" x14ac:dyDescent="0.2">
      <c r="A3" s="118"/>
      <c r="D3" s="423"/>
      <c r="E3" s="507"/>
    </row>
    <row r="4" spans="1:8" ht="12.75" customHeight="1" x14ac:dyDescent="0.2">
      <c r="A4" s="118"/>
      <c r="D4" s="423"/>
      <c r="E4" s="425"/>
    </row>
    <row r="5" spans="1:8" ht="16.5" x14ac:dyDescent="0.25">
      <c r="A5" s="491" t="s">
        <v>192</v>
      </c>
      <c r="B5" s="492"/>
      <c r="C5" s="492"/>
      <c r="D5" s="492"/>
      <c r="E5" s="493"/>
      <c r="F5" s="120"/>
    </row>
    <row r="6" spans="1:8" ht="16.5" x14ac:dyDescent="0.25">
      <c r="A6" s="491" t="s">
        <v>193</v>
      </c>
      <c r="B6" s="491"/>
      <c r="C6" s="491"/>
      <c r="D6" s="491"/>
      <c r="E6" s="424"/>
    </row>
    <row r="7" spans="1:8" ht="16.5" x14ac:dyDescent="0.2">
      <c r="A7" s="494" t="s">
        <v>660</v>
      </c>
      <c r="B7" s="494"/>
      <c r="C7" s="494"/>
      <c r="D7" s="494"/>
      <c r="E7" s="495"/>
    </row>
    <row r="8" spans="1:8" ht="16.5" x14ac:dyDescent="0.2">
      <c r="D8" s="271"/>
      <c r="E8" s="271" t="s">
        <v>704</v>
      </c>
      <c r="F8" s="120"/>
      <c r="G8" s="120"/>
      <c r="H8" s="121"/>
    </row>
    <row r="9" spans="1:8" s="122" customFormat="1" ht="26.25" customHeight="1" x14ac:dyDescent="0.2">
      <c r="B9" s="123" t="s">
        <v>194</v>
      </c>
      <c r="C9" s="502" t="s">
        <v>195</v>
      </c>
      <c r="D9" s="500"/>
      <c r="E9" s="501"/>
    </row>
    <row r="10" spans="1:8" s="122" customFormat="1" ht="39.75" customHeight="1" x14ac:dyDescent="0.2">
      <c r="A10" s="124"/>
      <c r="B10" s="125" t="s">
        <v>196</v>
      </c>
      <c r="C10" s="496" t="s">
        <v>197</v>
      </c>
      <c r="D10" s="497"/>
      <c r="E10" s="126">
        <v>100</v>
      </c>
    </row>
    <row r="11" spans="1:8" s="122" customFormat="1" ht="40.5" customHeight="1" x14ac:dyDescent="0.2">
      <c r="B11" s="125" t="s">
        <v>198</v>
      </c>
      <c r="C11" s="496" t="s">
        <v>199</v>
      </c>
      <c r="D11" s="497"/>
      <c r="E11" s="126">
        <v>4200000</v>
      </c>
    </row>
    <row r="12" spans="1:8" s="122" customFormat="1" ht="61.5" customHeight="1" x14ac:dyDescent="0.2">
      <c r="B12" s="125" t="s">
        <v>200</v>
      </c>
      <c r="C12" s="496" t="s">
        <v>201</v>
      </c>
      <c r="D12" s="497"/>
      <c r="E12" s="126">
        <v>8500</v>
      </c>
    </row>
    <row r="13" spans="1:8" s="122" customFormat="1" ht="61.5" customHeight="1" x14ac:dyDescent="0.2">
      <c r="B13" s="125" t="s">
        <v>202</v>
      </c>
      <c r="C13" s="496" t="s">
        <v>203</v>
      </c>
      <c r="D13" s="497"/>
      <c r="E13" s="126">
        <v>0</v>
      </c>
      <c r="G13" s="122">
        <f>H13+I13</f>
        <v>0</v>
      </c>
    </row>
    <row r="14" spans="1:8" s="122" customFormat="1" ht="41.25" customHeight="1" x14ac:dyDescent="0.2">
      <c r="B14" s="125" t="s">
        <v>204</v>
      </c>
      <c r="C14" s="496" t="s">
        <v>205</v>
      </c>
      <c r="D14" s="497"/>
      <c r="E14" s="126">
        <v>3500</v>
      </c>
      <c r="G14" s="122">
        <f>H14+I14</f>
        <v>0</v>
      </c>
    </row>
    <row r="15" spans="1:8" s="122" customFormat="1" ht="26.25" customHeight="1" x14ac:dyDescent="0.2">
      <c r="B15" s="125"/>
      <c r="C15" s="504" t="s">
        <v>206</v>
      </c>
      <c r="D15" s="497"/>
      <c r="E15" s="127">
        <f>SUM(E10:E14)</f>
        <v>4212100</v>
      </c>
    </row>
    <row r="16" spans="1:8" s="122" customFormat="1" ht="26.25" customHeight="1" x14ac:dyDescent="0.2">
      <c r="B16" s="125"/>
      <c r="C16" s="504" t="s">
        <v>661</v>
      </c>
      <c r="D16" s="497"/>
      <c r="E16" s="127"/>
      <c r="G16" s="122">
        <f>H16+I16</f>
        <v>0</v>
      </c>
    </row>
    <row r="17" spans="1:7" s="122" customFormat="1" ht="26.25" customHeight="1" x14ac:dyDescent="0.2">
      <c r="B17" s="174"/>
      <c r="C17" s="503" t="s">
        <v>207</v>
      </c>
      <c r="D17" s="497"/>
      <c r="E17" s="175">
        <f>E15+E16</f>
        <v>4212100</v>
      </c>
    </row>
    <row r="18" spans="1:7" s="122" customFormat="1" ht="30.75" customHeight="1" x14ac:dyDescent="0.2">
      <c r="A18" s="140"/>
      <c r="B18" s="125"/>
      <c r="C18" s="499" t="s">
        <v>208</v>
      </c>
      <c r="D18" s="500"/>
      <c r="E18" s="501"/>
      <c r="G18" s="122">
        <f>SUM(G19:G29)</f>
        <v>0</v>
      </c>
    </row>
    <row r="19" spans="1:7" s="122" customFormat="1" ht="43.5" customHeight="1" x14ac:dyDescent="0.2">
      <c r="A19" s="140"/>
      <c r="B19" s="125" t="s">
        <v>209</v>
      </c>
      <c r="C19" s="496" t="s">
        <v>210</v>
      </c>
      <c r="D19" s="497"/>
      <c r="E19" s="126">
        <v>90000</v>
      </c>
      <c r="G19" s="122">
        <f>H19+I19</f>
        <v>0</v>
      </c>
    </row>
    <row r="20" spans="1:7" s="122" customFormat="1" ht="44.25" customHeight="1" x14ac:dyDescent="0.2">
      <c r="A20" s="140"/>
      <c r="B20" s="125" t="s">
        <v>211</v>
      </c>
      <c r="C20" s="496" t="s">
        <v>212</v>
      </c>
      <c r="D20" s="497"/>
      <c r="E20" s="126">
        <v>81100</v>
      </c>
      <c r="G20" s="122">
        <f>H20+I20</f>
        <v>0</v>
      </c>
    </row>
    <row r="21" spans="1:7" s="122" customFormat="1" ht="61.5" customHeight="1" x14ac:dyDescent="0.2">
      <c r="A21" s="140"/>
      <c r="B21" s="125" t="s">
        <v>213</v>
      </c>
      <c r="C21" s="496" t="s">
        <v>706</v>
      </c>
      <c r="D21" s="497"/>
      <c r="E21" s="126">
        <v>317000</v>
      </c>
      <c r="G21" s="122">
        <f>H21+I21</f>
        <v>0</v>
      </c>
    </row>
    <row r="22" spans="1:7" s="122" customFormat="1" ht="44.25" customHeight="1" x14ac:dyDescent="0.2">
      <c r="A22" s="140"/>
      <c r="B22" s="125" t="s">
        <v>214</v>
      </c>
      <c r="C22" s="496" t="s">
        <v>738</v>
      </c>
      <c r="D22" s="497"/>
      <c r="E22" s="126">
        <v>199000</v>
      </c>
      <c r="G22" s="122">
        <f>H22+I22</f>
        <v>0</v>
      </c>
    </row>
    <row r="23" spans="1:7" s="122" customFormat="1" ht="32.25" customHeight="1" x14ac:dyDescent="0.2">
      <c r="A23" s="140"/>
      <c r="B23" s="125" t="s">
        <v>215</v>
      </c>
      <c r="C23" s="496" t="s">
        <v>216</v>
      </c>
      <c r="D23" s="497"/>
      <c r="E23" s="126">
        <v>202000</v>
      </c>
      <c r="G23" s="122">
        <f>H23+I23</f>
        <v>0</v>
      </c>
    </row>
    <row r="24" spans="1:7" s="122" customFormat="1" ht="40.5" customHeight="1" x14ac:dyDescent="0.2">
      <c r="A24" s="140"/>
      <c r="B24" s="125" t="s">
        <v>217</v>
      </c>
      <c r="C24" s="496" t="s">
        <v>218</v>
      </c>
      <c r="D24" s="497"/>
      <c r="E24" s="126">
        <v>700000</v>
      </c>
    </row>
    <row r="25" spans="1:7" s="122" customFormat="1" ht="79.5" customHeight="1" x14ac:dyDescent="0.2">
      <c r="A25" s="140"/>
      <c r="B25" s="125" t="s">
        <v>219</v>
      </c>
      <c r="C25" s="496" t="s">
        <v>220</v>
      </c>
      <c r="D25" s="497"/>
      <c r="E25" s="126">
        <v>750000</v>
      </c>
    </row>
    <row r="26" spans="1:7" s="122" customFormat="1" ht="44.25" customHeight="1" x14ac:dyDescent="0.2">
      <c r="A26" s="140"/>
      <c r="B26" s="125" t="s">
        <v>221</v>
      </c>
      <c r="C26" s="509" t="s">
        <v>222</v>
      </c>
      <c r="D26" s="497"/>
      <c r="E26" s="126">
        <v>18000</v>
      </c>
    </row>
    <row r="27" spans="1:7" s="122" customFormat="1" ht="76.5" hidden="1" customHeight="1" x14ac:dyDescent="0.2">
      <c r="A27" s="140"/>
      <c r="B27" s="125" t="s">
        <v>223</v>
      </c>
      <c r="C27" s="509" t="s">
        <v>224</v>
      </c>
      <c r="D27" s="497"/>
      <c r="E27" s="126"/>
    </row>
    <row r="28" spans="1:7" s="122" customFormat="1" ht="45.75" customHeight="1" x14ac:dyDescent="0.2">
      <c r="A28" s="140"/>
      <c r="B28" s="125" t="s">
        <v>225</v>
      </c>
      <c r="C28" s="496" t="s">
        <v>226</v>
      </c>
      <c r="D28" s="497"/>
      <c r="E28" s="126">
        <v>1855000</v>
      </c>
    </row>
    <row r="29" spans="1:7" s="122" customFormat="1" ht="27.75" customHeight="1" x14ac:dyDescent="0.2">
      <c r="B29" s="172"/>
      <c r="C29" s="508" t="s">
        <v>207</v>
      </c>
      <c r="D29" s="497"/>
      <c r="E29" s="173">
        <f>E19+E20+E21+E22+E23+E24+E26+E27+E28+E25</f>
        <v>4212100</v>
      </c>
      <c r="F29" s="372" t="b">
        <f>E17=E29</f>
        <v>1</v>
      </c>
      <c r="G29" s="372" t="b">
        <f>E29='dod3'!R18+'dod3'!R85+'dod3'!R127</f>
        <v>1</v>
      </c>
    </row>
    <row r="32" spans="1:7" ht="18.75" x14ac:dyDescent="0.2">
      <c r="B32" s="244" t="s">
        <v>653</v>
      </c>
      <c r="C32" s="244"/>
      <c r="D32" s="244" t="s">
        <v>654</v>
      </c>
    </row>
    <row r="33" spans="2:7" ht="18.75" x14ac:dyDescent="0.2">
      <c r="B33" s="244"/>
      <c r="C33" s="244"/>
      <c r="D33" s="244"/>
    </row>
    <row r="34" spans="2:7" ht="18.75" x14ac:dyDescent="0.2">
      <c r="B34" s="498" t="s">
        <v>227</v>
      </c>
      <c r="C34" s="498"/>
      <c r="D34" s="243" t="s">
        <v>228</v>
      </c>
    </row>
    <row r="40" spans="2:7" ht="16.5" x14ac:dyDescent="0.2">
      <c r="B40" s="506"/>
      <c r="C40" s="128"/>
      <c r="D40" s="129"/>
      <c r="E40" s="130"/>
    </row>
    <row r="41" spans="2:7" ht="16.5" x14ac:dyDescent="0.2">
      <c r="B41" s="506"/>
      <c r="C41" s="131"/>
      <c r="D41" s="129"/>
      <c r="E41" s="130"/>
    </row>
    <row r="42" spans="2:7" ht="16.5" x14ac:dyDescent="0.2">
      <c r="B42" s="506"/>
      <c r="C42" s="132"/>
      <c r="D42" s="129"/>
      <c r="E42" s="130"/>
    </row>
    <row r="43" spans="2:7" ht="16.5" x14ac:dyDescent="0.2">
      <c r="B43" s="506"/>
      <c r="C43" s="128"/>
      <c r="D43" s="129"/>
      <c r="E43" s="130"/>
    </row>
    <row r="44" spans="2:7" ht="16.5" x14ac:dyDescent="0.2">
      <c r="B44" s="506"/>
      <c r="C44" s="128"/>
      <c r="D44" s="129"/>
      <c r="E44" s="130"/>
    </row>
    <row r="45" spans="2:7" x14ac:dyDescent="0.2">
      <c r="G45" s="119">
        <f>H45+I45</f>
        <v>0</v>
      </c>
    </row>
    <row r="47" spans="2:7" x14ac:dyDescent="0.2">
      <c r="G47" s="119">
        <f t="shared" ref="G47:G65" si="0">H47+I47</f>
        <v>0</v>
      </c>
    </row>
    <row r="48" spans="2:7" x14ac:dyDescent="0.2">
      <c r="G48" s="119">
        <f t="shared" si="0"/>
        <v>0</v>
      </c>
    </row>
    <row r="49" spans="7:7" x14ac:dyDescent="0.2">
      <c r="G49" s="119">
        <f t="shared" si="0"/>
        <v>0</v>
      </c>
    </row>
    <row r="50" spans="7:7" x14ac:dyDescent="0.2">
      <c r="G50" s="119">
        <f t="shared" si="0"/>
        <v>0</v>
      </c>
    </row>
    <row r="51" spans="7:7" x14ac:dyDescent="0.2">
      <c r="G51" s="119">
        <f t="shared" si="0"/>
        <v>0</v>
      </c>
    </row>
    <row r="52" spans="7:7" x14ac:dyDescent="0.2">
      <c r="G52" s="119">
        <f t="shared" si="0"/>
        <v>0</v>
      </c>
    </row>
    <row r="53" spans="7:7" x14ac:dyDescent="0.2">
      <c r="G53" s="119">
        <f t="shared" si="0"/>
        <v>0</v>
      </c>
    </row>
    <row r="54" spans="7:7" x14ac:dyDescent="0.2">
      <c r="G54" s="119">
        <f t="shared" si="0"/>
        <v>0</v>
      </c>
    </row>
    <row r="55" spans="7:7" x14ac:dyDescent="0.2">
      <c r="G55" s="119">
        <f t="shared" si="0"/>
        <v>0</v>
      </c>
    </row>
    <row r="56" spans="7:7" x14ac:dyDescent="0.2">
      <c r="G56" s="119">
        <f t="shared" si="0"/>
        <v>0</v>
      </c>
    </row>
    <row r="57" spans="7:7" x14ac:dyDescent="0.2">
      <c r="G57" s="119">
        <f t="shared" si="0"/>
        <v>0</v>
      </c>
    </row>
    <row r="58" spans="7:7" x14ac:dyDescent="0.2">
      <c r="G58" s="119">
        <f t="shared" si="0"/>
        <v>0</v>
      </c>
    </row>
    <row r="59" spans="7:7" x14ac:dyDescent="0.2">
      <c r="G59" s="119">
        <f t="shared" si="0"/>
        <v>0</v>
      </c>
    </row>
    <row r="60" spans="7:7" x14ac:dyDescent="0.2">
      <c r="G60" s="119">
        <f t="shared" si="0"/>
        <v>0</v>
      </c>
    </row>
    <row r="61" spans="7:7" x14ac:dyDescent="0.2">
      <c r="G61" s="119">
        <f t="shared" si="0"/>
        <v>0</v>
      </c>
    </row>
    <row r="62" spans="7:7" x14ac:dyDescent="0.2">
      <c r="G62" s="119">
        <f t="shared" si="0"/>
        <v>0</v>
      </c>
    </row>
    <row r="63" spans="7:7" x14ac:dyDescent="0.2">
      <c r="G63" s="119">
        <f t="shared" si="0"/>
        <v>0</v>
      </c>
    </row>
    <row r="64" spans="7:7" x14ac:dyDescent="0.2">
      <c r="G64" s="119">
        <f t="shared" si="0"/>
        <v>0</v>
      </c>
    </row>
    <row r="65" spans="7:7" x14ac:dyDescent="0.2">
      <c r="G65" s="119">
        <f t="shared" si="0"/>
        <v>0</v>
      </c>
    </row>
    <row r="67" spans="7:7" x14ac:dyDescent="0.2">
      <c r="G67" s="119">
        <f>H67+I67</f>
        <v>0</v>
      </c>
    </row>
    <row r="68" spans="7:7" x14ac:dyDescent="0.2">
      <c r="G68" s="119">
        <f>H68+I68</f>
        <v>0</v>
      </c>
    </row>
    <row r="69" spans="7:7" x14ac:dyDescent="0.2">
      <c r="G69" s="119">
        <f>H69+I69</f>
        <v>0</v>
      </c>
    </row>
    <row r="70" spans="7:7" x14ac:dyDescent="0.2">
      <c r="G70" s="119">
        <f>H70+I70</f>
        <v>0</v>
      </c>
    </row>
    <row r="72" spans="7:7" x14ac:dyDescent="0.2">
      <c r="G72" s="119">
        <f>H72+I72</f>
        <v>0</v>
      </c>
    </row>
    <row r="75" spans="7:7" x14ac:dyDescent="0.2">
      <c r="G75" s="505"/>
    </row>
    <row r="76" spans="7:7" x14ac:dyDescent="0.2">
      <c r="G76" s="424"/>
    </row>
    <row r="112" spans="7:7" x14ac:dyDescent="0.2">
      <c r="G112" s="119">
        <f>H112+I112</f>
        <v>0</v>
      </c>
    </row>
    <row r="114" spans="7:7" x14ac:dyDescent="0.2">
      <c r="G114" s="119">
        <f t="shared" ref="G114:G124" si="1">H114+I114</f>
        <v>0</v>
      </c>
    </row>
    <row r="115" spans="7:7" x14ac:dyDescent="0.2">
      <c r="G115" s="119">
        <f t="shared" si="1"/>
        <v>0</v>
      </c>
    </row>
    <row r="116" spans="7:7" x14ac:dyDescent="0.2">
      <c r="G116" s="119">
        <f t="shared" si="1"/>
        <v>0</v>
      </c>
    </row>
    <row r="117" spans="7:7" x14ac:dyDescent="0.2">
      <c r="G117" s="119">
        <f t="shared" si="1"/>
        <v>0</v>
      </c>
    </row>
    <row r="118" spans="7:7" x14ac:dyDescent="0.2">
      <c r="G118" s="119">
        <f t="shared" si="1"/>
        <v>0</v>
      </c>
    </row>
    <row r="119" spans="7:7" x14ac:dyDescent="0.2">
      <c r="G119" s="119">
        <f t="shared" si="1"/>
        <v>0</v>
      </c>
    </row>
    <row r="120" spans="7:7" x14ac:dyDescent="0.2">
      <c r="G120" s="119">
        <f t="shared" si="1"/>
        <v>0</v>
      </c>
    </row>
    <row r="121" spans="7:7" x14ac:dyDescent="0.2">
      <c r="G121" s="119">
        <f t="shared" si="1"/>
        <v>0</v>
      </c>
    </row>
    <row r="122" spans="7:7" x14ac:dyDescent="0.2">
      <c r="G122" s="119">
        <f t="shared" si="1"/>
        <v>0</v>
      </c>
    </row>
    <row r="123" spans="7:7" x14ac:dyDescent="0.2">
      <c r="G123" s="119">
        <f t="shared" si="1"/>
        <v>0</v>
      </c>
    </row>
    <row r="124" spans="7:7" x14ac:dyDescent="0.2">
      <c r="G124" s="119">
        <f t="shared" si="1"/>
        <v>0</v>
      </c>
    </row>
    <row r="126" spans="7:7" x14ac:dyDescent="0.2">
      <c r="G126" s="119">
        <f>H127+I127</f>
        <v>0</v>
      </c>
    </row>
    <row r="127" spans="7:7" x14ac:dyDescent="0.2">
      <c r="G127" s="119">
        <f t="shared" ref="G127" si="2">H127+I127</f>
        <v>0</v>
      </c>
    </row>
    <row r="128" spans="7:7" x14ac:dyDescent="0.2">
      <c r="G128" s="119">
        <f>H128+I128</f>
        <v>0</v>
      </c>
    </row>
    <row r="129" spans="7:10" x14ac:dyDescent="0.2">
      <c r="G129" s="119">
        <f>H129+I129</f>
        <v>0</v>
      </c>
    </row>
    <row r="130" spans="7:10" x14ac:dyDescent="0.2">
      <c r="G130" s="119">
        <f>H130+I130</f>
        <v>0</v>
      </c>
    </row>
    <row r="131" spans="7:10" x14ac:dyDescent="0.2">
      <c r="G131" s="119">
        <f>H131+I131</f>
        <v>0</v>
      </c>
    </row>
    <row r="136" spans="7:10" ht="46.5" x14ac:dyDescent="0.2">
      <c r="J136" s="405"/>
    </row>
    <row r="139" spans="7:10" ht="46.5" x14ac:dyDescent="0.2">
      <c r="G139" s="405">
        <f>H139+I139</f>
        <v>0</v>
      </c>
      <c r="J139" s="405"/>
    </row>
    <row r="158" spans="11:11" ht="90" x14ac:dyDescent="0.2">
      <c r="K158" s="403" t="b">
        <f>G158=H158+I158</f>
        <v>1</v>
      </c>
    </row>
  </sheetData>
  <mergeCells count="31">
    <mergeCell ref="G75:G76"/>
    <mergeCell ref="B40:B44"/>
    <mergeCell ref="D1:E1"/>
    <mergeCell ref="D2:E2"/>
    <mergeCell ref="D3:E3"/>
    <mergeCell ref="D4:E4"/>
    <mergeCell ref="C29:D29"/>
    <mergeCell ref="C28:D28"/>
    <mergeCell ref="C27:D27"/>
    <mergeCell ref="C26:D26"/>
    <mergeCell ref="C25:D25"/>
    <mergeCell ref="C24:D24"/>
    <mergeCell ref="C23:D23"/>
    <mergeCell ref="C22:D22"/>
    <mergeCell ref="C21:D21"/>
    <mergeCell ref="C20:D20"/>
    <mergeCell ref="C19:D19"/>
    <mergeCell ref="B34:C34"/>
    <mergeCell ref="C18:E18"/>
    <mergeCell ref="C9:E9"/>
    <mergeCell ref="C17:D17"/>
    <mergeCell ref="C16:D16"/>
    <mergeCell ref="C15:D15"/>
    <mergeCell ref="C14:D14"/>
    <mergeCell ref="C13:D13"/>
    <mergeCell ref="A5:E5"/>
    <mergeCell ref="A6:E6"/>
    <mergeCell ref="A7:E7"/>
    <mergeCell ref="C12:D12"/>
    <mergeCell ref="C11:D11"/>
    <mergeCell ref="C10:D10"/>
  </mergeCells>
  <pageMargins left="0.23622047244094491" right="0.31496062992125984" top="0.27559055118110237" bottom="0" header="0.23622047244094491" footer="0.19685039370078741"/>
  <pageSetup paperSize="9" scale="6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58"/>
  <sheetViews>
    <sheetView view="pageBreakPreview" zoomScale="85" zoomScaleNormal="85" zoomScaleSheetLayoutView="85" workbookViewId="0">
      <selection activeCell="G14" sqref="G14"/>
    </sheetView>
  </sheetViews>
  <sheetFormatPr defaultRowHeight="12.75" x14ac:dyDescent="0.2"/>
  <cols>
    <col min="1" max="1" width="6.85546875" customWidth="1"/>
    <col min="2" max="2" width="15.140625" customWidth="1"/>
    <col min="3" max="3" width="15.28515625" customWidth="1"/>
    <col min="4" max="4" width="10.85546875" customWidth="1"/>
    <col min="5" max="5" width="58.140625" customWidth="1"/>
    <col min="6" max="6" width="15.85546875" style="3" customWidth="1"/>
    <col min="11" max="11" width="52.5703125" customWidth="1"/>
  </cols>
  <sheetData>
    <row r="1" spans="1:7" x14ac:dyDescent="0.2">
      <c r="A1" s="147"/>
      <c r="B1" s="147"/>
      <c r="C1" s="147"/>
      <c r="D1" s="147"/>
      <c r="E1" s="147"/>
      <c r="F1" s="148" t="s">
        <v>480</v>
      </c>
    </row>
    <row r="2" spans="1:7" x14ac:dyDescent="0.2">
      <c r="A2" s="147"/>
      <c r="B2" s="147"/>
      <c r="C2" s="147"/>
      <c r="D2" s="147"/>
      <c r="E2" s="147"/>
      <c r="F2" s="148" t="s">
        <v>481</v>
      </c>
    </row>
    <row r="3" spans="1:7" x14ac:dyDescent="0.2">
      <c r="A3" s="147"/>
      <c r="B3" s="147"/>
      <c r="C3" s="147"/>
      <c r="D3" s="147"/>
      <c r="E3" s="147"/>
      <c r="F3" s="148" t="s">
        <v>482</v>
      </c>
    </row>
    <row r="4" spans="1:7" ht="15.75" x14ac:dyDescent="0.25">
      <c r="A4" s="510" t="s">
        <v>483</v>
      </c>
      <c r="B4" s="493"/>
      <c r="C4" s="493"/>
      <c r="D4" s="493"/>
      <c r="E4" s="493"/>
      <c r="F4" s="493"/>
    </row>
    <row r="5" spans="1:7" ht="15.75" x14ac:dyDescent="0.25">
      <c r="A5" s="510" t="s">
        <v>484</v>
      </c>
      <c r="B5" s="493"/>
      <c r="C5" s="493"/>
      <c r="D5" s="493"/>
      <c r="E5" s="493"/>
      <c r="F5" s="493"/>
    </row>
    <row r="6" spans="1:7" ht="15.75" x14ac:dyDescent="0.25">
      <c r="A6" s="511" t="s">
        <v>702</v>
      </c>
      <c r="B6" s="512"/>
      <c r="C6" s="512"/>
      <c r="D6" s="512"/>
      <c r="E6" s="512"/>
      <c r="F6" s="512"/>
    </row>
    <row r="7" spans="1:7" ht="59.25" customHeight="1" x14ac:dyDescent="0.2">
      <c r="A7" s="149" t="s">
        <v>485</v>
      </c>
      <c r="B7" s="150" t="s">
        <v>486</v>
      </c>
      <c r="C7" s="150" t="s">
        <v>38</v>
      </c>
      <c r="D7" s="150" t="s">
        <v>30</v>
      </c>
      <c r="E7" s="149" t="s">
        <v>487</v>
      </c>
      <c r="F7" s="151" t="s">
        <v>705</v>
      </c>
    </row>
    <row r="8" spans="1:7" ht="45" customHeight="1" x14ac:dyDescent="0.2">
      <c r="A8" s="207">
        <v>1</v>
      </c>
      <c r="B8" s="351" t="s">
        <v>466</v>
      </c>
      <c r="C8" s="351" t="s">
        <v>467</v>
      </c>
      <c r="D8" s="351" t="s">
        <v>81</v>
      </c>
      <c r="E8" s="208" t="s">
        <v>618</v>
      </c>
      <c r="F8" s="209">
        <v>116000</v>
      </c>
    </row>
    <row r="9" spans="1:7" ht="91.5" customHeight="1" x14ac:dyDescent="0.2">
      <c r="A9" s="207">
        <v>2</v>
      </c>
      <c r="B9" s="351" t="s">
        <v>466</v>
      </c>
      <c r="C9" s="351" t="s">
        <v>467</v>
      </c>
      <c r="D9" s="351" t="s">
        <v>81</v>
      </c>
      <c r="E9" s="208" t="s">
        <v>718</v>
      </c>
      <c r="F9" s="209">
        <v>130000</v>
      </c>
    </row>
    <row r="10" spans="1:7" ht="89.25" customHeight="1" x14ac:dyDescent="0.2">
      <c r="A10" s="207">
        <v>3</v>
      </c>
      <c r="B10" s="351" t="s">
        <v>466</v>
      </c>
      <c r="C10" s="351" t="s">
        <v>467</v>
      </c>
      <c r="D10" s="351" t="s">
        <v>81</v>
      </c>
      <c r="E10" s="210" t="s">
        <v>717</v>
      </c>
      <c r="F10" s="209">
        <v>115000</v>
      </c>
    </row>
    <row r="11" spans="1:7" ht="80.25" customHeight="1" x14ac:dyDescent="0.2">
      <c r="A11" s="207">
        <v>4</v>
      </c>
      <c r="B11" s="351" t="s">
        <v>466</v>
      </c>
      <c r="C11" s="351" t="s">
        <v>467</v>
      </c>
      <c r="D11" s="351" t="s">
        <v>81</v>
      </c>
      <c r="E11" s="210" t="s">
        <v>719</v>
      </c>
      <c r="F11" s="209">
        <v>39000</v>
      </c>
    </row>
    <row r="12" spans="1:7" ht="78.75" x14ac:dyDescent="0.2">
      <c r="A12" s="207">
        <v>5</v>
      </c>
      <c r="B12" s="351" t="s">
        <v>468</v>
      </c>
      <c r="C12" s="351" t="s">
        <v>469</v>
      </c>
      <c r="D12" s="351" t="s">
        <v>83</v>
      </c>
      <c r="E12" s="210" t="s">
        <v>720</v>
      </c>
      <c r="F12" s="209">
        <v>100000</v>
      </c>
    </row>
    <row r="13" spans="1:7" ht="15.75" x14ac:dyDescent="0.2">
      <c r="A13" s="513" t="s">
        <v>488</v>
      </c>
      <c r="B13" s="514"/>
      <c r="C13" s="514"/>
      <c r="D13" s="514"/>
      <c r="E13" s="515"/>
      <c r="F13" s="176">
        <f>SUM(F8:F12)</f>
        <v>500000</v>
      </c>
      <c r="G13" s="152" t="b">
        <f>F13='dod3'!P147</f>
        <v>1</v>
      </c>
    </row>
    <row r="14" spans="1:7" s="3" customFormat="1" ht="15.75" x14ac:dyDescent="0.2">
      <c r="A14" s="155"/>
      <c r="B14" s="155"/>
      <c r="C14" s="155"/>
      <c r="D14" s="155"/>
      <c r="E14" s="155"/>
      <c r="F14" s="156"/>
      <c r="G14" s="3">
        <f>H14+I14</f>
        <v>0</v>
      </c>
    </row>
    <row r="15" spans="1:7" s="3" customFormat="1" ht="15.75" x14ac:dyDescent="0.2">
      <c r="A15" s="517" t="s">
        <v>657</v>
      </c>
      <c r="B15" s="518"/>
      <c r="C15" s="518"/>
      <c r="D15" s="518"/>
      <c r="E15" s="239"/>
      <c r="F15" s="241" t="s">
        <v>655</v>
      </c>
    </row>
    <row r="16" spans="1:7" s="3" customFormat="1" ht="15.75" x14ac:dyDescent="0.2">
      <c r="A16" s="242"/>
      <c r="B16" s="242"/>
      <c r="C16" s="242"/>
      <c r="D16" s="242"/>
      <c r="E16" s="239"/>
      <c r="F16" s="240"/>
      <c r="G16" s="3">
        <f>H16+I16</f>
        <v>0</v>
      </c>
    </row>
    <row r="17" spans="1:7" ht="15.75" x14ac:dyDescent="0.25">
      <c r="A17" s="519" t="s">
        <v>658</v>
      </c>
      <c r="B17" s="519"/>
      <c r="C17" s="519"/>
      <c r="D17" s="519"/>
      <c r="E17" s="153"/>
      <c r="F17" s="238" t="s">
        <v>489</v>
      </c>
    </row>
    <row r="18" spans="1:7" ht="15.75" x14ac:dyDescent="0.2">
      <c r="A18" s="516"/>
      <c r="B18" s="516"/>
      <c r="C18" s="516"/>
      <c r="D18" s="516"/>
      <c r="E18" s="516"/>
      <c r="F18" s="154"/>
      <c r="G18">
        <f>SUM(G19:G29)</f>
        <v>0</v>
      </c>
    </row>
    <row r="19" spans="1:7" x14ac:dyDescent="0.2">
      <c r="G19">
        <f>H19+I19</f>
        <v>0</v>
      </c>
    </row>
    <row r="20" spans="1:7" x14ac:dyDescent="0.2">
      <c r="G20">
        <f>H20+I20</f>
        <v>0</v>
      </c>
    </row>
    <row r="21" spans="1:7" x14ac:dyDescent="0.2">
      <c r="G21">
        <f>H21+I21</f>
        <v>0</v>
      </c>
    </row>
    <row r="22" spans="1:7" x14ac:dyDescent="0.2">
      <c r="G22">
        <f>H22+I22</f>
        <v>0</v>
      </c>
    </row>
    <row r="23" spans="1:7" x14ac:dyDescent="0.2">
      <c r="G23">
        <f>H23+I23</f>
        <v>0</v>
      </c>
    </row>
    <row r="24" spans="1:7" x14ac:dyDescent="0.2">
      <c r="E24" s="3"/>
    </row>
    <row r="45" spans="7:7" x14ac:dyDescent="0.2">
      <c r="G45">
        <f>H45+I45</f>
        <v>0</v>
      </c>
    </row>
    <row r="47" spans="7:7" x14ac:dyDescent="0.2">
      <c r="G47">
        <f t="shared" ref="G47:G65" si="0">H47+I47</f>
        <v>0</v>
      </c>
    </row>
    <row r="48" spans="7:7" x14ac:dyDescent="0.2">
      <c r="G48">
        <f t="shared" si="0"/>
        <v>0</v>
      </c>
    </row>
    <row r="49" spans="7:7" x14ac:dyDescent="0.2">
      <c r="G49">
        <f t="shared" si="0"/>
        <v>0</v>
      </c>
    </row>
    <row r="50" spans="7:7" x14ac:dyDescent="0.2">
      <c r="G50">
        <f t="shared" si="0"/>
        <v>0</v>
      </c>
    </row>
    <row r="51" spans="7:7" x14ac:dyDescent="0.2">
      <c r="G51">
        <f t="shared" si="0"/>
        <v>0</v>
      </c>
    </row>
    <row r="52" spans="7:7" x14ac:dyDescent="0.2">
      <c r="G52">
        <f t="shared" si="0"/>
        <v>0</v>
      </c>
    </row>
    <row r="53" spans="7:7" x14ac:dyDescent="0.2">
      <c r="G53">
        <f t="shared" si="0"/>
        <v>0</v>
      </c>
    </row>
    <row r="54" spans="7:7" x14ac:dyDescent="0.2">
      <c r="G54">
        <f t="shared" si="0"/>
        <v>0</v>
      </c>
    </row>
    <row r="55" spans="7:7" x14ac:dyDescent="0.2">
      <c r="G55">
        <f t="shared" si="0"/>
        <v>0</v>
      </c>
    </row>
    <row r="56" spans="7:7" x14ac:dyDescent="0.2">
      <c r="G56">
        <f t="shared" si="0"/>
        <v>0</v>
      </c>
    </row>
    <row r="57" spans="7:7" x14ac:dyDescent="0.2">
      <c r="G57">
        <f t="shared" si="0"/>
        <v>0</v>
      </c>
    </row>
    <row r="58" spans="7:7" x14ac:dyDescent="0.2">
      <c r="G58">
        <f t="shared" si="0"/>
        <v>0</v>
      </c>
    </row>
    <row r="59" spans="7:7" x14ac:dyDescent="0.2">
      <c r="G59">
        <f t="shared" si="0"/>
        <v>0</v>
      </c>
    </row>
    <row r="60" spans="7:7" x14ac:dyDescent="0.2">
      <c r="G60">
        <f t="shared" si="0"/>
        <v>0</v>
      </c>
    </row>
    <row r="61" spans="7:7" x14ac:dyDescent="0.2">
      <c r="G61">
        <f t="shared" si="0"/>
        <v>0</v>
      </c>
    </row>
    <row r="62" spans="7:7" x14ac:dyDescent="0.2">
      <c r="G62">
        <f t="shared" si="0"/>
        <v>0</v>
      </c>
    </row>
    <row r="63" spans="7:7" x14ac:dyDescent="0.2">
      <c r="G63">
        <f t="shared" si="0"/>
        <v>0</v>
      </c>
    </row>
    <row r="64" spans="7:7" x14ac:dyDescent="0.2">
      <c r="G64">
        <f t="shared" si="0"/>
        <v>0</v>
      </c>
    </row>
    <row r="65" spans="7:7" x14ac:dyDescent="0.2">
      <c r="G65">
        <f t="shared" si="0"/>
        <v>0</v>
      </c>
    </row>
    <row r="67" spans="7:7" x14ac:dyDescent="0.2">
      <c r="G67">
        <f>H67+I67</f>
        <v>0</v>
      </c>
    </row>
    <row r="68" spans="7:7" x14ac:dyDescent="0.2">
      <c r="G68">
        <f>H68+I68</f>
        <v>0</v>
      </c>
    </row>
    <row r="69" spans="7:7" x14ac:dyDescent="0.2">
      <c r="G69">
        <f>H69+I69</f>
        <v>0</v>
      </c>
    </row>
    <row r="70" spans="7:7" x14ac:dyDescent="0.2">
      <c r="G70">
        <f>H70+I70</f>
        <v>0</v>
      </c>
    </row>
    <row r="72" spans="7:7" x14ac:dyDescent="0.2">
      <c r="G72">
        <f>H72+I72</f>
        <v>0</v>
      </c>
    </row>
    <row r="75" spans="7:7" x14ac:dyDescent="0.2">
      <c r="G75" s="424"/>
    </row>
    <row r="76" spans="7:7" x14ac:dyDescent="0.2">
      <c r="G76" s="424"/>
    </row>
    <row r="112" spans="7:7" x14ac:dyDescent="0.2">
      <c r="G112">
        <f>H112+I112</f>
        <v>0</v>
      </c>
    </row>
    <row r="114" spans="7:7" x14ac:dyDescent="0.2">
      <c r="G114">
        <f t="shared" ref="G114:G124" si="1">H114+I114</f>
        <v>0</v>
      </c>
    </row>
    <row r="115" spans="7:7" x14ac:dyDescent="0.2">
      <c r="G115">
        <f t="shared" si="1"/>
        <v>0</v>
      </c>
    </row>
    <row r="116" spans="7:7" x14ac:dyDescent="0.2">
      <c r="G116">
        <f t="shared" si="1"/>
        <v>0</v>
      </c>
    </row>
    <row r="117" spans="7:7" x14ac:dyDescent="0.2">
      <c r="G117">
        <f t="shared" si="1"/>
        <v>0</v>
      </c>
    </row>
    <row r="118" spans="7:7" x14ac:dyDescent="0.2">
      <c r="G118">
        <f t="shared" si="1"/>
        <v>0</v>
      </c>
    </row>
    <row r="119" spans="7:7" x14ac:dyDescent="0.2">
      <c r="G119">
        <f t="shared" si="1"/>
        <v>0</v>
      </c>
    </row>
    <row r="120" spans="7:7" x14ac:dyDescent="0.2">
      <c r="G120">
        <f t="shared" si="1"/>
        <v>0</v>
      </c>
    </row>
    <row r="121" spans="7:7" x14ac:dyDescent="0.2">
      <c r="G121">
        <f t="shared" si="1"/>
        <v>0</v>
      </c>
    </row>
    <row r="122" spans="7:7" x14ac:dyDescent="0.2">
      <c r="G122">
        <f t="shared" si="1"/>
        <v>0</v>
      </c>
    </row>
    <row r="123" spans="7:7" x14ac:dyDescent="0.2">
      <c r="G123">
        <f t="shared" si="1"/>
        <v>0</v>
      </c>
    </row>
    <row r="124" spans="7:7" x14ac:dyDescent="0.2">
      <c r="G124">
        <f t="shared" si="1"/>
        <v>0</v>
      </c>
    </row>
    <row r="126" spans="7:7" x14ac:dyDescent="0.2">
      <c r="G126">
        <f>H127+I127</f>
        <v>0</v>
      </c>
    </row>
    <row r="127" spans="7:7" x14ac:dyDescent="0.2">
      <c r="G127">
        <f t="shared" ref="G127" si="2">H127+I127</f>
        <v>0</v>
      </c>
    </row>
    <row r="128" spans="7:7" x14ac:dyDescent="0.2">
      <c r="G128">
        <f>H128+I128</f>
        <v>0</v>
      </c>
    </row>
    <row r="129" spans="7:10" x14ac:dyDescent="0.2">
      <c r="G129">
        <f>H129+I129</f>
        <v>0</v>
      </c>
    </row>
    <row r="130" spans="7:10" x14ac:dyDescent="0.2">
      <c r="G130">
        <f>H130+I130</f>
        <v>0</v>
      </c>
    </row>
    <row r="131" spans="7:10" x14ac:dyDescent="0.2">
      <c r="G131">
        <f>H131+I131</f>
        <v>0</v>
      </c>
    </row>
    <row r="136" spans="7:10" ht="46.5" x14ac:dyDescent="0.65">
      <c r="J136" s="227"/>
    </row>
    <row r="139" spans="7:10" ht="46.5" x14ac:dyDescent="0.65">
      <c r="G139" s="227">
        <f>H139+I139</f>
        <v>0</v>
      </c>
      <c r="J139" s="227"/>
    </row>
    <row r="158" spans="11:11" ht="90" x14ac:dyDescent="1.1499999999999999">
      <c r="K158" s="402" t="b">
        <f>G158=H158+I158</f>
        <v>1</v>
      </c>
    </row>
  </sheetData>
  <mergeCells count="8">
    <mergeCell ref="G75:G76"/>
    <mergeCell ref="A4:F4"/>
    <mergeCell ref="A5:F5"/>
    <mergeCell ref="A6:F6"/>
    <mergeCell ref="A13:E13"/>
    <mergeCell ref="A18:E18"/>
    <mergeCell ref="A15:D15"/>
    <mergeCell ref="A17:D17"/>
  </mergeCells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75"/>
  <sheetViews>
    <sheetView view="pageBreakPreview" zoomScale="25" zoomScaleNormal="25" zoomScaleSheetLayoutView="25" zoomScalePageLayoutView="10" workbookViewId="0">
      <pane ySplit="10" topLeftCell="A147" activePane="bottomLeft" state="frozen"/>
      <selection activeCell="K153" sqref="K153"/>
      <selection pane="bottomLeft" activeCell="H124" sqref="H124:H125"/>
    </sheetView>
  </sheetViews>
  <sheetFormatPr defaultRowHeight="12.75" x14ac:dyDescent="0.2"/>
  <cols>
    <col min="1" max="1" width="48" style="1" customWidth="1"/>
    <col min="2" max="2" width="52.5703125" style="1" customWidth="1"/>
    <col min="3" max="3" width="65.7109375" style="1" customWidth="1"/>
    <col min="4" max="4" width="106.28515625" style="1" customWidth="1"/>
    <col min="5" max="5" width="113.85546875" style="6" customWidth="1"/>
    <col min="6" max="6" width="114" style="1" customWidth="1"/>
    <col min="7" max="7" width="55.42578125" style="1" customWidth="1"/>
    <col min="8" max="8" width="89.85546875" style="1" customWidth="1"/>
    <col min="9" max="9" width="71.85546875" style="1" customWidth="1"/>
    <col min="10" max="10" width="86.28515625" style="6" customWidth="1"/>
    <col min="11" max="11" width="52.5703125" customWidth="1"/>
    <col min="12" max="12" width="29.28515625" bestFit="1" customWidth="1"/>
    <col min="13" max="13" width="29.85546875" bestFit="1" customWidth="1"/>
  </cols>
  <sheetData>
    <row r="1" spans="1:13" ht="45.75" x14ac:dyDescent="0.2">
      <c r="D1" s="253"/>
      <c r="E1" s="254"/>
      <c r="F1" s="252"/>
      <c r="G1" s="254"/>
      <c r="H1" s="254"/>
      <c r="I1" s="459" t="s">
        <v>708</v>
      </c>
      <c r="J1" s="459"/>
    </row>
    <row r="2" spans="1:13" ht="45.75" x14ac:dyDescent="0.2">
      <c r="A2" s="253"/>
      <c r="B2" s="253"/>
      <c r="C2" s="253"/>
      <c r="D2" s="253"/>
      <c r="E2" s="254"/>
      <c r="F2" s="252"/>
      <c r="G2" s="254"/>
      <c r="H2" s="254"/>
      <c r="I2" s="459" t="s">
        <v>629</v>
      </c>
      <c r="J2" s="460"/>
    </row>
    <row r="3" spans="1:13" ht="40.5" customHeight="1" x14ac:dyDescent="0.2">
      <c r="A3" s="253"/>
      <c r="B3" s="253"/>
      <c r="C3" s="253"/>
      <c r="D3" s="253"/>
      <c r="E3" s="254"/>
      <c r="F3" s="252"/>
      <c r="G3" s="254"/>
      <c r="H3" s="254"/>
      <c r="I3" s="459"/>
      <c r="J3" s="460"/>
    </row>
    <row r="4" spans="1:13" ht="45.75" hidden="1" x14ac:dyDescent="0.2">
      <c r="A4" s="253"/>
      <c r="B4" s="253"/>
      <c r="C4" s="253"/>
      <c r="D4" s="253"/>
      <c r="E4" s="254"/>
      <c r="F4" s="252"/>
      <c r="G4" s="254"/>
      <c r="H4" s="254"/>
      <c r="I4" s="253"/>
      <c r="J4" s="252"/>
    </row>
    <row r="5" spans="1:13" ht="45" x14ac:dyDescent="0.2">
      <c r="A5" s="462" t="s">
        <v>703</v>
      </c>
      <c r="B5" s="462"/>
      <c r="C5" s="462"/>
      <c r="D5" s="462"/>
      <c r="E5" s="462"/>
      <c r="F5" s="462"/>
      <c r="G5" s="462"/>
      <c r="H5" s="462"/>
      <c r="I5" s="462"/>
      <c r="J5" s="462"/>
    </row>
    <row r="6" spans="1:13" ht="45" x14ac:dyDescent="0.2">
      <c r="A6" s="462"/>
      <c r="B6" s="462"/>
      <c r="C6" s="462"/>
      <c r="D6" s="462"/>
      <c r="E6" s="462"/>
      <c r="F6" s="462"/>
      <c r="G6" s="462"/>
      <c r="H6" s="462"/>
      <c r="I6" s="462"/>
      <c r="J6" s="462"/>
    </row>
    <row r="7" spans="1:13" ht="53.25" customHeight="1" x14ac:dyDescent="0.2">
      <c r="A7" s="254"/>
      <c r="B7" s="254"/>
      <c r="C7" s="254"/>
      <c r="D7" s="254"/>
      <c r="E7" s="254"/>
      <c r="F7" s="252"/>
      <c r="G7" s="254"/>
      <c r="H7" s="254"/>
      <c r="I7" s="254"/>
      <c r="J7" s="11" t="s">
        <v>672</v>
      </c>
    </row>
    <row r="8" spans="1:13" ht="62.25" customHeight="1" x14ac:dyDescent="0.2">
      <c r="A8" s="464" t="s">
        <v>29</v>
      </c>
      <c r="B8" s="464" t="s">
        <v>675</v>
      </c>
      <c r="C8" s="464" t="s">
        <v>682</v>
      </c>
      <c r="D8" s="464" t="s">
        <v>676</v>
      </c>
      <c r="E8" s="464" t="s">
        <v>707</v>
      </c>
      <c r="F8" s="464" t="s">
        <v>709</v>
      </c>
      <c r="G8" s="464" t="s">
        <v>667</v>
      </c>
      <c r="H8" s="464" t="s">
        <v>25</v>
      </c>
      <c r="I8" s="468" t="s">
        <v>84</v>
      </c>
      <c r="J8" s="470"/>
    </row>
    <row r="9" spans="1:13" ht="409.6" customHeight="1" x14ac:dyDescent="0.2">
      <c r="A9" s="465"/>
      <c r="B9" s="467"/>
      <c r="C9" s="467"/>
      <c r="D9" s="465"/>
      <c r="E9" s="465"/>
      <c r="F9" s="465"/>
      <c r="G9" s="465"/>
      <c r="H9" s="465"/>
      <c r="I9" s="272" t="s">
        <v>668</v>
      </c>
      <c r="J9" s="272" t="s">
        <v>669</v>
      </c>
    </row>
    <row r="10" spans="1:13" s="2" customFormat="1" ht="111" customHeight="1" x14ac:dyDescent="0.2">
      <c r="A10" s="12" t="s">
        <v>4</v>
      </c>
      <c r="B10" s="12" t="s">
        <v>5</v>
      </c>
      <c r="C10" s="12" t="s">
        <v>27</v>
      </c>
      <c r="D10" s="12" t="s">
        <v>7</v>
      </c>
      <c r="E10" s="12" t="s">
        <v>685</v>
      </c>
      <c r="F10" s="12" t="s">
        <v>686</v>
      </c>
      <c r="G10" s="12" t="s">
        <v>687</v>
      </c>
      <c r="H10" s="12" t="s">
        <v>688</v>
      </c>
      <c r="I10" s="12" t="s">
        <v>689</v>
      </c>
      <c r="J10" s="12" t="s">
        <v>690</v>
      </c>
    </row>
    <row r="11" spans="1:13" s="2" customFormat="1" ht="135" x14ac:dyDescent="0.2">
      <c r="A11" s="290" t="s">
        <v>235</v>
      </c>
      <c r="B11" s="290"/>
      <c r="C11" s="290"/>
      <c r="D11" s="355" t="s">
        <v>237</v>
      </c>
      <c r="E11" s="373"/>
      <c r="F11" s="386"/>
      <c r="G11" s="373">
        <f>G12</f>
        <v>8351400</v>
      </c>
      <c r="H11" s="373">
        <f t="shared" ref="H11:J11" si="0">H12</f>
        <v>6751400</v>
      </c>
      <c r="I11" s="373">
        <f t="shared" si="0"/>
        <v>1600000</v>
      </c>
      <c r="J11" s="373">
        <f t="shared" si="0"/>
        <v>1600000</v>
      </c>
    </row>
    <row r="12" spans="1:13" s="2" customFormat="1" ht="135" x14ac:dyDescent="0.2">
      <c r="A12" s="294" t="s">
        <v>236</v>
      </c>
      <c r="B12" s="294"/>
      <c r="C12" s="294"/>
      <c r="D12" s="356" t="s">
        <v>238</v>
      </c>
      <c r="E12" s="292"/>
      <c r="F12" s="292"/>
      <c r="G12" s="292">
        <f>SUM(G13:G16)</f>
        <v>8351400</v>
      </c>
      <c r="H12" s="292">
        <f t="shared" ref="H12:J12" si="1">SUM(H13:H16)</f>
        <v>6751400</v>
      </c>
      <c r="I12" s="292">
        <f t="shared" si="1"/>
        <v>1600000</v>
      </c>
      <c r="J12" s="292">
        <f t="shared" si="1"/>
        <v>1600000</v>
      </c>
    </row>
    <row r="13" spans="1:13" ht="320.25" x14ac:dyDescent="0.2">
      <c r="A13" s="343" t="s">
        <v>340</v>
      </c>
      <c r="B13" s="343" t="s">
        <v>341</v>
      </c>
      <c r="C13" s="343" t="s">
        <v>342</v>
      </c>
      <c r="D13" s="343" t="s">
        <v>339</v>
      </c>
      <c r="E13" s="334" t="s">
        <v>775</v>
      </c>
      <c r="F13" s="346" t="s">
        <v>774</v>
      </c>
      <c r="G13" s="346">
        <f>H13+I13</f>
        <v>100000</v>
      </c>
      <c r="H13" s="133"/>
      <c r="I13" s="346">
        <f>'dod3'!J14-110000</f>
        <v>100000</v>
      </c>
      <c r="J13" s="346">
        <f>'dod3'!K14-110000</f>
        <v>100000</v>
      </c>
    </row>
    <row r="14" spans="1:13" ht="228.75" x14ac:dyDescent="0.2">
      <c r="A14" s="343" t="s">
        <v>346</v>
      </c>
      <c r="B14" s="343" t="s">
        <v>347</v>
      </c>
      <c r="C14" s="343" t="s">
        <v>348</v>
      </c>
      <c r="D14" s="343" t="s">
        <v>345</v>
      </c>
      <c r="E14" s="334" t="s">
        <v>775</v>
      </c>
      <c r="F14" s="346" t="s">
        <v>774</v>
      </c>
      <c r="G14" s="346">
        <f>H14+I14</f>
        <v>4736400</v>
      </c>
      <c r="H14" s="346">
        <f>'dod3'!E16</f>
        <v>3236400</v>
      </c>
      <c r="I14" s="346">
        <f>'dod3'!J16</f>
        <v>1500000</v>
      </c>
      <c r="J14" s="346">
        <f>'dod3'!K16</f>
        <v>1500000</v>
      </c>
      <c r="K14" s="295" t="b">
        <f>H14='dod3'!E16</f>
        <v>1</v>
      </c>
      <c r="L14" s="295" t="b">
        <f>I14='dod3'!J16</f>
        <v>1</v>
      </c>
      <c r="M14" s="296" t="b">
        <f>J14='dod3'!K16</f>
        <v>1</v>
      </c>
    </row>
    <row r="15" spans="1:13" ht="91.5" hidden="1" x14ac:dyDescent="0.2">
      <c r="A15" s="256" t="s">
        <v>499</v>
      </c>
      <c r="B15" s="255" t="s">
        <v>294</v>
      </c>
      <c r="C15" s="255" t="s">
        <v>257</v>
      </c>
      <c r="D15" s="256" t="s">
        <v>57</v>
      </c>
      <c r="E15" s="257"/>
      <c r="F15" s="259"/>
      <c r="G15" s="346">
        <f t="shared" ref="G15" si="2">H15+I15</f>
        <v>0</v>
      </c>
      <c r="H15" s="259"/>
      <c r="I15" s="259"/>
      <c r="J15" s="347"/>
    </row>
    <row r="16" spans="1:13" ht="279" x14ac:dyDescent="0.2">
      <c r="A16" s="343" t="s">
        <v>349</v>
      </c>
      <c r="B16" s="343" t="s">
        <v>350</v>
      </c>
      <c r="C16" s="343" t="s">
        <v>351</v>
      </c>
      <c r="D16" s="342" t="s">
        <v>352</v>
      </c>
      <c r="E16" s="346" t="s">
        <v>777</v>
      </c>
      <c r="F16" s="346" t="s">
        <v>776</v>
      </c>
      <c r="G16" s="346">
        <f>H16+I16</f>
        <v>3515000</v>
      </c>
      <c r="H16" s="346">
        <f>'dod3'!E20</f>
        <v>3515000</v>
      </c>
      <c r="I16" s="346">
        <f>'dod3'!J20</f>
        <v>0</v>
      </c>
      <c r="J16" s="346">
        <f>'dod3'!K20</f>
        <v>0</v>
      </c>
      <c r="K16" s="295" t="b">
        <f>H16='dod3'!E20</f>
        <v>1</v>
      </c>
      <c r="L16" s="295" t="b">
        <f>I16='dod3'!J20</f>
        <v>1</v>
      </c>
      <c r="M16" s="296" t="b">
        <f>J16='dod3'!K20</f>
        <v>1</v>
      </c>
    </row>
    <row r="17" spans="1:13" ht="135" x14ac:dyDescent="0.2">
      <c r="A17" s="290" t="s">
        <v>239</v>
      </c>
      <c r="B17" s="290"/>
      <c r="C17" s="290"/>
      <c r="D17" s="355" t="s">
        <v>0</v>
      </c>
      <c r="E17" s="291"/>
      <c r="F17" s="292"/>
      <c r="G17" s="291">
        <f>G18</f>
        <v>1071375283</v>
      </c>
      <c r="H17" s="291">
        <f t="shared" ref="H17:J17" si="3">H18</f>
        <v>955304293</v>
      </c>
      <c r="I17" s="291">
        <f t="shared" si="3"/>
        <v>116070990</v>
      </c>
      <c r="J17" s="291">
        <f t="shared" si="3"/>
        <v>13109000</v>
      </c>
      <c r="K17" s="295" t="b">
        <f>H17='dod3'!E23</f>
        <v>1</v>
      </c>
      <c r="L17" s="295" t="b">
        <f>I17='dod3'!J23</f>
        <v>1</v>
      </c>
      <c r="M17" s="296" t="b">
        <f>J17='dod3'!K22</f>
        <v>1</v>
      </c>
    </row>
    <row r="18" spans="1:13" ht="135" x14ac:dyDescent="0.2">
      <c r="A18" s="294" t="s">
        <v>240</v>
      </c>
      <c r="B18" s="294"/>
      <c r="C18" s="294"/>
      <c r="D18" s="356" t="s">
        <v>1</v>
      </c>
      <c r="E18" s="357"/>
      <c r="F18" s="292"/>
      <c r="G18" s="292">
        <f>SUM(G19:G29)</f>
        <v>1071375283</v>
      </c>
      <c r="H18" s="292">
        <f t="shared" ref="H18:J18" si="4">SUM(H19:H29)</f>
        <v>955304293</v>
      </c>
      <c r="I18" s="292">
        <f t="shared" si="4"/>
        <v>116070990</v>
      </c>
      <c r="J18" s="292">
        <f t="shared" si="4"/>
        <v>13109000</v>
      </c>
    </row>
    <row r="19" spans="1:13" ht="145.5" customHeight="1" x14ac:dyDescent="0.2">
      <c r="A19" s="343" t="s">
        <v>297</v>
      </c>
      <c r="B19" s="343" t="s">
        <v>298</v>
      </c>
      <c r="C19" s="343" t="s">
        <v>300</v>
      </c>
      <c r="D19" s="343" t="s">
        <v>301</v>
      </c>
      <c r="E19" s="334" t="s">
        <v>789</v>
      </c>
      <c r="F19" s="346" t="s">
        <v>746</v>
      </c>
      <c r="G19" s="346">
        <f>H19+I19</f>
        <v>301968700</v>
      </c>
      <c r="H19" s="346">
        <f>'dod3'!E24</f>
        <v>259096280</v>
      </c>
      <c r="I19" s="346">
        <f>'dod3'!J24</f>
        <v>42872420</v>
      </c>
      <c r="J19" s="346">
        <f>'dod3'!K24</f>
        <v>2752000</v>
      </c>
    </row>
    <row r="20" spans="1:13" ht="366" x14ac:dyDescent="0.2">
      <c r="A20" s="343" t="s">
        <v>303</v>
      </c>
      <c r="B20" s="343" t="s">
        <v>299</v>
      </c>
      <c r="C20" s="343" t="s">
        <v>304</v>
      </c>
      <c r="D20" s="343" t="s">
        <v>302</v>
      </c>
      <c r="E20" s="334" t="s">
        <v>789</v>
      </c>
      <c r="F20" s="346" t="s">
        <v>746</v>
      </c>
      <c r="G20" s="346">
        <f>H20+I20</f>
        <v>571724927</v>
      </c>
      <c r="H20" s="346">
        <f>'dod3'!E25-H21</f>
        <v>526756567</v>
      </c>
      <c r="I20" s="346">
        <f>'dod3'!J25-I21</f>
        <v>44968360</v>
      </c>
      <c r="J20" s="346">
        <f>'dod3'!K25-J21</f>
        <v>3021000</v>
      </c>
    </row>
    <row r="21" spans="1:13" ht="366" x14ac:dyDescent="0.2">
      <c r="A21" s="343" t="s">
        <v>303</v>
      </c>
      <c r="B21" s="343" t="s">
        <v>299</v>
      </c>
      <c r="C21" s="343" t="s">
        <v>304</v>
      </c>
      <c r="D21" s="343" t="s">
        <v>302</v>
      </c>
      <c r="E21" s="334" t="s">
        <v>790</v>
      </c>
      <c r="F21" s="335" t="s">
        <v>732</v>
      </c>
      <c r="G21" s="346">
        <f>H21+I21</f>
        <v>4532500</v>
      </c>
      <c r="H21" s="346">
        <v>4532500</v>
      </c>
      <c r="I21" s="346"/>
      <c r="J21" s="346"/>
    </row>
    <row r="22" spans="1:13" ht="366" x14ac:dyDescent="0.2">
      <c r="A22" s="343" t="s">
        <v>307</v>
      </c>
      <c r="B22" s="343" t="s">
        <v>306</v>
      </c>
      <c r="C22" s="343" t="s">
        <v>308</v>
      </c>
      <c r="D22" s="343" t="s">
        <v>32</v>
      </c>
      <c r="E22" s="334" t="s">
        <v>789</v>
      </c>
      <c r="F22" s="346" t="s">
        <v>746</v>
      </c>
      <c r="G22" s="346">
        <f>H22+I22</f>
        <v>16914606</v>
      </c>
      <c r="H22" s="346">
        <f>'dod3'!E26-H23</f>
        <v>16855606</v>
      </c>
      <c r="I22" s="346">
        <f>'dod3'!J26-I23</f>
        <v>59000</v>
      </c>
      <c r="J22" s="346">
        <f>'dod3'!K26-J23</f>
        <v>9000</v>
      </c>
    </row>
    <row r="23" spans="1:13" ht="366" x14ac:dyDescent="0.2">
      <c r="A23" s="343" t="s">
        <v>307</v>
      </c>
      <c r="B23" s="343" t="s">
        <v>306</v>
      </c>
      <c r="C23" s="343" t="s">
        <v>308</v>
      </c>
      <c r="D23" s="343" t="s">
        <v>32</v>
      </c>
      <c r="E23" s="334" t="s">
        <v>790</v>
      </c>
      <c r="F23" s="335" t="s">
        <v>732</v>
      </c>
      <c r="G23" s="346">
        <f>H23+I23</f>
        <v>20000</v>
      </c>
      <c r="H23" s="346">
        <v>20000</v>
      </c>
      <c r="I23" s="346"/>
      <c r="J23" s="346"/>
    </row>
    <row r="24" spans="1:13" ht="183" x14ac:dyDescent="0.2">
      <c r="A24" s="343" t="s">
        <v>309</v>
      </c>
      <c r="B24" s="343" t="s">
        <v>288</v>
      </c>
      <c r="C24" s="343" t="s">
        <v>276</v>
      </c>
      <c r="D24" s="343" t="s">
        <v>33</v>
      </c>
      <c r="E24" s="334" t="s">
        <v>789</v>
      </c>
      <c r="F24" s="346" t="s">
        <v>746</v>
      </c>
      <c r="G24" s="346">
        <f>H24+I24</f>
        <v>34367607</v>
      </c>
      <c r="H24" s="346">
        <f>'dod3'!E27</f>
        <v>27335937</v>
      </c>
      <c r="I24" s="346">
        <f>'dod3'!J27</f>
        <v>7031670</v>
      </c>
      <c r="J24" s="346">
        <f>'dod3'!K27</f>
        <v>2318000</v>
      </c>
    </row>
    <row r="25" spans="1:13" ht="139.5" x14ac:dyDescent="0.2">
      <c r="A25" s="343" t="s">
        <v>310</v>
      </c>
      <c r="B25" s="343" t="s">
        <v>311</v>
      </c>
      <c r="C25" s="343" t="s">
        <v>312</v>
      </c>
      <c r="D25" s="343" t="s">
        <v>313</v>
      </c>
      <c r="E25" s="334" t="s">
        <v>789</v>
      </c>
      <c r="F25" s="346" t="s">
        <v>746</v>
      </c>
      <c r="G25" s="346">
        <f>H25+I25</f>
        <v>115471630</v>
      </c>
      <c r="H25" s="346">
        <f>'dod3'!E28</f>
        <v>99743470</v>
      </c>
      <c r="I25" s="346">
        <f>'dod3'!J28</f>
        <v>15728160</v>
      </c>
      <c r="J25" s="346">
        <f>'dod3'!K28</f>
        <v>0</v>
      </c>
    </row>
    <row r="26" spans="1:13" ht="139.5" x14ac:dyDescent="0.2">
      <c r="A26" s="343" t="s">
        <v>315</v>
      </c>
      <c r="B26" s="343" t="s">
        <v>316</v>
      </c>
      <c r="C26" s="343" t="s">
        <v>317</v>
      </c>
      <c r="D26" s="343" t="s">
        <v>314</v>
      </c>
      <c r="E26" s="334" t="s">
        <v>789</v>
      </c>
      <c r="F26" s="346" t="s">
        <v>746</v>
      </c>
      <c r="G26" s="346">
        <f>H26+I26</f>
        <v>4678106</v>
      </c>
      <c r="H26" s="346">
        <f>'dod3'!E29</f>
        <v>4604366</v>
      </c>
      <c r="I26" s="346">
        <f>'dod3'!J29</f>
        <v>73740</v>
      </c>
      <c r="J26" s="346">
        <f>'dod3'!K29</f>
        <v>0</v>
      </c>
    </row>
    <row r="27" spans="1:13" ht="175.5" customHeight="1" x14ac:dyDescent="0.2">
      <c r="A27" s="342" t="s">
        <v>506</v>
      </c>
      <c r="B27" s="343" t="s">
        <v>507</v>
      </c>
      <c r="C27" s="343" t="s">
        <v>317</v>
      </c>
      <c r="D27" s="343" t="s">
        <v>505</v>
      </c>
      <c r="E27" s="334" t="s">
        <v>789</v>
      </c>
      <c r="F27" s="346" t="s">
        <v>746</v>
      </c>
      <c r="G27" s="346">
        <f>H27+I27</f>
        <v>16548247</v>
      </c>
      <c r="H27" s="346">
        <f>'dod3'!E30</f>
        <v>16210607</v>
      </c>
      <c r="I27" s="346">
        <f>'dod3'!J30</f>
        <v>337640</v>
      </c>
      <c r="J27" s="346">
        <f>'dod3'!K30</f>
        <v>9000</v>
      </c>
    </row>
    <row r="28" spans="1:13" ht="172.5" customHeight="1" x14ac:dyDescent="0.2">
      <c r="A28" s="342" t="s">
        <v>539</v>
      </c>
      <c r="B28" s="343" t="s">
        <v>540</v>
      </c>
      <c r="C28" s="343" t="s">
        <v>317</v>
      </c>
      <c r="D28" s="343" t="s">
        <v>538</v>
      </c>
      <c r="E28" s="334" t="s">
        <v>789</v>
      </c>
      <c r="F28" s="346" t="s">
        <v>746</v>
      </c>
      <c r="G28" s="346">
        <f>H28+I28</f>
        <v>148960</v>
      </c>
      <c r="H28" s="346">
        <f>'dod3'!E31</f>
        <v>148960</v>
      </c>
      <c r="I28" s="346">
        <f>'dod3'!J31</f>
        <v>0</v>
      </c>
      <c r="J28" s="346">
        <f>'dod3'!K31</f>
        <v>0</v>
      </c>
    </row>
    <row r="29" spans="1:13" ht="137.25" x14ac:dyDescent="0.2">
      <c r="A29" s="343" t="s">
        <v>319</v>
      </c>
      <c r="B29" s="343" t="s">
        <v>320</v>
      </c>
      <c r="C29" s="343" t="s">
        <v>321</v>
      </c>
      <c r="D29" s="343" t="s">
        <v>67</v>
      </c>
      <c r="E29" s="334" t="s">
        <v>747</v>
      </c>
      <c r="F29" s="346"/>
      <c r="G29" s="346">
        <f>H29+I29</f>
        <v>5000000</v>
      </c>
      <c r="H29" s="346">
        <f>'dod3'!E32</f>
        <v>0</v>
      </c>
      <c r="I29" s="346">
        <f>'dod3'!J32</f>
        <v>5000000</v>
      </c>
      <c r="J29" s="346">
        <f>'dod3'!K32</f>
        <v>5000000</v>
      </c>
    </row>
    <row r="30" spans="1:13" ht="135" x14ac:dyDescent="0.2">
      <c r="A30" s="361" t="s">
        <v>241</v>
      </c>
      <c r="B30" s="362"/>
      <c r="C30" s="362"/>
      <c r="D30" s="355" t="s">
        <v>36</v>
      </c>
      <c r="E30" s="363"/>
      <c r="F30" s="363"/>
      <c r="G30" s="363">
        <f>G31</f>
        <v>354852689</v>
      </c>
      <c r="H30" s="363">
        <f t="shared" ref="H30:J30" si="5">H31</f>
        <v>332679718</v>
      </c>
      <c r="I30" s="363">
        <f t="shared" si="5"/>
        <v>22172971</v>
      </c>
      <c r="J30" s="363">
        <f t="shared" si="5"/>
        <v>5499500</v>
      </c>
      <c r="K30" s="295" t="b">
        <f>H30='dod3'!E33-'dod3'!Q35</f>
        <v>1</v>
      </c>
      <c r="L30" s="295" t="b">
        <f>I30='dod3'!J33</f>
        <v>1</v>
      </c>
      <c r="M30" s="296" t="b">
        <f>J30='dod3'!K33</f>
        <v>1</v>
      </c>
    </row>
    <row r="31" spans="1:13" ht="135" x14ac:dyDescent="0.2">
      <c r="A31" s="294" t="s">
        <v>242</v>
      </c>
      <c r="B31" s="294"/>
      <c r="C31" s="294"/>
      <c r="D31" s="356" t="s">
        <v>59</v>
      </c>
      <c r="E31" s="292"/>
      <c r="F31" s="292"/>
      <c r="G31" s="292">
        <f>SUM(G32:G41)</f>
        <v>354852689</v>
      </c>
      <c r="H31" s="292">
        <f>SUM(H32:H41)</f>
        <v>332679718</v>
      </c>
      <c r="I31" s="292">
        <f>SUM(I32:I41)</f>
        <v>22172971</v>
      </c>
      <c r="J31" s="292">
        <f>SUM(J32:J41)</f>
        <v>5499500</v>
      </c>
    </row>
    <row r="32" spans="1:13" ht="139.5" x14ac:dyDescent="0.2">
      <c r="A32" s="343" t="s">
        <v>322</v>
      </c>
      <c r="B32" s="343" t="s">
        <v>318</v>
      </c>
      <c r="C32" s="343" t="s">
        <v>323</v>
      </c>
      <c r="D32" s="343" t="s">
        <v>37</v>
      </c>
      <c r="E32" s="346" t="s">
        <v>652</v>
      </c>
      <c r="F32" s="346" t="s">
        <v>742</v>
      </c>
      <c r="G32" s="346">
        <f>H32+I32</f>
        <v>199722312</v>
      </c>
      <c r="H32" s="346">
        <f>'dod3'!E36</f>
        <v>190671412</v>
      </c>
      <c r="I32" s="346">
        <f>'dod3'!J36</f>
        <v>9050900</v>
      </c>
      <c r="J32" s="346">
        <f>'dod3'!K36</f>
        <v>4532900</v>
      </c>
    </row>
    <row r="33" spans="1:14" ht="139.5" x14ac:dyDescent="0.2">
      <c r="A33" s="343" t="s">
        <v>324</v>
      </c>
      <c r="B33" s="343" t="s">
        <v>325</v>
      </c>
      <c r="C33" s="343" t="s">
        <v>326</v>
      </c>
      <c r="D33" s="343" t="s">
        <v>327</v>
      </c>
      <c r="E33" s="346" t="s">
        <v>652</v>
      </c>
      <c r="F33" s="346" t="s">
        <v>742</v>
      </c>
      <c r="G33" s="346">
        <f t="shared" ref="G33:G41" si="6">H33+I33</f>
        <v>60947771</v>
      </c>
      <c r="H33" s="346">
        <f>'dod3'!E37</f>
        <v>59783500</v>
      </c>
      <c r="I33" s="346">
        <f>'dod3'!J37</f>
        <v>1164271</v>
      </c>
      <c r="J33" s="346">
        <f>'dod3'!K37</f>
        <v>126000</v>
      </c>
    </row>
    <row r="34" spans="1:14" ht="172.5" customHeight="1" x14ac:dyDescent="0.2">
      <c r="A34" s="343" t="s">
        <v>328</v>
      </c>
      <c r="B34" s="343" t="s">
        <v>329</v>
      </c>
      <c r="C34" s="343" t="s">
        <v>330</v>
      </c>
      <c r="D34" s="343" t="s">
        <v>554</v>
      </c>
      <c r="E34" s="346" t="s">
        <v>652</v>
      </c>
      <c r="F34" s="346" t="s">
        <v>742</v>
      </c>
      <c r="G34" s="346">
        <f t="shared" si="6"/>
        <v>64122770</v>
      </c>
      <c r="H34" s="346">
        <f>'dod3'!E38</f>
        <v>57684870</v>
      </c>
      <c r="I34" s="346">
        <f>'dod3'!J38</f>
        <v>6437900</v>
      </c>
      <c r="J34" s="346">
        <f>'dod3'!K38</f>
        <v>840600</v>
      </c>
    </row>
    <row r="35" spans="1:14" ht="172.5" customHeight="1" x14ac:dyDescent="0.2">
      <c r="A35" s="343" t="s">
        <v>331</v>
      </c>
      <c r="B35" s="343" t="s">
        <v>332</v>
      </c>
      <c r="C35" s="343" t="s">
        <v>333</v>
      </c>
      <c r="D35" s="343" t="s">
        <v>334</v>
      </c>
      <c r="E35" s="346" t="s">
        <v>652</v>
      </c>
      <c r="F35" s="346" t="s">
        <v>742</v>
      </c>
      <c r="G35" s="346">
        <f t="shared" si="6"/>
        <v>14669850</v>
      </c>
      <c r="H35" s="346">
        <f>'dod3'!E39-H36</f>
        <v>9171950</v>
      </c>
      <c r="I35" s="346">
        <f>'dod3'!J39-I36</f>
        <v>5497900</v>
      </c>
      <c r="J35" s="346">
        <f>'dod3'!K39-J36</f>
        <v>0</v>
      </c>
    </row>
    <row r="36" spans="1:14" ht="320.25" x14ac:dyDescent="0.2">
      <c r="A36" s="343" t="s">
        <v>331</v>
      </c>
      <c r="B36" s="343" t="s">
        <v>332</v>
      </c>
      <c r="C36" s="343" t="s">
        <v>333</v>
      </c>
      <c r="D36" s="343" t="s">
        <v>334</v>
      </c>
      <c r="E36" s="334" t="s">
        <v>791</v>
      </c>
      <c r="F36" s="335" t="s">
        <v>733</v>
      </c>
      <c r="G36" s="346">
        <f t="shared" si="6"/>
        <v>700000</v>
      </c>
      <c r="H36" s="346">
        <v>700000</v>
      </c>
      <c r="I36" s="346"/>
      <c r="J36" s="346"/>
    </row>
    <row r="37" spans="1:14" ht="207" customHeight="1" x14ac:dyDescent="0.2">
      <c r="A37" s="343" t="s">
        <v>335</v>
      </c>
      <c r="B37" s="342" t="s">
        <v>336</v>
      </c>
      <c r="C37" s="342" t="s">
        <v>555</v>
      </c>
      <c r="D37" s="343" t="s">
        <v>337</v>
      </c>
      <c r="E37" s="346" t="s">
        <v>652</v>
      </c>
      <c r="F37" s="346" t="s">
        <v>742</v>
      </c>
      <c r="G37" s="346">
        <f t="shared" si="6"/>
        <v>8891316</v>
      </c>
      <c r="H37" s="346">
        <f>'dod3'!E40</f>
        <v>8891316</v>
      </c>
      <c r="I37" s="346">
        <f>'dod3'!J40</f>
        <v>0</v>
      </c>
      <c r="J37" s="346">
        <f>'dod3'!K40</f>
        <v>0</v>
      </c>
    </row>
    <row r="38" spans="1:14" ht="183" hidden="1" x14ac:dyDescent="0.2">
      <c r="A38" s="343" t="s">
        <v>594</v>
      </c>
      <c r="B38" s="343" t="s">
        <v>595</v>
      </c>
      <c r="C38" s="342" t="s">
        <v>338</v>
      </c>
      <c r="D38" s="314" t="s">
        <v>596</v>
      </c>
      <c r="E38" s="346"/>
      <c r="F38" s="346"/>
      <c r="G38" s="346">
        <f t="shared" si="6"/>
        <v>0</v>
      </c>
      <c r="H38" s="346"/>
      <c r="I38" s="346"/>
      <c r="J38" s="346"/>
    </row>
    <row r="39" spans="1:14" ht="183" hidden="1" x14ac:dyDescent="0.2">
      <c r="A39" s="343" t="s">
        <v>599</v>
      </c>
      <c r="B39" s="343" t="s">
        <v>598</v>
      </c>
      <c r="C39" s="342" t="s">
        <v>338</v>
      </c>
      <c r="D39" s="314" t="s">
        <v>597</v>
      </c>
      <c r="E39" s="346"/>
      <c r="F39" s="346"/>
      <c r="G39" s="346">
        <f t="shared" si="6"/>
        <v>0</v>
      </c>
      <c r="H39" s="346"/>
      <c r="I39" s="346"/>
      <c r="J39" s="346"/>
    </row>
    <row r="40" spans="1:14" s="146" customFormat="1" ht="160.5" customHeight="1" x14ac:dyDescent="0.2">
      <c r="A40" s="343" t="s">
        <v>510</v>
      </c>
      <c r="B40" s="343" t="s">
        <v>512</v>
      </c>
      <c r="C40" s="342" t="s">
        <v>338</v>
      </c>
      <c r="D40" s="314" t="s">
        <v>508</v>
      </c>
      <c r="E40" s="346" t="s">
        <v>652</v>
      </c>
      <c r="F40" s="346" t="s">
        <v>742</v>
      </c>
      <c r="G40" s="346">
        <f t="shared" si="6"/>
        <v>2438670</v>
      </c>
      <c r="H40" s="346">
        <f>'dod3'!E43</f>
        <v>2416670</v>
      </c>
      <c r="I40" s="346">
        <f>'dod3'!J43</f>
        <v>22000</v>
      </c>
      <c r="J40" s="346">
        <f>'dod3'!K43</f>
        <v>0</v>
      </c>
    </row>
    <row r="41" spans="1:14" s="146" customFormat="1" ht="166.5" customHeight="1" x14ac:dyDescent="0.2">
      <c r="A41" s="343" t="s">
        <v>511</v>
      </c>
      <c r="B41" s="343" t="s">
        <v>513</v>
      </c>
      <c r="C41" s="342" t="s">
        <v>338</v>
      </c>
      <c r="D41" s="314" t="s">
        <v>509</v>
      </c>
      <c r="E41" s="346" t="s">
        <v>652</v>
      </c>
      <c r="F41" s="346" t="s">
        <v>742</v>
      </c>
      <c r="G41" s="346">
        <f t="shared" si="6"/>
        <v>3360000</v>
      </c>
      <c r="H41" s="346">
        <f>'dod3'!E44</f>
        <v>3360000</v>
      </c>
      <c r="I41" s="346">
        <f>'dod3'!J44</f>
        <v>0</v>
      </c>
      <c r="J41" s="346">
        <f>'dod3'!K44</f>
        <v>0</v>
      </c>
    </row>
    <row r="42" spans="1:14" ht="225" x14ac:dyDescent="0.2">
      <c r="A42" s="290" t="s">
        <v>243</v>
      </c>
      <c r="B42" s="290"/>
      <c r="C42" s="290"/>
      <c r="D42" s="355" t="s">
        <v>60</v>
      </c>
      <c r="E42" s="291"/>
      <c r="F42" s="292"/>
      <c r="G42" s="291">
        <f>G43</f>
        <v>754304246</v>
      </c>
      <c r="H42" s="291">
        <f t="shared" ref="H42:J42" si="7">H43</f>
        <v>747169846</v>
      </c>
      <c r="I42" s="291">
        <f t="shared" si="7"/>
        <v>7134400</v>
      </c>
      <c r="J42" s="291">
        <f t="shared" si="7"/>
        <v>7025000</v>
      </c>
      <c r="K42" s="295" t="b">
        <f>H42='dod3'!E46-'dod3'!E47-'dod3'!E78</f>
        <v>1</v>
      </c>
      <c r="L42" s="295" t="b">
        <f>I42='dod3'!J45-'dod3'!J47-'dod3'!R85</f>
        <v>1</v>
      </c>
      <c r="M42" s="296" t="b">
        <f>J42='dod3'!K46-'dod3'!K47</f>
        <v>1</v>
      </c>
    </row>
    <row r="43" spans="1:14" ht="225" x14ac:dyDescent="0.2">
      <c r="A43" s="294" t="s">
        <v>244</v>
      </c>
      <c r="B43" s="294"/>
      <c r="C43" s="294"/>
      <c r="D43" s="356" t="s">
        <v>61</v>
      </c>
      <c r="E43" s="292"/>
      <c r="F43" s="292"/>
      <c r="G43" s="292">
        <f>SUM(G44:G81)</f>
        <v>754304246</v>
      </c>
      <c r="H43" s="292">
        <f>SUM(H44:H81)</f>
        <v>747169846</v>
      </c>
      <c r="I43" s="292">
        <f>SUM(I44:I81)</f>
        <v>7134400</v>
      </c>
      <c r="J43" s="292">
        <f>SUM(J44:J81)</f>
        <v>7025000</v>
      </c>
      <c r="K43" s="180"/>
      <c r="L43" s="179"/>
      <c r="M43" s="180"/>
      <c r="N43" s="180"/>
    </row>
    <row r="44" spans="1:14" ht="183" x14ac:dyDescent="0.2">
      <c r="A44" s="342" t="s">
        <v>359</v>
      </c>
      <c r="B44" s="342" t="s">
        <v>360</v>
      </c>
      <c r="C44" s="342" t="s">
        <v>305</v>
      </c>
      <c r="D44" s="317" t="s">
        <v>358</v>
      </c>
      <c r="E44" s="334" t="s">
        <v>790</v>
      </c>
      <c r="F44" s="335" t="s">
        <v>732</v>
      </c>
      <c r="G44" s="346">
        <f t="shared" ref="G44" si="8">H44+I44</f>
        <v>44000000</v>
      </c>
      <c r="H44" s="344">
        <f>'dod3'!E48</f>
        <v>44000000</v>
      </c>
      <c r="I44" s="344">
        <f>'dod3'!J48</f>
        <v>0</v>
      </c>
      <c r="J44" s="358">
        <f>'dod3'!K48</f>
        <v>0</v>
      </c>
    </row>
    <row r="45" spans="1:14" ht="183" x14ac:dyDescent="0.2">
      <c r="A45" s="318" t="s">
        <v>378</v>
      </c>
      <c r="B45" s="342" t="s">
        <v>379</v>
      </c>
      <c r="C45" s="342" t="s">
        <v>79</v>
      </c>
      <c r="D45" s="343" t="s">
        <v>8</v>
      </c>
      <c r="E45" s="334" t="s">
        <v>790</v>
      </c>
      <c r="F45" s="335" t="s">
        <v>732</v>
      </c>
      <c r="G45" s="346">
        <f>H45+I45</f>
        <v>200838400</v>
      </c>
      <c r="H45" s="344">
        <f>'dod3'!E49</f>
        <v>200838400</v>
      </c>
      <c r="I45" s="344">
        <f>'dod3'!J49</f>
        <v>0</v>
      </c>
      <c r="J45" s="358">
        <f>'dod3'!K49</f>
        <v>0</v>
      </c>
    </row>
    <row r="46" spans="1:14" ht="274.5" x14ac:dyDescent="0.2">
      <c r="A46" s="343" t="s">
        <v>381</v>
      </c>
      <c r="B46" s="343" t="s">
        <v>382</v>
      </c>
      <c r="C46" s="343" t="s">
        <v>305</v>
      </c>
      <c r="D46" s="319" t="s">
        <v>380</v>
      </c>
      <c r="E46" s="334" t="s">
        <v>790</v>
      </c>
      <c r="F46" s="335" t="s">
        <v>732</v>
      </c>
      <c r="G46" s="346">
        <f t="shared" ref="G46" si="9">H46+I46</f>
        <v>3000</v>
      </c>
      <c r="H46" s="344">
        <f>'dod3'!E50</f>
        <v>3000</v>
      </c>
      <c r="I46" s="344">
        <f>'dod3'!J50</f>
        <v>0</v>
      </c>
      <c r="J46" s="358">
        <f>'dod3'!K50</f>
        <v>0</v>
      </c>
    </row>
    <row r="47" spans="1:14" ht="228.75" x14ac:dyDescent="0.2">
      <c r="A47" s="343" t="s">
        <v>383</v>
      </c>
      <c r="B47" s="343" t="s">
        <v>384</v>
      </c>
      <c r="C47" s="319">
        <v>1060</v>
      </c>
      <c r="D47" s="320" t="s">
        <v>19</v>
      </c>
      <c r="E47" s="334" t="s">
        <v>790</v>
      </c>
      <c r="F47" s="335" t="s">
        <v>732</v>
      </c>
      <c r="G47" s="346">
        <f t="shared" ref="G47:G65" si="10">H47+I47</f>
        <v>44700</v>
      </c>
      <c r="H47" s="344">
        <f>'dod3'!E51</f>
        <v>44700</v>
      </c>
      <c r="I47" s="344">
        <f>'dod3'!J51</f>
        <v>0</v>
      </c>
      <c r="J47" s="358">
        <f>'dod3'!K51</f>
        <v>0</v>
      </c>
    </row>
    <row r="48" spans="1:14" s="146" customFormat="1" ht="183" x14ac:dyDescent="0.2">
      <c r="A48" s="248" t="s">
        <v>409</v>
      </c>
      <c r="B48" s="248" t="s">
        <v>410</v>
      </c>
      <c r="C48" s="248" t="s">
        <v>305</v>
      </c>
      <c r="D48" s="321" t="s">
        <v>411</v>
      </c>
      <c r="E48" s="334" t="s">
        <v>790</v>
      </c>
      <c r="F48" s="335" t="s">
        <v>732</v>
      </c>
      <c r="G48" s="287">
        <f t="shared" si="10"/>
        <v>422970</v>
      </c>
      <c r="H48" s="308">
        <f>'dod3'!E52</f>
        <v>322970</v>
      </c>
      <c r="I48" s="308">
        <f>'dod3'!J52</f>
        <v>100000</v>
      </c>
      <c r="J48" s="308">
        <f>'dod3'!K52</f>
        <v>100000</v>
      </c>
    </row>
    <row r="49" spans="1:10" s="146" customFormat="1" ht="183" x14ac:dyDescent="0.2">
      <c r="A49" s="249" t="s">
        <v>412</v>
      </c>
      <c r="B49" s="249" t="s">
        <v>413</v>
      </c>
      <c r="C49" s="249" t="s">
        <v>306</v>
      </c>
      <c r="D49" s="249" t="s">
        <v>16</v>
      </c>
      <c r="E49" s="334" t="s">
        <v>790</v>
      </c>
      <c r="F49" s="335" t="s">
        <v>732</v>
      </c>
      <c r="G49" s="287">
        <f t="shared" si="10"/>
        <v>1360000</v>
      </c>
      <c r="H49" s="287">
        <f>'dod3'!E53</f>
        <v>1360000</v>
      </c>
      <c r="I49" s="287">
        <f>'dod3'!J53</f>
        <v>0</v>
      </c>
      <c r="J49" s="288">
        <f>'dod3'!K53</f>
        <v>0</v>
      </c>
    </row>
    <row r="50" spans="1:10" s="146" customFormat="1" ht="183" x14ac:dyDescent="0.2">
      <c r="A50" s="249" t="s">
        <v>415</v>
      </c>
      <c r="B50" s="249" t="s">
        <v>416</v>
      </c>
      <c r="C50" s="249" t="s">
        <v>306</v>
      </c>
      <c r="D50" s="248" t="s">
        <v>17</v>
      </c>
      <c r="E50" s="334" t="s">
        <v>790</v>
      </c>
      <c r="F50" s="335" t="s">
        <v>732</v>
      </c>
      <c r="G50" s="287">
        <f t="shared" si="10"/>
        <v>8000000</v>
      </c>
      <c r="H50" s="287">
        <f>'dod3'!E54</f>
        <v>8000000</v>
      </c>
      <c r="I50" s="287">
        <f>'dod3'!J54</f>
        <v>0</v>
      </c>
      <c r="J50" s="287">
        <f>'dod3'!K54</f>
        <v>0</v>
      </c>
    </row>
    <row r="51" spans="1:10" s="146" customFormat="1" ht="183" x14ac:dyDescent="0.2">
      <c r="A51" s="248" t="s">
        <v>417</v>
      </c>
      <c r="B51" s="248" t="s">
        <v>414</v>
      </c>
      <c r="C51" s="248" t="s">
        <v>306</v>
      </c>
      <c r="D51" s="248" t="s">
        <v>18</v>
      </c>
      <c r="E51" s="334" t="s">
        <v>790</v>
      </c>
      <c r="F51" s="335" t="s">
        <v>732</v>
      </c>
      <c r="G51" s="287">
        <f t="shared" si="10"/>
        <v>600000</v>
      </c>
      <c r="H51" s="287">
        <f>'dod3'!E55</f>
        <v>600000</v>
      </c>
      <c r="I51" s="287">
        <f>'dod3'!J55</f>
        <v>0</v>
      </c>
      <c r="J51" s="287">
        <f>'dod3'!K55</f>
        <v>0</v>
      </c>
    </row>
    <row r="52" spans="1:10" s="146" customFormat="1" ht="183" x14ac:dyDescent="0.2">
      <c r="A52" s="248" t="s">
        <v>418</v>
      </c>
      <c r="B52" s="248" t="s">
        <v>419</v>
      </c>
      <c r="C52" s="248" t="s">
        <v>306</v>
      </c>
      <c r="D52" s="248" t="s">
        <v>21</v>
      </c>
      <c r="E52" s="334" t="s">
        <v>790</v>
      </c>
      <c r="F52" s="335" t="s">
        <v>732</v>
      </c>
      <c r="G52" s="287">
        <f t="shared" si="10"/>
        <v>82000000</v>
      </c>
      <c r="H52" s="287">
        <f>'dod3'!E56</f>
        <v>82000000</v>
      </c>
      <c r="I52" s="287">
        <f>'dod3'!J56</f>
        <v>0</v>
      </c>
      <c r="J52" s="287">
        <f>'dod3'!K56</f>
        <v>0</v>
      </c>
    </row>
    <row r="53" spans="1:10" s="146" customFormat="1" ht="183" x14ac:dyDescent="0.2">
      <c r="A53" s="343" t="s">
        <v>369</v>
      </c>
      <c r="B53" s="343" t="s">
        <v>361</v>
      </c>
      <c r="C53" s="343" t="s">
        <v>280</v>
      </c>
      <c r="D53" s="343" t="s">
        <v>10</v>
      </c>
      <c r="E53" s="334" t="s">
        <v>790</v>
      </c>
      <c r="F53" s="335" t="s">
        <v>732</v>
      </c>
      <c r="G53" s="346">
        <f t="shared" si="10"/>
        <v>2814000</v>
      </c>
      <c r="H53" s="346">
        <f>'dod3'!E57</f>
        <v>2814000</v>
      </c>
      <c r="I53" s="346">
        <f>'dod3'!J57</f>
        <v>0</v>
      </c>
      <c r="J53" s="346">
        <f>'dod3'!K57</f>
        <v>0</v>
      </c>
    </row>
    <row r="54" spans="1:10" s="146" customFormat="1" ht="183" x14ac:dyDescent="0.2">
      <c r="A54" s="343" t="s">
        <v>370</v>
      </c>
      <c r="B54" s="343" t="s">
        <v>362</v>
      </c>
      <c r="C54" s="343" t="s">
        <v>280</v>
      </c>
      <c r="D54" s="343" t="s">
        <v>368</v>
      </c>
      <c r="E54" s="334" t="s">
        <v>790</v>
      </c>
      <c r="F54" s="335" t="s">
        <v>732</v>
      </c>
      <c r="G54" s="346">
        <f t="shared" si="10"/>
        <v>371520</v>
      </c>
      <c r="H54" s="346">
        <f>'dod3'!E58</f>
        <v>371520</v>
      </c>
      <c r="I54" s="346">
        <f>'dod3'!J58</f>
        <v>0</v>
      </c>
      <c r="J54" s="346">
        <f>'dod3'!K58</f>
        <v>0</v>
      </c>
    </row>
    <row r="55" spans="1:10" s="146" customFormat="1" ht="183" x14ac:dyDescent="0.2">
      <c r="A55" s="343" t="s">
        <v>371</v>
      </c>
      <c r="B55" s="343" t="s">
        <v>363</v>
      </c>
      <c r="C55" s="343" t="s">
        <v>280</v>
      </c>
      <c r="D55" s="343" t="s">
        <v>11</v>
      </c>
      <c r="E55" s="334" t="s">
        <v>790</v>
      </c>
      <c r="F55" s="335" t="s">
        <v>732</v>
      </c>
      <c r="G55" s="346">
        <f t="shared" si="10"/>
        <v>157736000</v>
      </c>
      <c r="H55" s="346">
        <f>'dod3'!E59</f>
        <v>157736000</v>
      </c>
      <c r="I55" s="346">
        <f>'dod3'!J59</f>
        <v>0</v>
      </c>
      <c r="J55" s="346">
        <f>'dod3'!K59</f>
        <v>0</v>
      </c>
    </row>
    <row r="56" spans="1:10" s="146" customFormat="1" ht="183" x14ac:dyDescent="0.2">
      <c r="A56" s="343" t="s">
        <v>372</v>
      </c>
      <c r="B56" s="343" t="s">
        <v>364</v>
      </c>
      <c r="C56" s="343" t="s">
        <v>280</v>
      </c>
      <c r="D56" s="343" t="s">
        <v>12</v>
      </c>
      <c r="E56" s="334" t="s">
        <v>790</v>
      </c>
      <c r="F56" s="335" t="s">
        <v>732</v>
      </c>
      <c r="G56" s="346">
        <f t="shared" si="10"/>
        <v>4266000</v>
      </c>
      <c r="H56" s="346">
        <f>'dod3'!E60</f>
        <v>4266000</v>
      </c>
      <c r="I56" s="346">
        <f>'dod3'!J60</f>
        <v>0</v>
      </c>
      <c r="J56" s="346">
        <f>'dod3'!K60</f>
        <v>0</v>
      </c>
    </row>
    <row r="57" spans="1:10" s="146" customFormat="1" ht="183" x14ac:dyDescent="0.2">
      <c r="A57" s="343" t="s">
        <v>373</v>
      </c>
      <c r="B57" s="343" t="s">
        <v>365</v>
      </c>
      <c r="C57" s="343" t="s">
        <v>280</v>
      </c>
      <c r="D57" s="343" t="s">
        <v>13</v>
      </c>
      <c r="E57" s="334" t="s">
        <v>790</v>
      </c>
      <c r="F57" s="335" t="s">
        <v>732</v>
      </c>
      <c r="G57" s="346">
        <f t="shared" si="10"/>
        <v>27062400</v>
      </c>
      <c r="H57" s="346">
        <f>'dod3'!E61</f>
        <v>27062400</v>
      </c>
      <c r="I57" s="346">
        <f>'dod3'!J61</f>
        <v>0</v>
      </c>
      <c r="J57" s="346">
        <f>'dod3'!K61</f>
        <v>0</v>
      </c>
    </row>
    <row r="58" spans="1:10" s="146" customFormat="1" ht="183" x14ac:dyDescent="0.2">
      <c r="A58" s="343" t="s">
        <v>374</v>
      </c>
      <c r="B58" s="343" t="s">
        <v>366</v>
      </c>
      <c r="C58" s="343" t="s">
        <v>280</v>
      </c>
      <c r="D58" s="343" t="s">
        <v>14</v>
      </c>
      <c r="E58" s="334" t="s">
        <v>790</v>
      </c>
      <c r="F58" s="335" t="s">
        <v>732</v>
      </c>
      <c r="G58" s="346">
        <f t="shared" si="10"/>
        <v>2700000</v>
      </c>
      <c r="H58" s="346">
        <f>'dod3'!E62</f>
        <v>2700000</v>
      </c>
      <c r="I58" s="346">
        <f>'dod3'!J62</f>
        <v>0</v>
      </c>
      <c r="J58" s="346">
        <f>'dod3'!K62</f>
        <v>0</v>
      </c>
    </row>
    <row r="59" spans="1:10" s="146" customFormat="1" ht="183" x14ac:dyDescent="0.2">
      <c r="A59" s="343" t="s">
        <v>375</v>
      </c>
      <c r="B59" s="343" t="s">
        <v>367</v>
      </c>
      <c r="C59" s="343" t="s">
        <v>280</v>
      </c>
      <c r="D59" s="343" t="s">
        <v>15</v>
      </c>
      <c r="E59" s="334" t="s">
        <v>790</v>
      </c>
      <c r="F59" s="335" t="s">
        <v>732</v>
      </c>
      <c r="G59" s="346">
        <f t="shared" si="10"/>
        <v>39337958</v>
      </c>
      <c r="H59" s="346">
        <f>'dod3'!E63</f>
        <v>39337958</v>
      </c>
      <c r="I59" s="346">
        <f>'dod3'!J63</f>
        <v>0</v>
      </c>
      <c r="J59" s="346">
        <f>'dod3'!K63</f>
        <v>0</v>
      </c>
    </row>
    <row r="60" spans="1:10" ht="183" x14ac:dyDescent="0.2">
      <c r="A60" s="343" t="s">
        <v>385</v>
      </c>
      <c r="B60" s="343" t="s">
        <v>376</v>
      </c>
      <c r="C60" s="343" t="s">
        <v>306</v>
      </c>
      <c r="D60" s="343" t="s">
        <v>9</v>
      </c>
      <c r="E60" s="334" t="s">
        <v>790</v>
      </c>
      <c r="F60" s="335" t="s">
        <v>732</v>
      </c>
      <c r="G60" s="346">
        <f t="shared" si="10"/>
        <v>179080</v>
      </c>
      <c r="H60" s="346">
        <f>'dod3'!E64</f>
        <v>179080</v>
      </c>
      <c r="I60" s="346">
        <f>'dod3'!J64</f>
        <v>0</v>
      </c>
      <c r="J60" s="346">
        <f>'dod3'!K64</f>
        <v>0</v>
      </c>
    </row>
    <row r="61" spans="1:10" s="146" customFormat="1" ht="183" x14ac:dyDescent="0.2">
      <c r="A61" s="343" t="s">
        <v>559</v>
      </c>
      <c r="B61" s="343" t="s">
        <v>560</v>
      </c>
      <c r="C61" s="343" t="s">
        <v>298</v>
      </c>
      <c r="D61" s="343" t="s">
        <v>558</v>
      </c>
      <c r="E61" s="334" t="s">
        <v>790</v>
      </c>
      <c r="F61" s="335" t="s">
        <v>732</v>
      </c>
      <c r="G61" s="346">
        <f t="shared" si="10"/>
        <v>78472603.400000006</v>
      </c>
      <c r="H61" s="346">
        <f>'dod3'!E65</f>
        <v>78472603.400000006</v>
      </c>
      <c r="I61" s="346">
        <f>'dod3'!J65</f>
        <v>0</v>
      </c>
      <c r="J61" s="346">
        <f>'dod3'!K65</f>
        <v>0</v>
      </c>
    </row>
    <row r="62" spans="1:10" s="146" customFormat="1" ht="228.75" x14ac:dyDescent="0.2">
      <c r="A62" s="343" t="s">
        <v>619</v>
      </c>
      <c r="B62" s="343" t="s">
        <v>620</v>
      </c>
      <c r="C62" s="343" t="s">
        <v>298</v>
      </c>
      <c r="D62" s="343" t="s">
        <v>621</v>
      </c>
      <c r="E62" s="334" t="s">
        <v>790</v>
      </c>
      <c r="F62" s="335" t="s">
        <v>732</v>
      </c>
      <c r="G62" s="346">
        <f t="shared" si="10"/>
        <v>25694626.600000001</v>
      </c>
      <c r="H62" s="346">
        <f>'dod3'!E66</f>
        <v>25694626.600000001</v>
      </c>
      <c r="I62" s="346">
        <f>'dod3'!J66</f>
        <v>0</v>
      </c>
      <c r="J62" s="346">
        <f>'dod3'!K66</f>
        <v>0</v>
      </c>
    </row>
    <row r="63" spans="1:10" s="146" customFormat="1" ht="183" x14ac:dyDescent="0.2">
      <c r="A63" s="343" t="s">
        <v>556</v>
      </c>
      <c r="B63" s="343" t="s">
        <v>557</v>
      </c>
      <c r="C63" s="343" t="s">
        <v>298</v>
      </c>
      <c r="D63" s="343" t="s">
        <v>514</v>
      </c>
      <c r="E63" s="334" t="s">
        <v>790</v>
      </c>
      <c r="F63" s="335" t="s">
        <v>732</v>
      </c>
      <c r="G63" s="346">
        <f t="shared" si="10"/>
        <v>14110200</v>
      </c>
      <c r="H63" s="346">
        <f>'dod3'!E67</f>
        <v>14110200</v>
      </c>
      <c r="I63" s="346">
        <f>'dod3'!J67</f>
        <v>0</v>
      </c>
      <c r="J63" s="346">
        <f>'dod3'!K67</f>
        <v>0</v>
      </c>
    </row>
    <row r="64" spans="1:10" s="146" customFormat="1" ht="274.5" x14ac:dyDescent="0.2">
      <c r="A64" s="343" t="s">
        <v>563</v>
      </c>
      <c r="B64" s="343" t="s">
        <v>564</v>
      </c>
      <c r="C64" s="343" t="s">
        <v>298</v>
      </c>
      <c r="D64" s="343" t="s">
        <v>565</v>
      </c>
      <c r="E64" s="334" t="s">
        <v>790</v>
      </c>
      <c r="F64" s="335" t="s">
        <v>732</v>
      </c>
      <c r="G64" s="346">
        <f t="shared" si="10"/>
        <v>1200000</v>
      </c>
      <c r="H64" s="346">
        <f>'dod3'!E68</f>
        <v>1200000</v>
      </c>
      <c r="I64" s="346">
        <f>'dod3'!J68</f>
        <v>0</v>
      </c>
      <c r="J64" s="346">
        <f>'dod3'!K68</f>
        <v>0</v>
      </c>
    </row>
    <row r="65" spans="1:11" s="146" customFormat="1" ht="320.25" x14ac:dyDescent="0.2">
      <c r="A65" s="343" t="s">
        <v>561</v>
      </c>
      <c r="B65" s="343" t="s">
        <v>562</v>
      </c>
      <c r="C65" s="343" t="s">
        <v>298</v>
      </c>
      <c r="D65" s="343" t="s">
        <v>566</v>
      </c>
      <c r="E65" s="334" t="s">
        <v>790</v>
      </c>
      <c r="F65" s="335" t="s">
        <v>732</v>
      </c>
      <c r="G65" s="346">
        <f t="shared" si="10"/>
        <v>264192</v>
      </c>
      <c r="H65" s="346">
        <f>'dod3'!E69</f>
        <v>264192</v>
      </c>
      <c r="I65" s="346">
        <f>'dod3'!J69</f>
        <v>0</v>
      </c>
      <c r="J65" s="346">
        <f>'dod3'!K69</f>
        <v>0</v>
      </c>
    </row>
    <row r="66" spans="1:11" ht="163.5" customHeight="1" x14ac:dyDescent="0.2">
      <c r="A66" s="343" t="s">
        <v>386</v>
      </c>
      <c r="B66" s="343" t="s">
        <v>377</v>
      </c>
      <c r="C66" s="343" t="s">
        <v>305</v>
      </c>
      <c r="D66" s="343" t="s">
        <v>515</v>
      </c>
      <c r="E66" s="334" t="s">
        <v>790</v>
      </c>
      <c r="F66" s="335" t="s">
        <v>732</v>
      </c>
      <c r="G66" s="346">
        <f t="shared" ref="G66" si="11">H66+I66</f>
        <v>152280</v>
      </c>
      <c r="H66" s="346">
        <f>'dod3'!E70</f>
        <v>152280</v>
      </c>
      <c r="I66" s="346">
        <f>'dod3'!J70</f>
        <v>0</v>
      </c>
      <c r="J66" s="346">
        <f>'dod3'!K70</f>
        <v>0</v>
      </c>
    </row>
    <row r="67" spans="1:11" ht="301.5" customHeight="1" x14ac:dyDescent="0.2">
      <c r="A67" s="249" t="s">
        <v>407</v>
      </c>
      <c r="B67" s="249" t="s">
        <v>405</v>
      </c>
      <c r="C67" s="249" t="s">
        <v>299</v>
      </c>
      <c r="D67" s="249" t="s">
        <v>35</v>
      </c>
      <c r="E67" s="334" t="s">
        <v>790</v>
      </c>
      <c r="F67" s="335" t="s">
        <v>732</v>
      </c>
      <c r="G67" s="287">
        <f>H67+I67</f>
        <v>17617384</v>
      </c>
      <c r="H67" s="287">
        <f>'dod3'!E71</f>
        <v>17332984</v>
      </c>
      <c r="I67" s="287">
        <f>'dod3'!J71</f>
        <v>284400</v>
      </c>
      <c r="J67" s="287">
        <f>'dod3'!K71</f>
        <v>175000</v>
      </c>
    </row>
    <row r="68" spans="1:11" ht="183" x14ac:dyDescent="0.2">
      <c r="A68" s="249" t="s">
        <v>408</v>
      </c>
      <c r="B68" s="249" t="s">
        <v>406</v>
      </c>
      <c r="C68" s="249" t="s">
        <v>298</v>
      </c>
      <c r="D68" s="249" t="s">
        <v>516</v>
      </c>
      <c r="E68" s="334" t="s">
        <v>790</v>
      </c>
      <c r="F68" s="335" t="s">
        <v>732</v>
      </c>
      <c r="G68" s="287">
        <f>H68+I68</f>
        <v>5162423</v>
      </c>
      <c r="H68" s="287">
        <f>'dod3'!E72</f>
        <v>5162423</v>
      </c>
      <c r="I68" s="287">
        <f>'dod3'!J72</f>
        <v>0</v>
      </c>
      <c r="J68" s="287">
        <f>'dod3'!K72</f>
        <v>0</v>
      </c>
    </row>
    <row r="69" spans="1:11" ht="409.5" x14ac:dyDescent="0.2">
      <c r="A69" s="249" t="s">
        <v>403</v>
      </c>
      <c r="B69" s="249" t="s">
        <v>404</v>
      </c>
      <c r="C69" s="249" t="s">
        <v>298</v>
      </c>
      <c r="D69" s="249" t="s">
        <v>517</v>
      </c>
      <c r="E69" s="334" t="s">
        <v>790</v>
      </c>
      <c r="F69" s="335" t="s">
        <v>732</v>
      </c>
      <c r="G69" s="287">
        <f>H69+I69</f>
        <v>1554600</v>
      </c>
      <c r="H69" s="287">
        <f>'dod3'!E73</f>
        <v>1554600</v>
      </c>
      <c r="I69" s="287">
        <f>'dod3'!J73</f>
        <v>0</v>
      </c>
      <c r="J69" s="287">
        <f>'dod3'!K73</f>
        <v>0</v>
      </c>
    </row>
    <row r="70" spans="1:11" ht="274.5" x14ac:dyDescent="0.2">
      <c r="A70" s="343" t="s">
        <v>518</v>
      </c>
      <c r="B70" s="343" t="s">
        <v>519</v>
      </c>
      <c r="C70" s="343" t="s">
        <v>298</v>
      </c>
      <c r="D70" s="343" t="s">
        <v>567</v>
      </c>
      <c r="E70" s="334" t="s">
        <v>790</v>
      </c>
      <c r="F70" s="335" t="s">
        <v>732</v>
      </c>
      <c r="G70" s="346">
        <f>H70+I70</f>
        <v>135534</v>
      </c>
      <c r="H70" s="346">
        <f>'dod3'!E74</f>
        <v>135534</v>
      </c>
      <c r="I70" s="346">
        <f>'dod3'!J74</f>
        <v>0</v>
      </c>
      <c r="J70" s="346">
        <f>'dod3'!K74</f>
        <v>0</v>
      </c>
    </row>
    <row r="71" spans="1:11" ht="183" x14ac:dyDescent="0.2">
      <c r="A71" s="343" t="s">
        <v>520</v>
      </c>
      <c r="B71" s="343" t="s">
        <v>521</v>
      </c>
      <c r="C71" s="343" t="s">
        <v>298</v>
      </c>
      <c r="D71" s="343" t="s">
        <v>568</v>
      </c>
      <c r="E71" s="334" t="s">
        <v>790</v>
      </c>
      <c r="F71" s="335" t="s">
        <v>732</v>
      </c>
      <c r="G71" s="346">
        <f t="shared" ref="G71" si="12">H71+I71</f>
        <v>168</v>
      </c>
      <c r="H71" s="346">
        <f>'dod3'!E75</f>
        <v>168</v>
      </c>
      <c r="I71" s="346">
        <f>'dod3'!J75</f>
        <v>0</v>
      </c>
      <c r="J71" s="346">
        <f>'dod3'!K75</f>
        <v>0</v>
      </c>
    </row>
    <row r="72" spans="1:11" ht="366" x14ac:dyDescent="0.2">
      <c r="A72" s="249" t="s">
        <v>571</v>
      </c>
      <c r="B72" s="249" t="s">
        <v>570</v>
      </c>
      <c r="C72" s="249" t="s">
        <v>79</v>
      </c>
      <c r="D72" s="249" t="s">
        <v>569</v>
      </c>
      <c r="E72" s="334" t="s">
        <v>790</v>
      </c>
      <c r="F72" s="335" t="s">
        <v>732</v>
      </c>
      <c r="G72" s="287">
        <f>H72+I72</f>
        <v>828500</v>
      </c>
      <c r="H72" s="287">
        <f>'dod3'!E76-H73</f>
        <v>828500</v>
      </c>
      <c r="I72" s="287">
        <f>'dod3'!J76-I73</f>
        <v>0</v>
      </c>
      <c r="J72" s="287">
        <f>'dod3'!K76-J73</f>
        <v>0</v>
      </c>
    </row>
    <row r="73" spans="1:11" ht="366" x14ac:dyDescent="0.2">
      <c r="A73" s="249" t="s">
        <v>571</v>
      </c>
      <c r="B73" s="249" t="s">
        <v>570</v>
      </c>
      <c r="C73" s="249" t="s">
        <v>79</v>
      </c>
      <c r="D73" s="249" t="s">
        <v>569</v>
      </c>
      <c r="E73" s="334" t="s">
        <v>792</v>
      </c>
      <c r="F73" s="335" t="s">
        <v>733</v>
      </c>
      <c r="G73" s="287">
        <f>H73+I73</f>
        <v>980000</v>
      </c>
      <c r="H73" s="287">
        <v>980000</v>
      </c>
      <c r="I73" s="287">
        <v>0</v>
      </c>
      <c r="J73" s="287">
        <v>0</v>
      </c>
    </row>
    <row r="74" spans="1:11" ht="228.75" x14ac:dyDescent="0.2">
      <c r="A74" s="249" t="s">
        <v>522</v>
      </c>
      <c r="B74" s="249" t="s">
        <v>523</v>
      </c>
      <c r="C74" s="249" t="s">
        <v>305</v>
      </c>
      <c r="D74" s="249" t="s">
        <v>572</v>
      </c>
      <c r="E74" s="334" t="s">
        <v>790</v>
      </c>
      <c r="F74" s="335" t="s">
        <v>732</v>
      </c>
      <c r="G74" s="287">
        <f>H74+I74</f>
        <v>550000</v>
      </c>
      <c r="H74" s="287">
        <f>'dod3'!E77</f>
        <v>550000</v>
      </c>
      <c r="I74" s="287">
        <f>'dod3'!J77</f>
        <v>0</v>
      </c>
      <c r="J74" s="287">
        <f>'dod3'!K77</f>
        <v>0</v>
      </c>
    </row>
    <row r="75" spans="1:11" ht="409.5" x14ac:dyDescent="0.2">
      <c r="A75" s="442" t="s">
        <v>402</v>
      </c>
      <c r="B75" s="442" t="s">
        <v>287</v>
      </c>
      <c r="C75" s="450" t="s">
        <v>280</v>
      </c>
      <c r="D75" s="311" t="s">
        <v>524</v>
      </c>
      <c r="E75" s="523" t="s">
        <v>790</v>
      </c>
      <c r="F75" s="444" t="s">
        <v>732</v>
      </c>
      <c r="G75" s="452">
        <f t="shared" ref="G75" si="13">H75+I75</f>
        <v>1030700</v>
      </c>
      <c r="H75" s="452">
        <f>'dod3'!E79</f>
        <v>1030700</v>
      </c>
      <c r="I75" s="452">
        <f>'dod3'!J79</f>
        <v>0</v>
      </c>
      <c r="J75" s="452">
        <f>'dod3'!K79</f>
        <v>0</v>
      </c>
    </row>
    <row r="76" spans="1:11" ht="327.75" customHeight="1" x14ac:dyDescent="0.2">
      <c r="A76" s="521"/>
      <c r="B76" s="521"/>
      <c r="C76" s="522"/>
      <c r="D76" s="316" t="s">
        <v>525</v>
      </c>
      <c r="E76" s="439"/>
      <c r="F76" s="439"/>
      <c r="G76" s="453"/>
      <c r="H76" s="439"/>
      <c r="I76" s="439"/>
      <c r="J76" s="439"/>
    </row>
    <row r="77" spans="1:11" ht="183" x14ac:dyDescent="0.2">
      <c r="A77" s="249" t="s">
        <v>526</v>
      </c>
      <c r="B77" s="249" t="s">
        <v>528</v>
      </c>
      <c r="C77" s="249" t="s">
        <v>288</v>
      </c>
      <c r="D77" s="314" t="s">
        <v>530</v>
      </c>
      <c r="E77" s="334" t="s">
        <v>790</v>
      </c>
      <c r="F77" s="335" t="s">
        <v>732</v>
      </c>
      <c r="G77" s="287">
        <f>H77+I77</f>
        <v>6608467</v>
      </c>
      <c r="H77" s="133">
        <f>'dod3'!E81</f>
        <v>4578467</v>
      </c>
      <c r="I77" s="287">
        <f>'dod3'!J81</f>
        <v>2030000</v>
      </c>
      <c r="J77" s="287">
        <f>'dod3'!K81</f>
        <v>2030000</v>
      </c>
    </row>
    <row r="78" spans="1:11" ht="183" x14ac:dyDescent="0.2">
      <c r="A78" s="249" t="s">
        <v>527</v>
      </c>
      <c r="B78" s="249" t="s">
        <v>529</v>
      </c>
      <c r="C78" s="249" t="s">
        <v>288</v>
      </c>
      <c r="D78" s="314" t="s">
        <v>531</v>
      </c>
      <c r="E78" s="334" t="s">
        <v>790</v>
      </c>
      <c r="F78" s="335" t="s">
        <v>732</v>
      </c>
      <c r="G78" s="287">
        <f>H78+I78</f>
        <v>21261540</v>
      </c>
      <c r="H78" s="287">
        <f>'dod3'!E82-H79</f>
        <v>21261540</v>
      </c>
      <c r="I78" s="287">
        <f>'dod3'!J82-I79</f>
        <v>0</v>
      </c>
      <c r="J78" s="287">
        <f>'dod3'!K82-J79</f>
        <v>0</v>
      </c>
    </row>
    <row r="79" spans="1:11" ht="320.25" x14ac:dyDescent="0.2">
      <c r="A79" s="249" t="s">
        <v>527</v>
      </c>
      <c r="B79" s="249" t="s">
        <v>529</v>
      </c>
      <c r="C79" s="249" t="s">
        <v>288</v>
      </c>
      <c r="D79" s="314" t="s">
        <v>531</v>
      </c>
      <c r="E79" s="334" t="s">
        <v>791</v>
      </c>
      <c r="F79" s="335" t="s">
        <v>733</v>
      </c>
      <c r="G79" s="287">
        <f>H79+I79</f>
        <v>2445000</v>
      </c>
      <c r="H79" s="346">
        <f>1925000+300000</f>
        <v>2225000</v>
      </c>
      <c r="I79" s="287">
        <v>220000</v>
      </c>
      <c r="J79" s="287">
        <v>220000</v>
      </c>
      <c r="K79" s="336"/>
    </row>
    <row r="80" spans="1:11" ht="320.25" x14ac:dyDescent="0.2">
      <c r="A80" s="249" t="s">
        <v>612</v>
      </c>
      <c r="B80" s="249" t="s">
        <v>610</v>
      </c>
      <c r="C80" s="249" t="s">
        <v>545</v>
      </c>
      <c r="D80" s="314" t="s">
        <v>611</v>
      </c>
      <c r="E80" s="334" t="s">
        <v>791</v>
      </c>
      <c r="F80" s="335" t="s">
        <v>733</v>
      </c>
      <c r="G80" s="287">
        <f>H80+I80</f>
        <v>3500000</v>
      </c>
      <c r="H80" s="287">
        <f>'dod3'!E83</f>
        <v>0</v>
      </c>
      <c r="I80" s="287">
        <f>'dod3'!J83</f>
        <v>3500000</v>
      </c>
      <c r="J80" s="287">
        <f>'dod3'!K83</f>
        <v>3500000</v>
      </c>
    </row>
    <row r="81" spans="1:13" ht="183" x14ac:dyDescent="0.2">
      <c r="A81" s="249" t="s">
        <v>728</v>
      </c>
      <c r="B81" s="249" t="s">
        <v>729</v>
      </c>
      <c r="C81" s="249" t="s">
        <v>453</v>
      </c>
      <c r="D81" s="314" t="s">
        <v>730</v>
      </c>
      <c r="E81" s="334" t="s">
        <v>790</v>
      </c>
      <c r="F81" s="335" t="s">
        <v>732</v>
      </c>
      <c r="G81" s="287">
        <f>H81+I81</f>
        <v>1000000</v>
      </c>
      <c r="H81" s="287">
        <f>'dod3'!E84</f>
        <v>0</v>
      </c>
      <c r="I81" s="287">
        <f>'dod3'!J84</f>
        <v>1000000</v>
      </c>
      <c r="J81" s="288">
        <f>'dod3'!K84</f>
        <v>1000000</v>
      </c>
    </row>
    <row r="82" spans="1:13" ht="180" x14ac:dyDescent="0.2">
      <c r="A82" s="289">
        <v>1000000</v>
      </c>
      <c r="B82" s="289"/>
      <c r="C82" s="289"/>
      <c r="D82" s="290" t="s">
        <v>43</v>
      </c>
      <c r="E82" s="291"/>
      <c r="F82" s="292"/>
      <c r="G82" s="291">
        <f>G83</f>
        <v>92224266</v>
      </c>
      <c r="H82" s="291">
        <f t="shared" ref="H82:J82" si="14">H83</f>
        <v>80851044</v>
      </c>
      <c r="I82" s="291">
        <f t="shared" si="14"/>
        <v>11373222</v>
      </c>
      <c r="J82" s="291">
        <f t="shared" si="14"/>
        <v>3886442</v>
      </c>
      <c r="K82" s="295" t="b">
        <f>H82='dod3'!E88</f>
        <v>1</v>
      </c>
      <c r="L82" s="295" t="b">
        <f>I82='dod3'!J88</f>
        <v>1</v>
      </c>
      <c r="M82" s="296" t="b">
        <f>J82='dod3'!K88</f>
        <v>1</v>
      </c>
    </row>
    <row r="83" spans="1:13" ht="180" x14ac:dyDescent="0.2">
      <c r="A83" s="293">
        <v>1010000</v>
      </c>
      <c r="B83" s="293"/>
      <c r="C83" s="293"/>
      <c r="D83" s="294" t="s">
        <v>62</v>
      </c>
      <c r="E83" s="292"/>
      <c r="F83" s="292"/>
      <c r="G83" s="292">
        <f>SUM(G84:G93)</f>
        <v>92224266</v>
      </c>
      <c r="H83" s="292">
        <f>SUM(H84:H93)</f>
        <v>80851044</v>
      </c>
      <c r="I83" s="292">
        <f t="shared" ref="I83:J83" si="15">SUM(I84:I93)</f>
        <v>11373222</v>
      </c>
      <c r="J83" s="292">
        <f t="shared" si="15"/>
        <v>3886442</v>
      </c>
    </row>
    <row r="84" spans="1:13" ht="274.5" x14ac:dyDescent="0.2">
      <c r="A84" s="249" t="s">
        <v>34</v>
      </c>
      <c r="B84" s="249" t="s">
        <v>275</v>
      </c>
      <c r="C84" s="249" t="s">
        <v>276</v>
      </c>
      <c r="D84" s="249" t="s">
        <v>274</v>
      </c>
      <c r="E84" s="287" t="s">
        <v>20</v>
      </c>
      <c r="F84" s="287" t="s">
        <v>724</v>
      </c>
      <c r="G84" s="287">
        <f>H84+I84</f>
        <v>53439502</v>
      </c>
      <c r="H84" s="287">
        <f>'dod3'!E89</f>
        <v>46221680</v>
      </c>
      <c r="I84" s="287">
        <f>'dod3'!J89</f>
        <v>7217822</v>
      </c>
      <c r="J84" s="287">
        <f>'dod3'!K89</f>
        <v>386442</v>
      </c>
    </row>
    <row r="85" spans="1:13" ht="186" x14ac:dyDescent="0.2">
      <c r="A85" s="249" t="s">
        <v>258</v>
      </c>
      <c r="B85" s="249" t="s">
        <v>259</v>
      </c>
      <c r="C85" s="249" t="s">
        <v>262</v>
      </c>
      <c r="D85" s="249" t="s">
        <v>263</v>
      </c>
      <c r="E85" s="287" t="s">
        <v>20</v>
      </c>
      <c r="F85" s="287" t="s">
        <v>724</v>
      </c>
      <c r="G85" s="287">
        <f t="shared" ref="G85:G90" si="16">H85+I85</f>
        <v>726700</v>
      </c>
      <c r="H85" s="287">
        <f>'dod3'!E90</f>
        <v>726700</v>
      </c>
      <c r="I85" s="287">
        <f>'dod3'!J90</f>
        <v>0</v>
      </c>
      <c r="J85" s="287">
        <f>'dod3'!K90</f>
        <v>0</v>
      </c>
    </row>
    <row r="86" spans="1:13" ht="186" x14ac:dyDescent="0.2">
      <c r="A86" s="249" t="s">
        <v>264</v>
      </c>
      <c r="B86" s="249" t="s">
        <v>265</v>
      </c>
      <c r="C86" s="249" t="s">
        <v>266</v>
      </c>
      <c r="D86" s="249" t="s">
        <v>267</v>
      </c>
      <c r="E86" s="287" t="s">
        <v>20</v>
      </c>
      <c r="F86" s="287" t="s">
        <v>724</v>
      </c>
      <c r="G86" s="287">
        <f t="shared" si="16"/>
        <v>7801225</v>
      </c>
      <c r="H86" s="287">
        <f>'dod3'!E91</f>
        <v>7716225</v>
      </c>
      <c r="I86" s="287">
        <f>'dod3'!J91</f>
        <v>85000</v>
      </c>
      <c r="J86" s="287">
        <f>'dod3'!K91</f>
        <v>0</v>
      </c>
    </row>
    <row r="87" spans="1:13" ht="186" x14ac:dyDescent="0.2">
      <c r="A87" s="249" t="s">
        <v>268</v>
      </c>
      <c r="B87" s="249" t="s">
        <v>269</v>
      </c>
      <c r="C87" s="249" t="s">
        <v>266</v>
      </c>
      <c r="D87" s="249" t="s">
        <v>270</v>
      </c>
      <c r="E87" s="287" t="s">
        <v>20</v>
      </c>
      <c r="F87" s="287" t="s">
        <v>724</v>
      </c>
      <c r="G87" s="287">
        <f t="shared" si="16"/>
        <v>4295535</v>
      </c>
      <c r="H87" s="287">
        <f>'dod3'!E92</f>
        <v>1220535</v>
      </c>
      <c r="I87" s="287">
        <f>'dod3'!J92</f>
        <v>3075000</v>
      </c>
      <c r="J87" s="287">
        <f>'dod3'!K92</f>
        <v>3000000</v>
      </c>
    </row>
    <row r="88" spans="1:13" ht="186" x14ac:dyDescent="0.2">
      <c r="A88" s="249" t="s">
        <v>271</v>
      </c>
      <c r="B88" s="249" t="s">
        <v>260</v>
      </c>
      <c r="C88" s="249" t="s">
        <v>272</v>
      </c>
      <c r="D88" s="249" t="s">
        <v>273</v>
      </c>
      <c r="E88" s="287" t="s">
        <v>20</v>
      </c>
      <c r="F88" s="287" t="s">
        <v>724</v>
      </c>
      <c r="G88" s="287">
        <f t="shared" si="16"/>
        <v>6565042</v>
      </c>
      <c r="H88" s="287">
        <f>'dod3'!E93</f>
        <v>5699642</v>
      </c>
      <c r="I88" s="287">
        <f>'dod3'!J93</f>
        <v>865400</v>
      </c>
      <c r="J88" s="287">
        <f>'dod3'!K93</f>
        <v>500000</v>
      </c>
    </row>
    <row r="89" spans="1:13" ht="186" x14ac:dyDescent="0.2">
      <c r="A89" s="249" t="s">
        <v>533</v>
      </c>
      <c r="B89" s="249" t="s">
        <v>534</v>
      </c>
      <c r="C89" s="249" t="s">
        <v>277</v>
      </c>
      <c r="D89" s="249" t="s">
        <v>532</v>
      </c>
      <c r="E89" s="287" t="s">
        <v>20</v>
      </c>
      <c r="F89" s="287" t="s">
        <v>724</v>
      </c>
      <c r="G89" s="287">
        <f t="shared" si="16"/>
        <v>12881462</v>
      </c>
      <c r="H89" s="287">
        <f>'dod3'!E94-H90</f>
        <v>12751462</v>
      </c>
      <c r="I89" s="287">
        <f>'dod3'!J94-I90</f>
        <v>130000</v>
      </c>
      <c r="J89" s="287">
        <f>'dod3'!K94-J90</f>
        <v>0</v>
      </c>
    </row>
    <row r="90" spans="1:13" ht="186" x14ac:dyDescent="0.2">
      <c r="A90" s="343" t="s">
        <v>533</v>
      </c>
      <c r="B90" s="343" t="s">
        <v>534</v>
      </c>
      <c r="C90" s="343" t="s">
        <v>277</v>
      </c>
      <c r="D90" s="343" t="s">
        <v>532</v>
      </c>
      <c r="E90" s="346" t="s">
        <v>725</v>
      </c>
      <c r="F90" s="346" t="s">
        <v>726</v>
      </c>
      <c r="G90" s="346">
        <f t="shared" si="16"/>
        <v>514800</v>
      </c>
      <c r="H90" s="346">
        <v>514800</v>
      </c>
      <c r="I90" s="346"/>
      <c r="J90" s="346"/>
    </row>
    <row r="91" spans="1:13" ht="204" customHeight="1" x14ac:dyDescent="0.2">
      <c r="A91" s="249" t="s">
        <v>535</v>
      </c>
      <c r="B91" s="249" t="s">
        <v>536</v>
      </c>
      <c r="C91" s="249" t="s">
        <v>277</v>
      </c>
      <c r="D91" s="249" t="s">
        <v>537</v>
      </c>
      <c r="E91" s="287" t="s">
        <v>20</v>
      </c>
      <c r="F91" s="287" t="s">
        <v>724</v>
      </c>
      <c r="G91" s="287">
        <f t="shared" ref="G91:G93" si="17">H91+I91</f>
        <v>5244680</v>
      </c>
      <c r="H91" s="287">
        <f>'dod3'!E95-H93-H92</f>
        <v>5244680</v>
      </c>
      <c r="I91" s="287">
        <f>'dod3'!J95-I93-I92</f>
        <v>0</v>
      </c>
      <c r="J91" s="287">
        <f>'dod3'!K95-J93-J92</f>
        <v>0</v>
      </c>
    </row>
    <row r="92" spans="1:13" ht="279" x14ac:dyDescent="0.2">
      <c r="A92" s="343" t="s">
        <v>535</v>
      </c>
      <c r="B92" s="343" t="s">
        <v>536</v>
      </c>
      <c r="C92" s="343" t="s">
        <v>277</v>
      </c>
      <c r="D92" s="343" t="s">
        <v>537</v>
      </c>
      <c r="E92" s="346" t="s">
        <v>609</v>
      </c>
      <c r="F92" s="346" t="s">
        <v>743</v>
      </c>
      <c r="G92" s="346">
        <f t="shared" si="17"/>
        <v>395000</v>
      </c>
      <c r="H92" s="346">
        <v>395000</v>
      </c>
      <c r="I92" s="346"/>
      <c r="J92" s="346"/>
    </row>
    <row r="93" spans="1:13" ht="178.5" customHeight="1" x14ac:dyDescent="0.2">
      <c r="A93" s="249" t="s">
        <v>535</v>
      </c>
      <c r="B93" s="249" t="s">
        <v>536</v>
      </c>
      <c r="C93" s="249" t="s">
        <v>277</v>
      </c>
      <c r="D93" s="249" t="s">
        <v>537</v>
      </c>
      <c r="E93" s="287" t="s">
        <v>725</v>
      </c>
      <c r="F93" s="287" t="s">
        <v>726</v>
      </c>
      <c r="G93" s="287">
        <f t="shared" si="17"/>
        <v>360320</v>
      </c>
      <c r="H93" s="287">
        <v>360320</v>
      </c>
      <c r="I93" s="287"/>
      <c r="J93" s="287"/>
    </row>
    <row r="94" spans="1:13" ht="135" x14ac:dyDescent="0.2">
      <c r="A94" s="290" t="s">
        <v>40</v>
      </c>
      <c r="B94" s="290"/>
      <c r="C94" s="290"/>
      <c r="D94" s="290" t="s">
        <v>41</v>
      </c>
      <c r="E94" s="291"/>
      <c r="F94" s="292"/>
      <c r="G94" s="291">
        <f>G95</f>
        <v>53790029</v>
      </c>
      <c r="H94" s="291">
        <f t="shared" ref="H94:J94" si="18">H95</f>
        <v>50274852</v>
      </c>
      <c r="I94" s="291">
        <f t="shared" si="18"/>
        <v>3515177</v>
      </c>
      <c r="J94" s="291">
        <f t="shared" si="18"/>
        <v>1408533</v>
      </c>
      <c r="K94" s="295" t="b">
        <f>H94='dod3'!E97+'dod4'!F12</f>
        <v>1</v>
      </c>
      <c r="L94" s="295" t="b">
        <f>I94='dod3'!J97+'dod4'!G12</f>
        <v>1</v>
      </c>
      <c r="M94" s="296" t="b">
        <f>J94='dod3'!K97+'dod4'!H12</f>
        <v>1</v>
      </c>
    </row>
    <row r="95" spans="1:13" ht="135" x14ac:dyDescent="0.2">
      <c r="A95" s="294" t="s">
        <v>39</v>
      </c>
      <c r="B95" s="294"/>
      <c r="C95" s="294"/>
      <c r="D95" s="294" t="s">
        <v>58</v>
      </c>
      <c r="E95" s="292"/>
      <c r="F95" s="292"/>
      <c r="G95" s="292">
        <f>SUM(G96:G108)</f>
        <v>53790029</v>
      </c>
      <c r="H95" s="292">
        <f t="shared" ref="H95:J95" si="19">SUM(H96:H108)</f>
        <v>50274852</v>
      </c>
      <c r="I95" s="292">
        <f t="shared" si="19"/>
        <v>3515177</v>
      </c>
      <c r="J95" s="292">
        <f t="shared" si="19"/>
        <v>1408533</v>
      </c>
    </row>
    <row r="96" spans="1:13" ht="228.75" x14ac:dyDescent="0.2">
      <c r="A96" s="249" t="s">
        <v>278</v>
      </c>
      <c r="B96" s="249" t="s">
        <v>279</v>
      </c>
      <c r="C96" s="249" t="s">
        <v>280</v>
      </c>
      <c r="D96" s="249" t="s">
        <v>281</v>
      </c>
      <c r="E96" s="334" t="s">
        <v>793</v>
      </c>
      <c r="F96" s="287" t="s">
        <v>734</v>
      </c>
      <c r="G96" s="287">
        <f t="shared" ref="G96" si="20">H96+I96</f>
        <v>3278423</v>
      </c>
      <c r="H96" s="133">
        <f>'dod3'!E98</f>
        <v>3278423</v>
      </c>
      <c r="I96" s="181">
        <f>'dod3'!J98</f>
        <v>0</v>
      </c>
      <c r="J96" s="287">
        <f>'dod3'!K98</f>
        <v>0</v>
      </c>
    </row>
    <row r="97" spans="1:10" ht="228.75" x14ac:dyDescent="0.2">
      <c r="A97" s="249" t="s">
        <v>72</v>
      </c>
      <c r="B97" s="249" t="s">
        <v>261</v>
      </c>
      <c r="C97" s="249" t="s">
        <v>280</v>
      </c>
      <c r="D97" s="249" t="s">
        <v>22</v>
      </c>
      <c r="E97" s="334" t="s">
        <v>793</v>
      </c>
      <c r="F97" s="287" t="s">
        <v>734</v>
      </c>
      <c r="G97" s="287">
        <f t="shared" ref="G97:G98" si="21">H97+I97</f>
        <v>875790</v>
      </c>
      <c r="H97" s="133">
        <f>'dod3'!E99</f>
        <v>875790</v>
      </c>
      <c r="I97" s="181">
        <f>'dod3'!J99</f>
        <v>0</v>
      </c>
      <c r="J97" s="287">
        <f>'dod3'!K99</f>
        <v>0</v>
      </c>
    </row>
    <row r="98" spans="1:10" ht="228.75" x14ac:dyDescent="0.2">
      <c r="A98" s="249" t="s">
        <v>285</v>
      </c>
      <c r="B98" s="249" t="s">
        <v>286</v>
      </c>
      <c r="C98" s="249" t="s">
        <v>280</v>
      </c>
      <c r="D98" s="249" t="s">
        <v>23</v>
      </c>
      <c r="E98" s="334" t="s">
        <v>793</v>
      </c>
      <c r="F98" s="287" t="s">
        <v>734</v>
      </c>
      <c r="G98" s="287">
        <f t="shared" si="21"/>
        <v>3971548</v>
      </c>
      <c r="H98" s="133">
        <f>'dod3'!E100</f>
        <v>3054118</v>
      </c>
      <c r="I98" s="181">
        <f>'dod3'!J100</f>
        <v>917430</v>
      </c>
      <c r="J98" s="287">
        <f>'dod3'!K100</f>
        <v>592430</v>
      </c>
    </row>
    <row r="99" spans="1:10" ht="228.75" x14ac:dyDescent="0.2">
      <c r="A99" s="249" t="s">
        <v>577</v>
      </c>
      <c r="B99" s="249" t="s">
        <v>578</v>
      </c>
      <c r="C99" s="249" t="s">
        <v>280</v>
      </c>
      <c r="D99" s="249" t="s">
        <v>579</v>
      </c>
      <c r="E99" s="334" t="s">
        <v>793</v>
      </c>
      <c r="F99" s="287" t="s">
        <v>734</v>
      </c>
      <c r="G99" s="287">
        <f t="shared" ref="G99:G101" si="22">H99+I99</f>
        <v>6757982</v>
      </c>
      <c r="H99" s="133">
        <f>'dod3'!E101</f>
        <v>5941879</v>
      </c>
      <c r="I99" s="181">
        <f>'dod3'!J101</f>
        <v>816103</v>
      </c>
      <c r="J99" s="287">
        <f>'dod3'!K101</f>
        <v>816103</v>
      </c>
    </row>
    <row r="100" spans="1:10" ht="228.75" x14ac:dyDescent="0.2">
      <c r="A100" s="249" t="s">
        <v>73</v>
      </c>
      <c r="B100" s="249" t="s">
        <v>282</v>
      </c>
      <c r="C100" s="249" t="s">
        <v>292</v>
      </c>
      <c r="D100" s="249" t="s">
        <v>74</v>
      </c>
      <c r="E100" s="334" t="s">
        <v>793</v>
      </c>
      <c r="F100" s="287" t="s">
        <v>734</v>
      </c>
      <c r="G100" s="287">
        <f t="shared" si="22"/>
        <v>10002475</v>
      </c>
      <c r="H100" s="287">
        <f>'dod3'!E102</f>
        <v>10002475</v>
      </c>
      <c r="I100" s="181">
        <f>'dod3'!J102</f>
        <v>0</v>
      </c>
      <c r="J100" s="287">
        <f>'dod3'!K102</f>
        <v>0</v>
      </c>
    </row>
    <row r="101" spans="1:10" ht="228.75" x14ac:dyDescent="0.2">
      <c r="A101" s="249" t="s">
        <v>75</v>
      </c>
      <c r="B101" s="249" t="s">
        <v>283</v>
      </c>
      <c r="C101" s="249" t="s">
        <v>292</v>
      </c>
      <c r="D101" s="249" t="s">
        <v>6</v>
      </c>
      <c r="E101" s="334" t="s">
        <v>793</v>
      </c>
      <c r="F101" s="287" t="s">
        <v>734</v>
      </c>
      <c r="G101" s="287">
        <f t="shared" si="22"/>
        <v>1727513</v>
      </c>
      <c r="H101" s="287">
        <f>'dod3'!E103</f>
        <v>1727513</v>
      </c>
      <c r="I101" s="181">
        <f>'dod3'!J103</f>
        <v>0</v>
      </c>
      <c r="J101" s="287">
        <f>'dod3'!K103</f>
        <v>0</v>
      </c>
    </row>
    <row r="102" spans="1:10" ht="228.75" x14ac:dyDescent="0.2">
      <c r="A102" s="249" t="s">
        <v>76</v>
      </c>
      <c r="B102" s="249" t="s">
        <v>284</v>
      </c>
      <c r="C102" s="249" t="s">
        <v>292</v>
      </c>
      <c r="D102" s="249" t="s">
        <v>573</v>
      </c>
      <c r="E102" s="334" t="s">
        <v>793</v>
      </c>
      <c r="F102" s="287" t="s">
        <v>734</v>
      </c>
      <c r="G102" s="287">
        <f t="shared" ref="G102:G103" si="23">H102+I102</f>
        <v>53014</v>
      </c>
      <c r="H102" s="287">
        <f>'dod3'!E104</f>
        <v>53014</v>
      </c>
      <c r="I102" s="181">
        <f>'dod3'!J104</f>
        <v>0</v>
      </c>
      <c r="J102" s="287">
        <f>'dod3'!K104</f>
        <v>0</v>
      </c>
    </row>
    <row r="103" spans="1:10" ht="228.75" x14ac:dyDescent="0.2">
      <c r="A103" s="249" t="s">
        <v>49</v>
      </c>
      <c r="B103" s="249" t="s">
        <v>289</v>
      </c>
      <c r="C103" s="249" t="s">
        <v>292</v>
      </c>
      <c r="D103" s="249" t="s">
        <v>77</v>
      </c>
      <c r="E103" s="334" t="s">
        <v>793</v>
      </c>
      <c r="F103" s="287" t="s">
        <v>734</v>
      </c>
      <c r="G103" s="287">
        <f t="shared" si="23"/>
        <v>19775739</v>
      </c>
      <c r="H103" s="287">
        <f>'dod3'!E105</f>
        <v>18126095</v>
      </c>
      <c r="I103" s="181">
        <f>'dod3'!J105</f>
        <v>1649644</v>
      </c>
      <c r="J103" s="287">
        <f>'dod3'!K105</f>
        <v>0</v>
      </c>
    </row>
    <row r="104" spans="1:10" ht="228.75" x14ac:dyDescent="0.2">
      <c r="A104" s="249" t="s">
        <v>50</v>
      </c>
      <c r="B104" s="249" t="s">
        <v>290</v>
      </c>
      <c r="C104" s="249" t="s">
        <v>292</v>
      </c>
      <c r="D104" s="249" t="s">
        <v>78</v>
      </c>
      <c r="E104" s="334" t="s">
        <v>793</v>
      </c>
      <c r="F104" s="287" t="s">
        <v>734</v>
      </c>
      <c r="G104" s="287">
        <f t="shared" ref="G104" si="24">H104+I104</f>
        <v>4254685</v>
      </c>
      <c r="H104" s="287">
        <f>'dod3'!E106</f>
        <v>4254685</v>
      </c>
      <c r="I104" s="181">
        <f>'dod3'!J106</f>
        <v>0</v>
      </c>
      <c r="J104" s="287">
        <f>'dod3'!K106</f>
        <v>0</v>
      </c>
    </row>
    <row r="105" spans="1:10" ht="274.5" x14ac:dyDescent="0.2">
      <c r="A105" s="297" t="s">
        <v>51</v>
      </c>
      <c r="B105" s="297" t="s">
        <v>291</v>
      </c>
      <c r="C105" s="297" t="s">
        <v>292</v>
      </c>
      <c r="D105" s="249" t="s">
        <v>52</v>
      </c>
      <c r="E105" s="334" t="s">
        <v>793</v>
      </c>
      <c r="F105" s="287" t="s">
        <v>734</v>
      </c>
      <c r="G105" s="287">
        <f t="shared" ref="G105" si="25">H105+I105</f>
        <v>1500611</v>
      </c>
      <c r="H105" s="287">
        <f>'dod3'!E107</f>
        <v>1500611</v>
      </c>
      <c r="I105" s="181">
        <f>'dod3'!J107</f>
        <v>0</v>
      </c>
      <c r="J105" s="287">
        <f>'dod3'!K107</f>
        <v>0</v>
      </c>
    </row>
    <row r="106" spans="1:10" ht="228.75" x14ac:dyDescent="0.2">
      <c r="A106" s="297" t="s">
        <v>53</v>
      </c>
      <c r="B106" s="297" t="s">
        <v>293</v>
      </c>
      <c r="C106" s="297" t="s">
        <v>292</v>
      </c>
      <c r="D106" s="249" t="s">
        <v>54</v>
      </c>
      <c r="E106" s="334" t="s">
        <v>793</v>
      </c>
      <c r="F106" s="287" t="s">
        <v>734</v>
      </c>
      <c r="G106" s="287">
        <f t="shared" ref="G106" si="26">H106+I106</f>
        <v>1221249</v>
      </c>
      <c r="H106" s="287">
        <f>'dod3'!E108</f>
        <v>1179249</v>
      </c>
      <c r="I106" s="181">
        <f>'dod3'!J108</f>
        <v>42000</v>
      </c>
      <c r="J106" s="287">
        <f>'dod3'!K108</f>
        <v>0</v>
      </c>
    </row>
    <row r="107" spans="1:10" ht="274.5" x14ac:dyDescent="0.2">
      <c r="A107" s="297" t="s">
        <v>547</v>
      </c>
      <c r="B107" s="297" t="s">
        <v>546</v>
      </c>
      <c r="C107" s="297" t="s">
        <v>545</v>
      </c>
      <c r="D107" s="249" t="s">
        <v>544</v>
      </c>
      <c r="E107" s="334" t="s">
        <v>793</v>
      </c>
      <c r="F107" s="287" t="s">
        <v>734</v>
      </c>
      <c r="G107" s="287">
        <f t="shared" ref="G107:G108" si="27">H107+I107</f>
        <v>21000</v>
      </c>
      <c r="H107" s="287">
        <f>'dod3'!E109</f>
        <v>21000</v>
      </c>
      <c r="I107" s="181">
        <f>'dod3'!J109</f>
        <v>0</v>
      </c>
      <c r="J107" s="287">
        <f>'dod3'!K109</f>
        <v>0</v>
      </c>
    </row>
    <row r="108" spans="1:10" ht="228.75" x14ac:dyDescent="0.2">
      <c r="A108" s="339" t="s">
        <v>600</v>
      </c>
      <c r="B108" s="339" t="s">
        <v>602</v>
      </c>
      <c r="C108" s="339" t="s">
        <v>79</v>
      </c>
      <c r="D108" s="340" t="s">
        <v>295</v>
      </c>
      <c r="E108" s="334" t="s">
        <v>793</v>
      </c>
      <c r="F108" s="287" t="s">
        <v>734</v>
      </c>
      <c r="G108" s="287">
        <f t="shared" si="27"/>
        <v>350000</v>
      </c>
      <c r="H108" s="287">
        <f>'dod4'!F12</f>
        <v>260000</v>
      </c>
      <c r="I108" s="181">
        <f>'dod4'!G12</f>
        <v>90000</v>
      </c>
      <c r="J108" s="287">
        <f>'dod4'!H12</f>
        <v>0</v>
      </c>
    </row>
    <row r="109" spans="1:10" ht="91.5" hidden="1" x14ac:dyDescent="0.2">
      <c r="A109" s="249" t="s">
        <v>647</v>
      </c>
      <c r="B109" s="248" t="s">
        <v>604</v>
      </c>
      <c r="C109" s="248" t="s">
        <v>71</v>
      </c>
      <c r="D109" s="248" t="s">
        <v>605</v>
      </c>
      <c r="E109" s="167"/>
      <c r="F109" s="133"/>
      <c r="G109" s="133"/>
      <c r="H109" s="133"/>
      <c r="I109" s="181"/>
      <c r="J109" s="250"/>
    </row>
    <row r="110" spans="1:10" ht="180" x14ac:dyDescent="0.2">
      <c r="A110" s="290" t="s">
        <v>245</v>
      </c>
      <c r="B110" s="290"/>
      <c r="C110" s="290"/>
      <c r="D110" s="290" t="s">
        <v>42</v>
      </c>
      <c r="E110" s="291"/>
      <c r="F110" s="292"/>
      <c r="G110" s="291">
        <f>G111</f>
        <v>372517803</v>
      </c>
      <c r="H110" s="291">
        <f t="shared" ref="H110:J110" si="28">H111</f>
        <v>218356489</v>
      </c>
      <c r="I110" s="291">
        <f t="shared" si="28"/>
        <v>154161314</v>
      </c>
      <c r="J110" s="291">
        <f t="shared" si="28"/>
        <v>154161314</v>
      </c>
    </row>
    <row r="111" spans="1:10" ht="180" x14ac:dyDescent="0.2">
      <c r="A111" s="294" t="s">
        <v>246</v>
      </c>
      <c r="B111" s="294"/>
      <c r="C111" s="294"/>
      <c r="D111" s="294" t="s">
        <v>63</v>
      </c>
      <c r="E111" s="292"/>
      <c r="F111" s="292"/>
      <c r="G111" s="292">
        <f>SUM(G112:G131)</f>
        <v>372517803</v>
      </c>
      <c r="H111" s="292">
        <f t="shared" ref="H111:J111" si="29">SUM(H112:H131)</f>
        <v>218356489</v>
      </c>
      <c r="I111" s="292">
        <f t="shared" si="29"/>
        <v>154161314</v>
      </c>
      <c r="J111" s="292">
        <f t="shared" si="29"/>
        <v>154161314</v>
      </c>
    </row>
    <row r="112" spans="1:10" ht="232.5" x14ac:dyDescent="0.2">
      <c r="A112" s="524" t="s">
        <v>420</v>
      </c>
      <c r="B112" s="524" t="s">
        <v>421</v>
      </c>
      <c r="C112" s="524" t="s">
        <v>423</v>
      </c>
      <c r="D112" s="524" t="s">
        <v>422</v>
      </c>
      <c r="E112" s="133" t="s">
        <v>754</v>
      </c>
      <c r="F112" s="364" t="s">
        <v>761</v>
      </c>
      <c r="G112" s="520">
        <f>H112+I112</f>
        <v>4600000</v>
      </c>
      <c r="H112" s="520">
        <f>'dod3'!E114-H113</f>
        <v>50000</v>
      </c>
      <c r="I112" s="526">
        <f>'dod3'!J114-I113</f>
        <v>4550000</v>
      </c>
      <c r="J112" s="527">
        <f>'dod3'!K114-J113</f>
        <v>4550000</v>
      </c>
    </row>
    <row r="113" spans="1:10" ht="228.75" x14ac:dyDescent="0.2">
      <c r="A113" s="525"/>
      <c r="B113" s="525"/>
      <c r="C113" s="525"/>
      <c r="D113" s="525"/>
      <c r="E113" s="364" t="s">
        <v>755</v>
      </c>
      <c r="F113" s="364" t="s">
        <v>762</v>
      </c>
      <c r="G113" s="439"/>
      <c r="H113" s="439"/>
      <c r="I113" s="439"/>
      <c r="J113" s="439"/>
    </row>
    <row r="114" spans="1:10" ht="232.5" x14ac:dyDescent="0.2">
      <c r="A114" s="352" t="s">
        <v>649</v>
      </c>
      <c r="B114" s="352" t="s">
        <v>650</v>
      </c>
      <c r="C114" s="352" t="s">
        <v>423</v>
      </c>
      <c r="D114" s="352" t="s">
        <v>651</v>
      </c>
      <c r="E114" s="133" t="s">
        <v>754</v>
      </c>
      <c r="F114" s="364" t="s">
        <v>761</v>
      </c>
      <c r="G114" s="133">
        <f t="shared" ref="G114:G124" si="30">H114+I114</f>
        <v>18000000</v>
      </c>
      <c r="H114" s="133">
        <f>'dod3'!E115</f>
        <v>18000000</v>
      </c>
      <c r="I114" s="181">
        <f>'dod3'!J115</f>
        <v>0</v>
      </c>
      <c r="J114" s="288">
        <f>'dod3'!K115</f>
        <v>0</v>
      </c>
    </row>
    <row r="115" spans="1:10" ht="232.5" x14ac:dyDescent="0.2">
      <c r="A115" s="352" t="s">
        <v>427</v>
      </c>
      <c r="B115" s="352" t="s">
        <v>428</v>
      </c>
      <c r="C115" s="352" t="s">
        <v>423</v>
      </c>
      <c r="D115" s="352" t="s">
        <v>429</v>
      </c>
      <c r="E115" s="133" t="s">
        <v>754</v>
      </c>
      <c r="F115" s="364" t="s">
        <v>761</v>
      </c>
      <c r="G115" s="133">
        <f t="shared" si="30"/>
        <v>553700</v>
      </c>
      <c r="H115" s="133">
        <f>'dod3'!E116</f>
        <v>553700</v>
      </c>
      <c r="I115" s="181">
        <f>'dod3'!J116</f>
        <v>0</v>
      </c>
      <c r="J115" s="288">
        <f>'dod3'!K116</f>
        <v>0</v>
      </c>
    </row>
    <row r="116" spans="1:10" ht="232.5" x14ac:dyDescent="0.2">
      <c r="A116" s="352" t="s">
        <v>450</v>
      </c>
      <c r="B116" s="352" t="s">
        <v>451</v>
      </c>
      <c r="C116" s="352" t="s">
        <v>423</v>
      </c>
      <c r="D116" s="352" t="s">
        <v>452</v>
      </c>
      <c r="E116" s="133" t="s">
        <v>754</v>
      </c>
      <c r="F116" s="364" t="s">
        <v>761</v>
      </c>
      <c r="G116" s="133">
        <f t="shared" si="30"/>
        <v>5000000</v>
      </c>
      <c r="H116" s="133">
        <f>'dod3'!E117</f>
        <v>0</v>
      </c>
      <c r="I116" s="181">
        <f>'dod3'!J117</f>
        <v>5000000</v>
      </c>
      <c r="J116" s="288">
        <f>'dod3'!K117</f>
        <v>5000000</v>
      </c>
    </row>
    <row r="117" spans="1:10" ht="232.5" x14ac:dyDescent="0.2">
      <c r="A117" s="352" t="s">
        <v>424</v>
      </c>
      <c r="B117" s="352" t="s">
        <v>425</v>
      </c>
      <c r="C117" s="352" t="s">
        <v>423</v>
      </c>
      <c r="D117" s="352" t="s">
        <v>426</v>
      </c>
      <c r="E117" s="133" t="s">
        <v>754</v>
      </c>
      <c r="F117" s="364" t="s">
        <v>761</v>
      </c>
      <c r="G117" s="133">
        <f t="shared" si="30"/>
        <v>23000000</v>
      </c>
      <c r="H117" s="133">
        <f>'dod3'!E118</f>
        <v>0</v>
      </c>
      <c r="I117" s="181">
        <f>'dod3'!J118</f>
        <v>23000000</v>
      </c>
      <c r="J117" s="288">
        <f>'dod3'!K118</f>
        <v>23000000</v>
      </c>
    </row>
    <row r="118" spans="1:10" ht="232.5" x14ac:dyDescent="0.2">
      <c r="A118" s="343" t="s">
        <v>444</v>
      </c>
      <c r="B118" s="343" t="s">
        <v>445</v>
      </c>
      <c r="C118" s="343" t="s">
        <v>423</v>
      </c>
      <c r="D118" s="343" t="s">
        <v>446</v>
      </c>
      <c r="E118" s="133" t="s">
        <v>754</v>
      </c>
      <c r="F118" s="364" t="s">
        <v>761</v>
      </c>
      <c r="G118" s="133">
        <f t="shared" si="30"/>
        <v>370575</v>
      </c>
      <c r="H118" s="133">
        <f>'dod3'!E119</f>
        <v>370575</v>
      </c>
      <c r="I118" s="181">
        <f>'dod3'!J119</f>
        <v>0</v>
      </c>
      <c r="J118" s="288">
        <f>'dod3'!K119</f>
        <v>0</v>
      </c>
    </row>
    <row r="119" spans="1:10" ht="232.5" x14ac:dyDescent="0.2">
      <c r="A119" s="343" t="s">
        <v>430</v>
      </c>
      <c r="B119" s="343" t="s">
        <v>431</v>
      </c>
      <c r="C119" s="343" t="s">
        <v>423</v>
      </c>
      <c r="D119" s="343" t="s">
        <v>432</v>
      </c>
      <c r="E119" s="133" t="s">
        <v>754</v>
      </c>
      <c r="F119" s="364" t="s">
        <v>761</v>
      </c>
      <c r="G119" s="133">
        <f t="shared" si="30"/>
        <v>130726749</v>
      </c>
      <c r="H119" s="133">
        <f>'dod3'!E120</f>
        <v>111566028</v>
      </c>
      <c r="I119" s="181">
        <f>'dod3'!J120</f>
        <v>19160721</v>
      </c>
      <c r="J119" s="288">
        <f>'dod3'!K120</f>
        <v>19160721</v>
      </c>
    </row>
    <row r="120" spans="1:10" ht="232.5" x14ac:dyDescent="0.2">
      <c r="A120" s="343" t="s">
        <v>454</v>
      </c>
      <c r="B120" s="343" t="s">
        <v>455</v>
      </c>
      <c r="C120" s="343" t="s">
        <v>453</v>
      </c>
      <c r="D120" s="343" t="s">
        <v>456</v>
      </c>
      <c r="E120" s="133" t="s">
        <v>754</v>
      </c>
      <c r="F120" s="364" t="s">
        <v>761</v>
      </c>
      <c r="G120" s="133">
        <f t="shared" si="30"/>
        <v>9700000</v>
      </c>
      <c r="H120" s="133">
        <f>'dod3'!E121</f>
        <v>0</v>
      </c>
      <c r="I120" s="181">
        <f>'dod3'!J121</f>
        <v>9700000</v>
      </c>
      <c r="J120" s="288">
        <f>'dod3'!K121</f>
        <v>9700000</v>
      </c>
    </row>
    <row r="121" spans="1:10" ht="232.5" x14ac:dyDescent="0.2">
      <c r="A121" s="343" t="s">
        <v>748</v>
      </c>
      <c r="B121" s="343" t="s">
        <v>749</v>
      </c>
      <c r="C121" s="343" t="s">
        <v>750</v>
      </c>
      <c r="D121" s="343" t="s">
        <v>751</v>
      </c>
      <c r="E121" s="133" t="s">
        <v>754</v>
      </c>
      <c r="F121" s="364" t="s">
        <v>761</v>
      </c>
      <c r="G121" s="133">
        <f t="shared" si="30"/>
        <v>10620634</v>
      </c>
      <c r="H121" s="133">
        <f>'dod3'!E122</f>
        <v>10620634</v>
      </c>
      <c r="I121" s="181">
        <f>'dod3'!J122</f>
        <v>0</v>
      </c>
      <c r="J121" s="288">
        <f>'dod3'!K122</f>
        <v>0</v>
      </c>
    </row>
    <row r="122" spans="1:10" ht="137.25" x14ac:dyDescent="0.2">
      <c r="A122" s="352" t="s">
        <v>433</v>
      </c>
      <c r="B122" s="352" t="s">
        <v>434</v>
      </c>
      <c r="C122" s="352" t="s">
        <v>436</v>
      </c>
      <c r="D122" s="352" t="s">
        <v>435</v>
      </c>
      <c r="E122" s="366" t="s">
        <v>756</v>
      </c>
      <c r="F122" s="364" t="s">
        <v>764</v>
      </c>
      <c r="G122" s="133">
        <f t="shared" si="30"/>
        <v>16217135</v>
      </c>
      <c r="H122" s="133">
        <f>'dod3'!E123</f>
        <v>16217135</v>
      </c>
      <c r="I122" s="181">
        <f>'dod3'!J123</f>
        <v>0</v>
      </c>
      <c r="J122" s="288">
        <f>'dod3'!K123</f>
        <v>0</v>
      </c>
    </row>
    <row r="123" spans="1:10" ht="232.5" x14ac:dyDescent="0.2">
      <c r="A123" s="352" t="s">
        <v>437</v>
      </c>
      <c r="B123" s="352" t="s">
        <v>438</v>
      </c>
      <c r="C123" s="352" t="s">
        <v>440</v>
      </c>
      <c r="D123" s="352" t="s">
        <v>439</v>
      </c>
      <c r="E123" s="133" t="s">
        <v>754</v>
      </c>
      <c r="F123" s="364" t="s">
        <v>761</v>
      </c>
      <c r="G123" s="133">
        <f t="shared" si="30"/>
        <v>142240533</v>
      </c>
      <c r="H123" s="133">
        <f>'dod3'!E124</f>
        <v>59477425</v>
      </c>
      <c r="I123" s="181">
        <f>'dod3'!J124</f>
        <v>82763108</v>
      </c>
      <c r="J123" s="288">
        <f>'dod3'!K124</f>
        <v>82763108</v>
      </c>
    </row>
    <row r="124" spans="1:10" ht="183" x14ac:dyDescent="0.2">
      <c r="A124" s="442" t="s">
        <v>441</v>
      </c>
      <c r="B124" s="442" t="s">
        <v>320</v>
      </c>
      <c r="C124" s="442" t="s">
        <v>321</v>
      </c>
      <c r="D124" s="442" t="s">
        <v>67</v>
      </c>
      <c r="E124" s="319" t="s">
        <v>754</v>
      </c>
      <c r="F124" s="364" t="s">
        <v>761</v>
      </c>
      <c r="G124" s="520">
        <f t="shared" si="30"/>
        <v>250000</v>
      </c>
      <c r="H124" s="520">
        <f>'dod3'!E125</f>
        <v>250000</v>
      </c>
      <c r="I124" s="526"/>
      <c r="J124" s="527"/>
    </row>
    <row r="125" spans="1:10" ht="409.5" x14ac:dyDescent="0.2">
      <c r="A125" s="439"/>
      <c r="B125" s="439"/>
      <c r="C125" s="439"/>
      <c r="D125" s="439"/>
      <c r="E125" s="369" t="s">
        <v>763</v>
      </c>
      <c r="F125" s="319" t="s">
        <v>765</v>
      </c>
      <c r="G125" s="439"/>
      <c r="H125" s="439"/>
      <c r="I125" s="439"/>
      <c r="J125" s="439"/>
    </row>
    <row r="126" spans="1:10" ht="46.5" hidden="1" x14ac:dyDescent="0.2">
      <c r="A126" s="343"/>
      <c r="B126" s="343"/>
      <c r="C126" s="343"/>
      <c r="D126" s="343"/>
      <c r="E126" s="319"/>
      <c r="F126" s="319"/>
      <c r="G126" s="520">
        <f>H127+I127</f>
        <v>1000000</v>
      </c>
      <c r="H126" s="133"/>
      <c r="I126" s="181"/>
      <c r="J126" s="288"/>
    </row>
    <row r="127" spans="1:10" ht="409.5" x14ac:dyDescent="0.2">
      <c r="A127" s="343" t="s">
        <v>441</v>
      </c>
      <c r="B127" s="343" t="s">
        <v>320</v>
      </c>
      <c r="C127" s="343" t="s">
        <v>321</v>
      </c>
      <c r="D127" s="343" t="s">
        <v>67</v>
      </c>
      <c r="E127" s="364" t="s">
        <v>766</v>
      </c>
      <c r="F127" s="367" t="s">
        <v>757</v>
      </c>
      <c r="G127" s="439"/>
      <c r="H127" s="133"/>
      <c r="I127" s="181">
        <v>1000000</v>
      </c>
      <c r="J127" s="288">
        <v>1000000</v>
      </c>
    </row>
    <row r="128" spans="1:10" ht="364.5" x14ac:dyDescent="0.2">
      <c r="A128" s="343" t="s">
        <v>441</v>
      </c>
      <c r="B128" s="343" t="s">
        <v>320</v>
      </c>
      <c r="C128" s="343" t="s">
        <v>321</v>
      </c>
      <c r="D128" s="343" t="s">
        <v>67</v>
      </c>
      <c r="E128" s="374" t="s">
        <v>758</v>
      </c>
      <c r="F128" s="368" t="s">
        <v>759</v>
      </c>
      <c r="G128" s="133">
        <f>H128+I128</f>
        <v>250000</v>
      </c>
      <c r="H128" s="133"/>
      <c r="I128" s="181">
        <v>250000</v>
      </c>
      <c r="J128" s="288">
        <v>250000</v>
      </c>
    </row>
    <row r="129" spans="1:13" ht="232.5" x14ac:dyDescent="0.2">
      <c r="A129" s="343" t="s">
        <v>458</v>
      </c>
      <c r="B129" s="343" t="s">
        <v>294</v>
      </c>
      <c r="C129" s="343" t="s">
        <v>257</v>
      </c>
      <c r="D129" s="343" t="s">
        <v>57</v>
      </c>
      <c r="E129" s="133" t="s">
        <v>754</v>
      </c>
      <c r="F129" s="364" t="s">
        <v>761</v>
      </c>
      <c r="G129" s="133">
        <f>H129+I129</f>
        <v>8737485</v>
      </c>
      <c r="H129" s="133">
        <f>'dod3'!E126</f>
        <v>0</v>
      </c>
      <c r="I129" s="181">
        <f>'dod3'!J126</f>
        <v>8737485</v>
      </c>
      <c r="J129" s="346">
        <f>'dod3'!K126</f>
        <v>8737485</v>
      </c>
    </row>
    <row r="130" spans="1:13" ht="232.5" x14ac:dyDescent="0.2">
      <c r="A130" s="343" t="s">
        <v>442</v>
      </c>
      <c r="B130" s="343" t="s">
        <v>443</v>
      </c>
      <c r="C130" s="343" t="s">
        <v>390</v>
      </c>
      <c r="D130" s="343" t="s">
        <v>543</v>
      </c>
      <c r="E130" s="133" t="s">
        <v>754</v>
      </c>
      <c r="F130" s="364" t="s">
        <v>761</v>
      </c>
      <c r="G130" s="133">
        <f>H130+I130</f>
        <v>0</v>
      </c>
      <c r="H130" s="133"/>
      <c r="I130" s="181">
        <f t="shared" ref="I130:I131" si="31">J130</f>
        <v>0</v>
      </c>
      <c r="J130" s="345"/>
    </row>
    <row r="131" spans="1:13" ht="409.5" x14ac:dyDescent="0.2">
      <c r="A131" s="343" t="s">
        <v>388</v>
      </c>
      <c r="B131" s="343" t="s">
        <v>389</v>
      </c>
      <c r="C131" s="343" t="s">
        <v>390</v>
      </c>
      <c r="D131" s="343" t="s">
        <v>387</v>
      </c>
      <c r="E131" s="364" t="s">
        <v>760</v>
      </c>
      <c r="F131" s="365" t="s">
        <v>767</v>
      </c>
      <c r="G131" s="133">
        <f>H131+I131</f>
        <v>1250992</v>
      </c>
      <c r="H131" s="133">
        <v>1250992</v>
      </c>
      <c r="I131" s="181">
        <f t="shared" si="31"/>
        <v>0</v>
      </c>
      <c r="J131" s="345"/>
    </row>
    <row r="132" spans="1:13" ht="270" x14ac:dyDescent="0.2">
      <c r="A132" s="290" t="s">
        <v>44</v>
      </c>
      <c r="B132" s="290"/>
      <c r="C132" s="290"/>
      <c r="D132" s="290" t="s">
        <v>643</v>
      </c>
      <c r="E132" s="291"/>
      <c r="F132" s="291"/>
      <c r="G132" s="291">
        <f>G133</f>
        <v>53000000</v>
      </c>
      <c r="H132" s="291">
        <f>H133</f>
        <v>0</v>
      </c>
      <c r="I132" s="291">
        <f>I133</f>
        <v>53000000</v>
      </c>
      <c r="J132" s="291">
        <f>J133</f>
        <v>53000000</v>
      </c>
    </row>
    <row r="133" spans="1:13" ht="270" x14ac:dyDescent="0.2">
      <c r="A133" s="294" t="s">
        <v>45</v>
      </c>
      <c r="B133" s="294"/>
      <c r="C133" s="294"/>
      <c r="D133" s="294" t="s">
        <v>642</v>
      </c>
      <c r="E133" s="292"/>
      <c r="F133" s="292"/>
      <c r="G133" s="292">
        <f>G134+G135+G136</f>
        <v>53000000</v>
      </c>
      <c r="H133" s="292">
        <f t="shared" ref="H133:J133" si="32">H134+H135+H136</f>
        <v>0</v>
      </c>
      <c r="I133" s="292">
        <f t="shared" si="32"/>
        <v>53000000</v>
      </c>
      <c r="J133" s="292">
        <f t="shared" si="32"/>
        <v>53000000</v>
      </c>
    </row>
    <row r="134" spans="1:13" ht="139.5" x14ac:dyDescent="0.2">
      <c r="A134" s="352" t="s">
        <v>472</v>
      </c>
      <c r="B134" s="352" t="s">
        <v>473</v>
      </c>
      <c r="C134" s="352" t="s">
        <v>453</v>
      </c>
      <c r="D134" s="352" t="s">
        <v>471</v>
      </c>
      <c r="E134" s="133" t="s">
        <v>747</v>
      </c>
      <c r="F134" s="133"/>
      <c r="G134" s="346">
        <f>I134</f>
        <v>37000000</v>
      </c>
      <c r="H134" s="346"/>
      <c r="I134" s="346">
        <f>'dod3'!J133</f>
        <v>37000000</v>
      </c>
      <c r="J134" s="288">
        <f>I134</f>
        <v>37000000</v>
      </c>
    </row>
    <row r="135" spans="1:13" ht="139.5" x14ac:dyDescent="0.2">
      <c r="A135" s="352" t="s">
        <v>474</v>
      </c>
      <c r="B135" s="352" t="s">
        <v>475</v>
      </c>
      <c r="C135" s="352" t="s">
        <v>453</v>
      </c>
      <c r="D135" s="352" t="s">
        <v>476</v>
      </c>
      <c r="E135" s="133" t="s">
        <v>747</v>
      </c>
      <c r="F135" s="133"/>
      <c r="G135" s="346">
        <f t="shared" ref="G135:G136" si="33">I135</f>
        <v>4500000</v>
      </c>
      <c r="H135" s="346"/>
      <c r="I135" s="346">
        <f>'dod3'!J134</f>
        <v>4500000</v>
      </c>
      <c r="J135" s="288">
        <f>I135</f>
        <v>4500000</v>
      </c>
    </row>
    <row r="136" spans="1:13" ht="183" x14ac:dyDescent="0.2">
      <c r="A136" s="375" t="s">
        <v>478</v>
      </c>
      <c r="B136" s="375" t="s">
        <v>479</v>
      </c>
      <c r="C136" s="375" t="s">
        <v>453</v>
      </c>
      <c r="D136" s="375" t="s">
        <v>477</v>
      </c>
      <c r="E136" s="133" t="s">
        <v>747</v>
      </c>
      <c r="F136" s="133"/>
      <c r="G136" s="346">
        <f t="shared" si="33"/>
        <v>11500000</v>
      </c>
      <c r="H136" s="346"/>
      <c r="I136" s="346">
        <f>'dod3'!J135</f>
        <v>11500000</v>
      </c>
      <c r="J136" s="346">
        <f>I136</f>
        <v>11500000</v>
      </c>
    </row>
    <row r="137" spans="1:13" ht="225" x14ac:dyDescent="0.2">
      <c r="A137" s="290" t="s">
        <v>247</v>
      </c>
      <c r="B137" s="290"/>
      <c r="C137" s="290"/>
      <c r="D137" s="290" t="s">
        <v>46</v>
      </c>
      <c r="E137" s="291"/>
      <c r="F137" s="291"/>
      <c r="G137" s="291">
        <f>G138</f>
        <v>2000000</v>
      </c>
      <c r="H137" s="291">
        <f t="shared" ref="H137:J138" si="34">H138</f>
        <v>0</v>
      </c>
      <c r="I137" s="291">
        <f t="shared" si="34"/>
        <v>2000000</v>
      </c>
      <c r="J137" s="291">
        <f t="shared" si="34"/>
        <v>2000000</v>
      </c>
    </row>
    <row r="138" spans="1:13" ht="225" x14ac:dyDescent="0.2">
      <c r="A138" s="294" t="s">
        <v>248</v>
      </c>
      <c r="B138" s="294"/>
      <c r="C138" s="294"/>
      <c r="D138" s="294" t="s">
        <v>64</v>
      </c>
      <c r="E138" s="292"/>
      <c r="F138" s="292"/>
      <c r="G138" s="292">
        <f>G139</f>
        <v>2000000</v>
      </c>
      <c r="H138" s="292">
        <f t="shared" si="34"/>
        <v>0</v>
      </c>
      <c r="I138" s="292">
        <f t="shared" si="34"/>
        <v>2000000</v>
      </c>
      <c r="J138" s="292">
        <f t="shared" si="34"/>
        <v>2000000</v>
      </c>
    </row>
    <row r="139" spans="1:13" ht="180.75" customHeight="1" x14ac:dyDescent="0.2">
      <c r="A139" s="375" t="s">
        <v>463</v>
      </c>
      <c r="B139" s="375" t="s">
        <v>464</v>
      </c>
      <c r="C139" s="375" t="s">
        <v>453</v>
      </c>
      <c r="D139" s="387" t="s">
        <v>465</v>
      </c>
      <c r="E139" s="133" t="s">
        <v>747</v>
      </c>
      <c r="F139" s="133"/>
      <c r="G139" s="346">
        <f>H139+I139</f>
        <v>2000000</v>
      </c>
      <c r="H139" s="376"/>
      <c r="I139" s="346">
        <v>2000000</v>
      </c>
      <c r="J139" s="346">
        <f>I139</f>
        <v>2000000</v>
      </c>
    </row>
    <row r="140" spans="1:13" ht="135" x14ac:dyDescent="0.2">
      <c r="A140" s="290" t="s">
        <v>253</v>
      </c>
      <c r="B140" s="290"/>
      <c r="C140" s="290"/>
      <c r="D140" s="290" t="s">
        <v>580</v>
      </c>
      <c r="E140" s="291"/>
      <c r="F140" s="292"/>
      <c r="G140" s="291">
        <f>G141</f>
        <v>6870650</v>
      </c>
      <c r="H140" s="291">
        <f t="shared" ref="H140:J140" si="35">H141</f>
        <v>4870650</v>
      </c>
      <c r="I140" s="291">
        <f t="shared" si="35"/>
        <v>2000000</v>
      </c>
      <c r="J140" s="291">
        <f t="shared" si="35"/>
        <v>2000000</v>
      </c>
      <c r="K140" s="295" t="b">
        <f>H140='dod3'!E141</f>
        <v>1</v>
      </c>
      <c r="L140" s="295" t="b">
        <f>I140='dod3'!J141</f>
        <v>1</v>
      </c>
      <c r="M140" s="296" t="b">
        <f>J140='dod3'!K141</f>
        <v>1</v>
      </c>
    </row>
    <row r="141" spans="1:13" ht="135" x14ac:dyDescent="0.2">
      <c r="A141" s="294" t="s">
        <v>254</v>
      </c>
      <c r="B141" s="294"/>
      <c r="C141" s="294"/>
      <c r="D141" s="294" t="s">
        <v>581</v>
      </c>
      <c r="E141" s="292"/>
      <c r="F141" s="292"/>
      <c r="G141" s="292">
        <f>SUM(G142:G146)</f>
        <v>6870650</v>
      </c>
      <c r="H141" s="292">
        <f t="shared" ref="H141:J141" si="36">SUM(H142:H146)</f>
        <v>4870650</v>
      </c>
      <c r="I141" s="292">
        <f t="shared" si="36"/>
        <v>2000000</v>
      </c>
      <c r="J141" s="292">
        <f t="shared" si="36"/>
        <v>2000000</v>
      </c>
    </row>
    <row r="142" spans="1:13" ht="183" x14ac:dyDescent="0.2">
      <c r="A142" s="343" t="s">
        <v>574</v>
      </c>
      <c r="B142" s="343" t="s">
        <v>575</v>
      </c>
      <c r="C142" s="343" t="s">
        <v>257</v>
      </c>
      <c r="D142" s="343" t="s">
        <v>401</v>
      </c>
      <c r="E142" s="334" t="s">
        <v>781</v>
      </c>
      <c r="F142" s="364" t="s">
        <v>780</v>
      </c>
      <c r="G142" s="133">
        <f t="shared" ref="G142:G146" si="37">H142+I142</f>
        <v>2000000</v>
      </c>
      <c r="H142" s="346">
        <v>0</v>
      </c>
      <c r="I142" s="346">
        <v>2000000</v>
      </c>
      <c r="J142" s="346">
        <v>2000000</v>
      </c>
      <c r="K142" s="295" t="b">
        <f>H142='dod3'!E142</f>
        <v>1</v>
      </c>
      <c r="L142" s="295" t="b">
        <f>I142='dod3'!J142</f>
        <v>1</v>
      </c>
      <c r="M142" s="296" t="b">
        <f>J142='dod3'!K142</f>
        <v>1</v>
      </c>
    </row>
    <row r="143" spans="1:13" ht="91.5" x14ac:dyDescent="0.2">
      <c r="A143" s="343" t="s">
        <v>399</v>
      </c>
      <c r="B143" s="343" t="s">
        <v>400</v>
      </c>
      <c r="C143" s="343" t="s">
        <v>398</v>
      </c>
      <c r="D143" s="343" t="s">
        <v>397</v>
      </c>
      <c r="E143" s="334" t="s">
        <v>782</v>
      </c>
      <c r="F143" s="346"/>
      <c r="G143" s="133">
        <f t="shared" si="37"/>
        <v>2456650</v>
      </c>
      <c r="H143" s="346">
        <v>2456650</v>
      </c>
      <c r="I143" s="346">
        <v>0</v>
      </c>
      <c r="J143" s="346">
        <v>0</v>
      </c>
      <c r="K143" s="295" t="b">
        <f>H143+H144='dod3'!E143</f>
        <v>1</v>
      </c>
      <c r="L143" s="295" t="b">
        <f>I143+I144='dod3'!J143</f>
        <v>1</v>
      </c>
      <c r="M143" s="296" t="b">
        <f>J143+J144='dod3'!K143</f>
        <v>1</v>
      </c>
    </row>
    <row r="144" spans="1:13" ht="137.25" x14ac:dyDescent="0.2">
      <c r="A144" s="343" t="s">
        <v>399</v>
      </c>
      <c r="B144" s="343" t="s">
        <v>400</v>
      </c>
      <c r="C144" s="343" t="s">
        <v>398</v>
      </c>
      <c r="D144" s="343" t="s">
        <v>397</v>
      </c>
      <c r="E144" s="334" t="s">
        <v>607</v>
      </c>
      <c r="F144" s="364" t="s">
        <v>783</v>
      </c>
      <c r="G144" s="133">
        <f t="shared" si="37"/>
        <v>200000</v>
      </c>
      <c r="H144" s="346">
        <v>200000</v>
      </c>
      <c r="I144" s="346">
        <v>0</v>
      </c>
      <c r="J144" s="346">
        <v>0</v>
      </c>
    </row>
    <row r="145" spans="1:13" ht="186" x14ac:dyDescent="0.2">
      <c r="A145" s="343" t="s">
        <v>391</v>
      </c>
      <c r="B145" s="343" t="s">
        <v>393</v>
      </c>
      <c r="C145" s="343" t="s">
        <v>321</v>
      </c>
      <c r="D145" s="343" t="s">
        <v>392</v>
      </c>
      <c r="E145" s="346" t="s">
        <v>784</v>
      </c>
      <c r="F145" s="364" t="s">
        <v>785</v>
      </c>
      <c r="G145" s="133">
        <f t="shared" si="37"/>
        <v>420000</v>
      </c>
      <c r="H145" s="346">
        <v>420000</v>
      </c>
      <c r="I145" s="346">
        <v>0</v>
      </c>
      <c r="J145" s="346">
        <v>0</v>
      </c>
      <c r="K145" s="295" t="b">
        <f>H145='dod3'!E144</f>
        <v>1</v>
      </c>
      <c r="L145" s="295" t="b">
        <f>I145='dod3'!J144</f>
        <v>1</v>
      </c>
      <c r="M145" s="296" t="b">
        <f>J145='dod3'!K144</f>
        <v>1</v>
      </c>
    </row>
    <row r="146" spans="1:13" ht="232.5" x14ac:dyDescent="0.2">
      <c r="A146" s="343" t="s">
        <v>395</v>
      </c>
      <c r="B146" s="343" t="s">
        <v>396</v>
      </c>
      <c r="C146" s="343" t="s">
        <v>257</v>
      </c>
      <c r="D146" s="343" t="s">
        <v>394</v>
      </c>
      <c r="E146" s="346" t="s">
        <v>786</v>
      </c>
      <c r="F146" s="346"/>
      <c r="G146" s="133">
        <f t="shared" si="37"/>
        <v>1794000</v>
      </c>
      <c r="H146" s="346">
        <v>1794000</v>
      </c>
      <c r="I146" s="346">
        <v>0</v>
      </c>
      <c r="J146" s="346">
        <v>0</v>
      </c>
      <c r="K146" s="295" t="b">
        <f>H146='dod3'!E145</f>
        <v>1</v>
      </c>
      <c r="L146" s="295" t="b">
        <f>I146='dod3'!J145</f>
        <v>1</v>
      </c>
      <c r="M146" s="296" t="b">
        <f>J146='dod3'!K145</f>
        <v>1</v>
      </c>
    </row>
    <row r="147" spans="1:13" ht="135" x14ac:dyDescent="0.2">
      <c r="A147" s="290" t="s">
        <v>251</v>
      </c>
      <c r="B147" s="290"/>
      <c r="C147" s="290"/>
      <c r="D147" s="290" t="s">
        <v>47</v>
      </c>
      <c r="E147" s="291"/>
      <c r="F147" s="291"/>
      <c r="G147" s="291">
        <f>G148</f>
        <v>500000</v>
      </c>
      <c r="H147" s="291">
        <f t="shared" ref="H147:J147" si="38">H148</f>
        <v>0</v>
      </c>
      <c r="I147" s="291">
        <f t="shared" si="38"/>
        <v>500000</v>
      </c>
      <c r="J147" s="291">
        <f t="shared" si="38"/>
        <v>0</v>
      </c>
    </row>
    <row r="148" spans="1:13" ht="135" x14ac:dyDescent="0.2">
      <c r="A148" s="294" t="s">
        <v>252</v>
      </c>
      <c r="B148" s="294"/>
      <c r="C148" s="294"/>
      <c r="D148" s="294" t="s">
        <v>65</v>
      </c>
      <c r="E148" s="292"/>
      <c r="F148" s="292"/>
      <c r="G148" s="292">
        <f>SUM(G149:G150)</f>
        <v>500000</v>
      </c>
      <c r="H148" s="292">
        <f>SUM(H149:H150)</f>
        <v>0</v>
      </c>
      <c r="I148" s="292">
        <f>SUM(I149:I150)</f>
        <v>500000</v>
      </c>
      <c r="J148" s="292">
        <f>SUM(J149:J150)</f>
        <v>0</v>
      </c>
    </row>
    <row r="149" spans="1:13" ht="137.25" x14ac:dyDescent="0.2">
      <c r="A149" s="375" t="s">
        <v>466</v>
      </c>
      <c r="B149" s="375" t="s">
        <v>467</v>
      </c>
      <c r="C149" s="375" t="s">
        <v>81</v>
      </c>
      <c r="D149" s="391" t="s">
        <v>82</v>
      </c>
      <c r="E149" s="334" t="s">
        <v>794</v>
      </c>
      <c r="F149" s="364" t="s">
        <v>795</v>
      </c>
      <c r="G149" s="133">
        <f t="shared" ref="G149:G150" si="39">H149+I149</f>
        <v>400000</v>
      </c>
      <c r="H149" s="346">
        <f>'dod3'!E149</f>
        <v>0</v>
      </c>
      <c r="I149" s="346">
        <f>'dod3'!J149</f>
        <v>400000</v>
      </c>
      <c r="J149" s="288">
        <f>'dod3'!K149</f>
        <v>0</v>
      </c>
    </row>
    <row r="150" spans="1:13" ht="137.25" x14ac:dyDescent="0.2">
      <c r="A150" s="375" t="s">
        <v>468</v>
      </c>
      <c r="B150" s="375" t="s">
        <v>469</v>
      </c>
      <c r="C150" s="375" t="s">
        <v>83</v>
      </c>
      <c r="D150" s="391" t="s">
        <v>470</v>
      </c>
      <c r="E150" s="334" t="s">
        <v>794</v>
      </c>
      <c r="F150" s="364" t="s">
        <v>795</v>
      </c>
      <c r="G150" s="133">
        <f t="shared" si="39"/>
        <v>100000</v>
      </c>
      <c r="H150" s="346">
        <f>'dod3'!E150</f>
        <v>0</v>
      </c>
      <c r="I150" s="346">
        <f>'dod3'!J150</f>
        <v>100000</v>
      </c>
      <c r="J150" s="288">
        <f>'dod3'!K150</f>
        <v>0</v>
      </c>
    </row>
    <row r="151" spans="1:13" ht="225" x14ac:dyDescent="0.2">
      <c r="A151" s="290" t="s">
        <v>249</v>
      </c>
      <c r="B151" s="290"/>
      <c r="C151" s="290"/>
      <c r="D151" s="290" t="s">
        <v>582</v>
      </c>
      <c r="E151" s="291"/>
      <c r="F151" s="292"/>
      <c r="G151" s="291">
        <f>G152</f>
        <v>500000</v>
      </c>
      <c r="H151" s="291">
        <f t="shared" ref="H151:J151" si="40">H152</f>
        <v>0</v>
      </c>
      <c r="I151" s="291">
        <f t="shared" si="40"/>
        <v>500000</v>
      </c>
      <c r="J151" s="291">
        <f t="shared" si="40"/>
        <v>500000</v>
      </c>
    </row>
    <row r="152" spans="1:13" ht="270" x14ac:dyDescent="0.2">
      <c r="A152" s="294" t="s">
        <v>250</v>
      </c>
      <c r="B152" s="294"/>
      <c r="C152" s="294"/>
      <c r="D152" s="294" t="s">
        <v>583</v>
      </c>
      <c r="E152" s="292"/>
      <c r="F152" s="292"/>
      <c r="G152" s="292">
        <f>SUM(G153:G154)</f>
        <v>500000</v>
      </c>
      <c r="H152" s="292">
        <f t="shared" ref="H152:J152" si="41">SUM(H153:H154)</f>
        <v>0</v>
      </c>
      <c r="I152" s="292">
        <f t="shared" si="41"/>
        <v>500000</v>
      </c>
      <c r="J152" s="292">
        <f t="shared" si="41"/>
        <v>500000</v>
      </c>
    </row>
    <row r="153" spans="1:13" ht="139.5" x14ac:dyDescent="0.2">
      <c r="A153" s="391" t="s">
        <v>460</v>
      </c>
      <c r="B153" s="391" t="s">
        <v>461</v>
      </c>
      <c r="C153" s="391" t="s">
        <v>462</v>
      </c>
      <c r="D153" s="391" t="s">
        <v>459</v>
      </c>
      <c r="E153" s="133" t="s">
        <v>747</v>
      </c>
      <c r="F153" s="346"/>
      <c r="G153" s="133">
        <f t="shared" ref="G153:G154" si="42">H153+I153</f>
        <v>410000</v>
      </c>
      <c r="H153" s="346">
        <f>'dod3'!E154</f>
        <v>0</v>
      </c>
      <c r="I153" s="346">
        <f>'dod3'!J154</f>
        <v>410000</v>
      </c>
      <c r="J153" s="346">
        <f>'dod3'!K154</f>
        <v>410000</v>
      </c>
    </row>
    <row r="154" spans="1:13" ht="139.5" x14ac:dyDescent="0.2">
      <c r="A154" s="391" t="s">
        <v>614</v>
      </c>
      <c r="B154" s="391" t="s">
        <v>615</v>
      </c>
      <c r="C154" s="391" t="s">
        <v>257</v>
      </c>
      <c r="D154" s="391" t="s">
        <v>616</v>
      </c>
      <c r="E154" s="133" t="s">
        <v>747</v>
      </c>
      <c r="F154" s="346"/>
      <c r="G154" s="133">
        <f t="shared" si="42"/>
        <v>90000</v>
      </c>
      <c r="H154" s="346">
        <f>'dod3'!E155</f>
        <v>0</v>
      </c>
      <c r="I154" s="346">
        <f>'dod3'!J155</f>
        <v>90000</v>
      </c>
      <c r="J154" s="346">
        <f>'dod3'!K155</f>
        <v>90000</v>
      </c>
    </row>
    <row r="155" spans="1:13" ht="135" x14ac:dyDescent="0.2">
      <c r="A155" s="290" t="s">
        <v>255</v>
      </c>
      <c r="B155" s="290"/>
      <c r="C155" s="290"/>
      <c r="D155" s="290" t="s">
        <v>48</v>
      </c>
      <c r="E155" s="291"/>
      <c r="F155" s="292"/>
      <c r="G155" s="291">
        <f>G156</f>
        <v>50000</v>
      </c>
      <c r="H155" s="291">
        <f t="shared" ref="H155:J155" si="43">H156</f>
        <v>0</v>
      </c>
      <c r="I155" s="291">
        <f t="shared" si="43"/>
        <v>50000</v>
      </c>
      <c r="J155" s="291">
        <f t="shared" si="43"/>
        <v>50000</v>
      </c>
    </row>
    <row r="156" spans="1:13" ht="135" x14ac:dyDescent="0.2">
      <c r="A156" s="294" t="s">
        <v>256</v>
      </c>
      <c r="B156" s="294"/>
      <c r="C156" s="294"/>
      <c r="D156" s="294" t="s">
        <v>66</v>
      </c>
      <c r="E156" s="292"/>
      <c r="F156" s="292"/>
      <c r="G156" s="292">
        <f>SUM(G157)</f>
        <v>50000</v>
      </c>
      <c r="H156" s="292">
        <f t="shared" ref="H156:J156" si="44">SUM(H157)</f>
        <v>0</v>
      </c>
      <c r="I156" s="292">
        <f t="shared" si="44"/>
        <v>50000</v>
      </c>
      <c r="J156" s="292">
        <f t="shared" si="44"/>
        <v>50000</v>
      </c>
    </row>
    <row r="157" spans="1:13" ht="228.75" x14ac:dyDescent="0.2">
      <c r="A157" s="343" t="s">
        <v>771</v>
      </c>
      <c r="B157" s="343" t="s">
        <v>344</v>
      </c>
      <c r="C157" s="343" t="s">
        <v>342</v>
      </c>
      <c r="D157" s="343" t="s">
        <v>343</v>
      </c>
      <c r="E157" s="334" t="s">
        <v>775</v>
      </c>
      <c r="F157" s="346" t="s">
        <v>774</v>
      </c>
      <c r="G157" s="133">
        <f>H157+I157</f>
        <v>50000</v>
      </c>
      <c r="H157" s="345"/>
      <c r="I157" s="346">
        <f>'dod3'!J158</f>
        <v>50000</v>
      </c>
      <c r="J157" s="346">
        <f>'dod3'!K158</f>
        <v>50000</v>
      </c>
    </row>
    <row r="158" spans="1:13" s="3" customFormat="1" ht="81.75" customHeight="1" x14ac:dyDescent="1.1499999999999999">
      <c r="A158" s="265" t="s">
        <v>665</v>
      </c>
      <c r="B158" s="265" t="s">
        <v>665</v>
      </c>
      <c r="C158" s="265" t="s">
        <v>665</v>
      </c>
      <c r="D158" s="266" t="s">
        <v>683</v>
      </c>
      <c r="E158" s="265" t="s">
        <v>665</v>
      </c>
      <c r="F158" s="265" t="s">
        <v>665</v>
      </c>
      <c r="G158" s="168">
        <f>G12+G18+G95+G31+G43+G83+G111+G133+G138+G156+G141+G148+G152</f>
        <v>2770336366</v>
      </c>
      <c r="H158" s="168">
        <f>H12+H18+H95+H31+H43+H83+H111+H133+H138+H156+H141+H148+H152</f>
        <v>2396258292</v>
      </c>
      <c r="I158" s="168">
        <f>I12+I18+I95+I31+I43+I83+I111+I133+I138+I156+I141+I148+I152</f>
        <v>374078074</v>
      </c>
      <c r="J158" s="168">
        <f>J12+J18+J95+J31+J42+J83+J111+J133+J138+J156+J141+J148+J152</f>
        <v>244239789</v>
      </c>
      <c r="K158" s="401" t="b">
        <f>G158=H158+I158</f>
        <v>1</v>
      </c>
    </row>
    <row r="159" spans="1:13" ht="31.5" customHeight="1" x14ac:dyDescent="0.2">
      <c r="A159" s="457" t="s">
        <v>457</v>
      </c>
      <c r="B159" s="458"/>
      <c r="C159" s="458"/>
      <c r="D159" s="458"/>
      <c r="E159" s="458"/>
      <c r="F159" s="458"/>
      <c r="G159" s="458"/>
      <c r="H159" s="458"/>
      <c r="I159" s="458"/>
      <c r="J159" s="458"/>
    </row>
    <row r="160" spans="1:13" ht="31.5" customHeight="1" x14ac:dyDescent="0.2">
      <c r="A160" s="144"/>
      <c r="B160" s="145"/>
      <c r="C160" s="145"/>
      <c r="D160" s="145"/>
      <c r="E160" s="145"/>
      <c r="F160" s="145"/>
      <c r="G160" s="145"/>
      <c r="H160" s="145"/>
      <c r="I160" s="145"/>
      <c r="J160" s="145"/>
    </row>
    <row r="161" spans="1:10" ht="61.5" customHeight="1" x14ac:dyDescent="0.65">
      <c r="A161" s="253"/>
      <c r="B161" s="253"/>
      <c r="C161" s="253"/>
      <c r="D161" s="454" t="s">
        <v>656</v>
      </c>
      <c r="E161" s="454"/>
      <c r="F161" s="454"/>
      <c r="G161" s="454"/>
      <c r="H161" s="454"/>
      <c r="I161" s="454"/>
      <c r="J161" s="454"/>
    </row>
    <row r="162" spans="1:10" ht="45.75" x14ac:dyDescent="0.2">
      <c r="E162" s="28"/>
      <c r="F162" s="4"/>
      <c r="I162" s="157"/>
      <c r="J162" s="23"/>
    </row>
    <row r="163" spans="1:10" ht="45.75" x14ac:dyDescent="0.65">
      <c r="D163" s="454" t="s">
        <v>231</v>
      </c>
      <c r="E163" s="454"/>
      <c r="F163" s="454"/>
      <c r="G163" s="454"/>
      <c r="H163" s="454"/>
      <c r="I163" s="454"/>
      <c r="J163" s="454"/>
    </row>
    <row r="164" spans="1:10" x14ac:dyDescent="0.2">
      <c r="E164" s="5"/>
      <c r="F164" s="4"/>
    </row>
    <row r="165" spans="1:10" x14ac:dyDescent="0.2">
      <c r="E165" s="5"/>
      <c r="F165" s="4"/>
    </row>
    <row r="166" spans="1:10" ht="62.25" x14ac:dyDescent="0.8">
      <c r="A166"/>
      <c r="B166"/>
      <c r="C166"/>
      <c r="D166"/>
      <c r="E166" s="25"/>
      <c r="F166" s="157"/>
      <c r="I166" s="262"/>
      <c r="J166" s="193"/>
    </row>
    <row r="167" spans="1:10" ht="45.75" x14ac:dyDescent="0.2">
      <c r="E167" s="26"/>
      <c r="F167" s="261"/>
    </row>
    <row r="168" spans="1:10" ht="45.75" x14ac:dyDescent="0.2">
      <c r="A168"/>
      <c r="B168"/>
      <c r="C168"/>
      <c r="D168"/>
      <c r="E168" s="25"/>
      <c r="F168" s="157"/>
      <c r="I168" s="262"/>
      <c r="J168"/>
    </row>
    <row r="169" spans="1:10" ht="45.75" x14ac:dyDescent="0.2">
      <c r="E169" s="26"/>
      <c r="F169" s="261"/>
    </row>
    <row r="170" spans="1:10" ht="45.75" x14ac:dyDescent="0.2">
      <c r="E170" s="26"/>
      <c r="F170" s="261"/>
    </row>
    <row r="171" spans="1:10" ht="45.75" x14ac:dyDescent="0.2">
      <c r="E171" s="26"/>
      <c r="F171" s="261"/>
    </row>
    <row r="172" spans="1:10" ht="45.75" x14ac:dyDescent="0.2">
      <c r="A172"/>
      <c r="B172"/>
      <c r="C172"/>
      <c r="D172"/>
      <c r="E172" s="26"/>
      <c r="F172" s="261"/>
      <c r="G172" s="262"/>
      <c r="H172" s="262"/>
      <c r="I172" s="262"/>
      <c r="J172"/>
    </row>
    <row r="173" spans="1:10" ht="45.75" x14ac:dyDescent="0.2">
      <c r="A173"/>
      <c r="B173"/>
      <c r="C173"/>
      <c r="D173"/>
      <c r="E173" s="26"/>
      <c r="F173" s="261"/>
      <c r="G173" s="262"/>
      <c r="H173" s="262"/>
      <c r="I173" s="262"/>
      <c r="J173"/>
    </row>
    <row r="174" spans="1:10" ht="45.75" x14ac:dyDescent="0.2">
      <c r="A174"/>
      <c r="B174"/>
      <c r="C174"/>
      <c r="D174"/>
      <c r="E174" s="26"/>
      <c r="F174" s="261"/>
      <c r="G174" s="262"/>
      <c r="H174" s="262"/>
      <c r="I174" s="262"/>
      <c r="J174"/>
    </row>
    <row r="175" spans="1:10" ht="45.75" x14ac:dyDescent="0.2">
      <c r="A175"/>
      <c r="B175"/>
      <c r="C175"/>
      <c r="D175"/>
      <c r="E175" s="26"/>
      <c r="F175" s="261"/>
      <c r="G175" s="262"/>
      <c r="H175" s="262"/>
      <c r="I175" s="262"/>
      <c r="J175"/>
    </row>
  </sheetData>
  <mergeCells count="43">
    <mergeCell ref="G112:G113"/>
    <mergeCell ref="G75:G76"/>
    <mergeCell ref="H75:H76"/>
    <mergeCell ref="H8:H9"/>
    <mergeCell ref="D161:J161"/>
    <mergeCell ref="I8:J8"/>
    <mergeCell ref="F8:F9"/>
    <mergeCell ref="G8:G9"/>
    <mergeCell ref="H124:H125"/>
    <mergeCell ref="I124:I125"/>
    <mergeCell ref="J124:J125"/>
    <mergeCell ref="G126:G127"/>
    <mergeCell ref="D163:J163"/>
    <mergeCell ref="I75:I76"/>
    <mergeCell ref="J75:J76"/>
    <mergeCell ref="A159:J159"/>
    <mergeCell ref="A75:A76"/>
    <mergeCell ref="B75:B76"/>
    <mergeCell ref="C75:C76"/>
    <mergeCell ref="E75:E76"/>
    <mergeCell ref="F75:F76"/>
    <mergeCell ref="A112:A113"/>
    <mergeCell ref="B112:B113"/>
    <mergeCell ref="C112:C113"/>
    <mergeCell ref="D112:D113"/>
    <mergeCell ref="H112:H113"/>
    <mergeCell ref="I112:I113"/>
    <mergeCell ref="J112:J113"/>
    <mergeCell ref="I1:J1"/>
    <mergeCell ref="I2:J2"/>
    <mergeCell ref="I3:J3"/>
    <mergeCell ref="A5:J5"/>
    <mergeCell ref="A6:J6"/>
    <mergeCell ref="A8:A9"/>
    <mergeCell ref="B8:B9"/>
    <mergeCell ref="C8:C9"/>
    <mergeCell ref="D8:D9"/>
    <mergeCell ref="E8:E9"/>
    <mergeCell ref="A124:A125"/>
    <mergeCell ref="B124:B125"/>
    <mergeCell ref="C124:C125"/>
    <mergeCell ref="D124:D125"/>
    <mergeCell ref="G124:G125"/>
  </mergeCells>
  <pageMargins left="0.23622047244094491" right="0.27559055118110237" top="0.27559055118110237" bottom="0.15748031496062992" header="0.23622047244094491" footer="0.27559055118110237"/>
  <pageSetup paperSize="9" scale="18" fitToHeight="0" orientation="landscape" r:id="rId1"/>
  <headerFooter alignWithMargins="0">
    <oddFooter>&amp;C&amp;"Times New Roman Cyr,курсив"Сторінка &amp;P з &amp;N</oddFooter>
  </headerFooter>
  <rowBreaks count="1" manualBreakCount="1">
    <brk id="3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L15"/>
  <sheetViews>
    <sheetView view="pageBreakPreview" zoomScaleNormal="100" zoomScaleSheetLayoutView="100" workbookViewId="0">
      <selection activeCell="R9" sqref="R9"/>
    </sheetView>
  </sheetViews>
  <sheetFormatPr defaultRowHeight="12.75" x14ac:dyDescent="0.2"/>
  <cols>
    <col min="1" max="1" width="13.85546875" style="413" customWidth="1"/>
    <col min="2" max="2" width="13.7109375" style="413" customWidth="1"/>
    <col min="3" max="3" width="13.85546875" style="413" customWidth="1"/>
    <col min="4" max="4" width="20.85546875" style="413" customWidth="1"/>
    <col min="5" max="5" width="12.28515625" style="413" customWidth="1"/>
    <col min="6" max="6" width="17" style="413" customWidth="1"/>
    <col min="7" max="7" width="14" style="413" customWidth="1"/>
    <col min="8" max="8" width="11.7109375" style="413" customWidth="1"/>
    <col min="9" max="9" width="12" style="413" customWidth="1"/>
    <col min="10" max="11" width="12.140625" style="413" customWidth="1"/>
    <col min="12" max="12" width="11.5703125" style="413" customWidth="1"/>
    <col min="13" max="16384" width="9.140625" style="413"/>
  </cols>
  <sheetData>
    <row r="3" spans="1:12" ht="15.75" customHeight="1" x14ac:dyDescent="0.2">
      <c r="A3" s="412"/>
      <c r="B3" s="412"/>
      <c r="C3" s="412"/>
      <c r="D3" s="412"/>
      <c r="E3" s="412"/>
      <c r="F3" s="412"/>
      <c r="G3" s="412"/>
      <c r="H3" s="412"/>
      <c r="I3" s="412"/>
      <c r="J3" s="529" t="s">
        <v>806</v>
      </c>
      <c r="K3" s="529"/>
      <c r="L3" s="529"/>
    </row>
    <row r="4" spans="1:12" ht="15.75" x14ac:dyDescent="0.2">
      <c r="A4" s="414"/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</row>
    <row r="5" spans="1:12" ht="15.75" x14ac:dyDescent="0.2">
      <c r="A5" s="414"/>
      <c r="B5" s="414"/>
      <c r="C5" s="414"/>
      <c r="D5" s="414"/>
      <c r="E5" s="414"/>
      <c r="F5" s="414"/>
      <c r="G5" s="414"/>
      <c r="H5" s="414"/>
      <c r="I5" s="414"/>
      <c r="J5" s="414"/>
      <c r="K5" s="414"/>
      <c r="L5" s="414"/>
    </row>
    <row r="6" spans="1:12" ht="18.75" customHeight="1" x14ac:dyDescent="0.2">
      <c r="A6" s="530" t="s">
        <v>807</v>
      </c>
      <c r="B6" s="530"/>
      <c r="C6" s="530"/>
      <c r="D6" s="530"/>
      <c r="E6" s="530"/>
      <c r="F6" s="530"/>
      <c r="G6" s="530"/>
      <c r="H6" s="530"/>
      <c r="I6" s="530"/>
      <c r="J6" s="530"/>
      <c r="K6" s="530"/>
      <c r="L6" s="530"/>
    </row>
    <row r="7" spans="1:12" ht="40.5" customHeight="1" x14ac:dyDescent="0.2">
      <c r="A7" s="531" t="s">
        <v>808</v>
      </c>
      <c r="B7" s="531"/>
      <c r="C7" s="531"/>
      <c r="D7" s="531"/>
      <c r="E7" s="531"/>
      <c r="F7" s="531"/>
      <c r="G7" s="531"/>
      <c r="H7" s="531"/>
      <c r="I7" s="531"/>
      <c r="J7" s="531"/>
      <c r="K7" s="531"/>
      <c r="L7" s="531"/>
    </row>
    <row r="8" spans="1:12" ht="33.75" customHeight="1" x14ac:dyDescent="0.2">
      <c r="A8" s="528" t="s">
        <v>809</v>
      </c>
      <c r="B8" s="528" t="s">
        <v>810</v>
      </c>
      <c r="C8" s="528" t="s">
        <v>811</v>
      </c>
      <c r="D8" s="528" t="s">
        <v>812</v>
      </c>
      <c r="E8" s="528" t="s">
        <v>813</v>
      </c>
      <c r="F8" s="528" t="s">
        <v>814</v>
      </c>
      <c r="G8" s="528" t="s">
        <v>815</v>
      </c>
      <c r="H8" s="528" t="s">
        <v>816</v>
      </c>
      <c r="I8" s="528" t="s">
        <v>817</v>
      </c>
      <c r="J8" s="528"/>
      <c r="K8" s="528"/>
      <c r="L8" s="528" t="s">
        <v>818</v>
      </c>
    </row>
    <row r="9" spans="1:12" ht="163.5" customHeight="1" x14ac:dyDescent="0.2">
      <c r="A9" s="528"/>
      <c r="B9" s="528"/>
      <c r="C9" s="528"/>
      <c r="D9" s="528"/>
      <c r="E9" s="528"/>
      <c r="F9" s="528"/>
      <c r="G9" s="528"/>
      <c r="H9" s="528"/>
      <c r="I9" s="415" t="s">
        <v>819</v>
      </c>
      <c r="J9" s="415" t="s">
        <v>820</v>
      </c>
      <c r="K9" s="415" t="s">
        <v>821</v>
      </c>
      <c r="L9" s="528"/>
    </row>
    <row r="10" spans="1:12" x14ac:dyDescent="0.2">
      <c r="A10" s="416">
        <v>1</v>
      </c>
      <c r="B10" s="416">
        <v>2</v>
      </c>
      <c r="C10" s="416">
        <v>3</v>
      </c>
      <c r="D10" s="416">
        <v>4</v>
      </c>
      <c r="E10" s="416">
        <v>5</v>
      </c>
      <c r="F10" s="416">
        <v>6</v>
      </c>
      <c r="G10" s="416">
        <v>7</v>
      </c>
      <c r="H10" s="416">
        <v>8</v>
      </c>
      <c r="I10" s="416">
        <v>9</v>
      </c>
      <c r="J10" s="416">
        <v>10</v>
      </c>
      <c r="K10" s="416">
        <v>11</v>
      </c>
      <c r="L10" s="416">
        <v>12</v>
      </c>
    </row>
    <row r="11" spans="1:12" ht="110.25" x14ac:dyDescent="0.2">
      <c r="A11" s="417" t="s">
        <v>319</v>
      </c>
      <c r="B11" s="418">
        <v>7640</v>
      </c>
      <c r="C11" s="417" t="s">
        <v>321</v>
      </c>
      <c r="D11" s="418" t="s">
        <v>822</v>
      </c>
      <c r="E11" s="418" t="s">
        <v>823</v>
      </c>
      <c r="F11" s="418" t="s">
        <v>824</v>
      </c>
      <c r="G11" s="418" t="s">
        <v>825</v>
      </c>
      <c r="H11" s="418" t="s">
        <v>826</v>
      </c>
      <c r="I11" s="418" t="s">
        <v>827</v>
      </c>
      <c r="J11" s="419">
        <v>11839.748</v>
      </c>
      <c r="K11" s="419">
        <v>11839.748</v>
      </c>
      <c r="L11" s="419">
        <v>1183.9749999999999</v>
      </c>
    </row>
    <row r="12" spans="1:12" ht="12.75" customHeight="1" x14ac:dyDescent="0.2">
      <c r="A12" s="420" t="s">
        <v>828</v>
      </c>
      <c r="B12" s="420" t="s">
        <v>828</v>
      </c>
      <c r="C12" s="420" t="s">
        <v>828</v>
      </c>
      <c r="D12" s="421" t="s">
        <v>683</v>
      </c>
      <c r="E12" s="420" t="s">
        <v>828</v>
      </c>
      <c r="F12" s="420" t="s">
        <v>828</v>
      </c>
      <c r="G12" s="420" t="s">
        <v>828</v>
      </c>
      <c r="H12" s="420" t="s">
        <v>828</v>
      </c>
      <c r="I12" s="420" t="s">
        <v>828</v>
      </c>
      <c r="J12" s="419">
        <v>11839.748</v>
      </c>
      <c r="K12" s="419">
        <v>11839.748</v>
      </c>
      <c r="L12" s="419">
        <v>1183.9749999999999</v>
      </c>
    </row>
    <row r="13" spans="1:12" ht="15" x14ac:dyDescent="0.2">
      <c r="A13" s="422"/>
    </row>
    <row r="14" spans="1:12" ht="15.75" x14ac:dyDescent="0.2">
      <c r="B14" s="412" t="s">
        <v>829</v>
      </c>
      <c r="I14" s="422"/>
      <c r="K14" s="412" t="s">
        <v>800</v>
      </c>
    </row>
    <row r="15" spans="1:12" ht="15.75" x14ac:dyDescent="0.2">
      <c r="B15" s="412" t="s">
        <v>170</v>
      </c>
      <c r="G15" s="422"/>
      <c r="K15" s="412" t="s">
        <v>171</v>
      </c>
    </row>
  </sheetData>
  <mergeCells count="13">
    <mergeCell ref="H8:H9"/>
    <mergeCell ref="I8:K8"/>
    <mergeCell ref="L8:L9"/>
    <mergeCell ref="J3:L3"/>
    <mergeCell ref="A6:L6"/>
    <mergeCell ref="A7:L7"/>
    <mergeCell ref="A8:A9"/>
    <mergeCell ref="B8:B9"/>
    <mergeCell ref="C8:C9"/>
    <mergeCell ref="D8:D9"/>
    <mergeCell ref="E8:E9"/>
    <mergeCell ref="F8:F9"/>
    <mergeCell ref="G8:G9"/>
  </mergeCells>
  <pageMargins left="0.19685039370078741" right="0.19685039370078741" top="0.19685039370078741" bottom="0.19685039370078741" header="0" footer="0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11</vt:i4>
      </vt:variant>
    </vt:vector>
  </HeadingPairs>
  <TitlesOfParts>
    <vt:vector size="20" baseType="lpstr">
      <vt:lpstr>дод1</vt:lpstr>
      <vt:lpstr>dod2</vt:lpstr>
      <vt:lpstr>dod3</vt:lpstr>
      <vt:lpstr>dod4</vt:lpstr>
      <vt:lpstr>dod5</vt:lpstr>
      <vt:lpstr>dod6</vt:lpstr>
      <vt:lpstr>dod7</vt:lpstr>
      <vt:lpstr>dod8</vt:lpstr>
      <vt:lpstr>dod9</vt:lpstr>
      <vt:lpstr>'dod3'!Заголовки_для_друку</vt:lpstr>
      <vt:lpstr>'dod5'!Заголовки_для_друку</vt:lpstr>
      <vt:lpstr>'dod8'!Заголовки_для_друку</vt:lpstr>
      <vt:lpstr>'dod2'!Область_друку</vt:lpstr>
      <vt:lpstr>'dod3'!Область_друку</vt:lpstr>
      <vt:lpstr>'dod4'!Область_друку</vt:lpstr>
      <vt:lpstr>'dod5'!Область_друку</vt:lpstr>
      <vt:lpstr>'dod6'!Область_друку</vt:lpstr>
      <vt:lpstr>'dod7'!Область_друку</vt:lpstr>
      <vt:lpstr>'dod8'!Область_друку</vt:lpstr>
      <vt:lpstr>дод1!Область_друку</vt:lpstr>
    </vt:vector>
  </TitlesOfParts>
  <Company>Міське фінуправління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Власюк Олена</dc:creator>
  <cp:lastModifiedBy>Ковтун Денис Леонідович</cp:lastModifiedBy>
  <cp:lastPrinted>2018-11-23T09:46:46Z</cp:lastPrinted>
  <dcterms:created xsi:type="dcterms:W3CDTF">2001-12-03T09:30:42Z</dcterms:created>
  <dcterms:modified xsi:type="dcterms:W3CDTF">2018-11-23T13:26:19Z</dcterms:modified>
</cp:coreProperties>
</file>